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210" tabRatio="612" activeTab="2"/>
  </bookViews>
  <sheets>
    <sheet name="Kopertina" sheetId="1" r:id="rId1"/>
    <sheet name="A_P Standard" sheetId="2" r:id="rId2"/>
    <sheet name="Sh_T Standard" sheetId="3" r:id="rId3"/>
    <sheet name=" Cash flow indirekt" sheetId="4" r:id="rId4"/>
    <sheet name="P.Kapitalit " sheetId="5" r:id="rId5"/>
    <sheet name="Shenimet" sheetId="6" r:id="rId6"/>
    <sheet name="Inventari " sheetId="7" r:id="rId7"/>
    <sheet name="Inv.Mjeteve" sheetId="8" r:id="rId8"/>
    <sheet name="AAM (2)" sheetId="9" r:id="rId9"/>
    <sheet name="Aneks Statistikor" sheetId="10" r:id="rId10"/>
    <sheet name="aktivitet per BM" sheetId="11" r:id="rId11"/>
  </sheets>
  <externalReferences>
    <externalReference r:id="rId14"/>
  </externalReferences>
  <definedNames>
    <definedName name="_Key1" hidden="1">'[1]PRODUKTE'!#REF!</definedName>
    <definedName name="_Key2" hidden="1">'[1]PRODUKTE'!#REF!</definedName>
    <definedName name="_Order1" hidden="1">255</definedName>
    <definedName name="_Order2" hidden="1">255</definedName>
    <definedName name="_xlnm.Print_Area" localSheetId="1">'A_P Standard'!$A$2:$H$191</definedName>
    <definedName name="_xlnm.Print_Area" localSheetId="9">'Aneks Statistikor'!$A$1:$J$99</definedName>
    <definedName name="_xlnm.Print_Area" localSheetId="7">'Inv.Mjeteve'!$A$1:$F$52</definedName>
    <definedName name="_xlnm.Print_Area" localSheetId="6">'Inventari '!$A$1:$F$116</definedName>
    <definedName name="_xlnm.Print_Area" localSheetId="4">'P.Kapitalit '!$A$1:$L$28</definedName>
    <definedName name="_xlnm.Print_Area" localSheetId="2">'Sh_T Standard'!$A$1:$E$60</definedName>
    <definedName name="_xlnm.Print_Titles" localSheetId="6">'Inventari '!$13:$13</definedName>
  </definedNames>
  <calcPr fullCalcOnLoad="1"/>
</workbook>
</file>

<file path=xl/sharedStrings.xml><?xml version="1.0" encoding="utf-8"?>
<sst xmlns="http://schemas.openxmlformats.org/spreadsheetml/2006/main" count="975" uniqueCount="665">
  <si>
    <t>A</t>
  </si>
  <si>
    <t>Aktivet</t>
  </si>
  <si>
    <t>I</t>
  </si>
  <si>
    <t>Aktivet afatshkurtra</t>
  </si>
  <si>
    <t>Derivative dhe Aktive Financiare te mbajtura per tregetim</t>
  </si>
  <si>
    <t>Totali ( Sipas SKK nr 3 )</t>
  </si>
  <si>
    <t>Aktive te tjera financiare afatshkurtra</t>
  </si>
  <si>
    <t>c) Instrumenta te tjera borxhi</t>
  </si>
  <si>
    <t>d) Investime te tjera financiare</t>
  </si>
  <si>
    <t>Inventari</t>
  </si>
  <si>
    <t>a) Lendet e para</t>
  </si>
  <si>
    <t>b) Prodhim ne proces</t>
  </si>
  <si>
    <t>c) Produkte te gatshme</t>
  </si>
  <si>
    <t>d) Mallra per rishitje</t>
  </si>
  <si>
    <t>e) Parapagesa per furnizime</t>
  </si>
  <si>
    <t>Totali ( Sipas SKK nr 4 )</t>
  </si>
  <si>
    <t>Aktivet biologjike afatshkutra</t>
  </si>
  <si>
    <t>Aktive afatshkurtra te mbajtura per shitje</t>
  </si>
  <si>
    <t>Parapagimet dhe shpenzimet e shtyra</t>
  </si>
  <si>
    <t>Totali i Ativeve Afatshkurtra</t>
  </si>
  <si>
    <t>II</t>
  </si>
  <si>
    <t>Aktivet afatgjata</t>
  </si>
  <si>
    <t>Investimet financiare afatgjata</t>
  </si>
  <si>
    <t>a) Aksione dhe pjesmarrje te tjera ne njesi te kontrolluara 
(ky ze perdoret vetem ne pasqyrat financiare te pakonsoliduara)</t>
  </si>
  <si>
    <t>c) Aksione dhe letra te tjera me vlere</t>
  </si>
  <si>
    <t>d) Llogari/Kerkesa te arketueshme afatgjata</t>
  </si>
  <si>
    <t>Totali</t>
  </si>
  <si>
    <t>Aktive afatgjata materiale</t>
  </si>
  <si>
    <t>a) Toka</t>
  </si>
  <si>
    <t>b) Ndertesa</t>
  </si>
  <si>
    <t>c) Makineri pajisje</t>
  </si>
  <si>
    <t>d) Aktive te tjera afatgjata materiale</t>
  </si>
  <si>
    <t>Aktivet biologjike afagjata</t>
  </si>
  <si>
    <t>Aktive afatgjata jomateriale</t>
  </si>
  <si>
    <t>a) Emri i mire</t>
  </si>
  <si>
    <t>b) Shpenzimet e zhvillimit</t>
  </si>
  <si>
    <t>c) Aktive te tjera afatgjata jomateriale</t>
  </si>
  <si>
    <t>Kapitali aksionar i papaguar</t>
  </si>
  <si>
    <t>Aktive te tjera afatgjata (ne proces)</t>
  </si>
  <si>
    <t>Totali i Ativeve Afatgjata</t>
  </si>
  <si>
    <t>Totali i Ativeve</t>
  </si>
  <si>
    <t>Zeri i Bilancit</t>
  </si>
  <si>
    <t>Diferenca</t>
  </si>
  <si>
    <t>B</t>
  </si>
  <si>
    <t>Pasivet dhe Kapitali</t>
  </si>
  <si>
    <t>Pasivet afatshkurtra</t>
  </si>
  <si>
    <t>Derivativet</t>
  </si>
  <si>
    <t>Huamarrjet</t>
  </si>
  <si>
    <t>a) Huate dhe obligacionet afatshkurtra</t>
  </si>
  <si>
    <t>b) Kthimet/Ripagesat e huave afatgjata</t>
  </si>
  <si>
    <t>c) Bono te konvertueshme</t>
  </si>
  <si>
    <t>Huate dhe parapagimet</t>
  </si>
  <si>
    <t>a) Te pagueshme ndaj furnitoreve</t>
  </si>
  <si>
    <t>1-Furnitor llogari te pagueshme</t>
  </si>
  <si>
    <t>2-Furnitor per fatura te pa mberritura</t>
  </si>
  <si>
    <t>3-Diferenca konvertimi aktive per 2007</t>
  </si>
  <si>
    <t>4-Diferenca konvertimi pasive per 2007</t>
  </si>
  <si>
    <t>b) Te pagueshme ndaj punonjesve</t>
  </si>
  <si>
    <t>1-Paga</t>
  </si>
  <si>
    <t>2-Personeli-paradhenie e pagesa pjesore</t>
  </si>
  <si>
    <t>3-Personeli-depozita</t>
  </si>
  <si>
    <t>c) Detyrime tatimore</t>
  </si>
  <si>
    <t>1-Kontribute per sigurime</t>
  </si>
  <si>
    <t>3-Tatim mbi fitimin</t>
  </si>
  <si>
    <t>4-TVSH</t>
  </si>
  <si>
    <t>5-Tatime dhe taksa te tjera</t>
  </si>
  <si>
    <t>d) Hua te tjera</t>
  </si>
  <si>
    <t>e) Parapagimet e arketuara</t>
  </si>
  <si>
    <t>Grantet dhe te ardhurat e shtyra</t>
  </si>
  <si>
    <t>Provizionet afatshkurtra</t>
  </si>
  <si>
    <t>Totali i Pasiveve afatshkurtra</t>
  </si>
  <si>
    <t>Pasivet afatgjata</t>
  </si>
  <si>
    <t>Huate afatgjata</t>
  </si>
  <si>
    <t>a) Hua, bono dhe detyrime nga qeraja financiare</t>
  </si>
  <si>
    <t>1-Hua nga bankat</t>
  </si>
  <si>
    <t>4-Interesa te maturuara</t>
  </si>
  <si>
    <t>b) Bonot e konvertueshme</t>
  </si>
  <si>
    <t>Huamarrje te tjera afatgjata</t>
  </si>
  <si>
    <t>Provizionet afatgjata</t>
  </si>
  <si>
    <t>Grandet dhe te ardhurat e shtyra</t>
  </si>
  <si>
    <t>Totali i Pasiveve afatgjata</t>
  </si>
  <si>
    <t>Totali i Pasiveve</t>
  </si>
  <si>
    <t>III</t>
  </si>
  <si>
    <t>Kapitali</t>
  </si>
  <si>
    <t>Aksionet e pakices</t>
  </si>
  <si>
    <t>Kapitali qe i perket aksionereve te shoqerise meme</t>
  </si>
  <si>
    <t>Kapitali aksionar</t>
  </si>
  <si>
    <t>Primi i aksionit</t>
  </si>
  <si>
    <t>Njesite dhe aksionet e thesarit</t>
  </si>
  <si>
    <t>Rezervat statusore</t>
  </si>
  <si>
    <t>Rezerva te tjera</t>
  </si>
  <si>
    <t>Fitimet e pashperndara</t>
  </si>
  <si>
    <t>Fitim (humbja) e vitit financiar</t>
  </si>
  <si>
    <t>Totali i Kapitalit</t>
  </si>
  <si>
    <t>Totali i Pasiveve dhe i Kapitalit</t>
  </si>
  <si>
    <t>Nr</t>
  </si>
  <si>
    <t>Pershkrimi</t>
  </si>
  <si>
    <t>Llogarite 
korresponduese</t>
  </si>
  <si>
    <t>Shitjet neto</t>
  </si>
  <si>
    <t>701+705</t>
  </si>
  <si>
    <t>Te ardhura te tjera nga veprimtarite e shfrytezimit</t>
  </si>
  <si>
    <t>708/1+73+75+77</t>
  </si>
  <si>
    <t>1-Te ardhura nga shitje te tjera</t>
  </si>
  <si>
    <t>708-7088</t>
  </si>
  <si>
    <t>2-Fitime nga kembimet valutore</t>
  </si>
  <si>
    <t>3-Te ardhura nga grantet</t>
  </si>
  <si>
    <t>73</t>
  </si>
  <si>
    <t>4-Te ardhura te tjera</t>
  </si>
  <si>
    <t>75</t>
  </si>
  <si>
    <t>5-Te ardhura nga rivleresimi/shitja e aktiveve</t>
  </si>
  <si>
    <t>77</t>
  </si>
  <si>
    <t>Ndryshimet ne inventarin e PG dhe PP</t>
  </si>
  <si>
    <t>71</t>
  </si>
  <si>
    <t>Puna e kryer nga njesia ekonomike raportuese 
per qellimet e veta dhe e kapitalizuar</t>
  </si>
  <si>
    <t>722</t>
  </si>
  <si>
    <t>Mallra, lendet e para dhe sherbimet</t>
  </si>
  <si>
    <t>601+605</t>
  </si>
  <si>
    <t>1-Blerjet/ Shpenzime te materialeve</t>
  </si>
  <si>
    <t>601</t>
  </si>
  <si>
    <t>a) Blerjet gjate ushtrimit</t>
  </si>
  <si>
    <t>b) Ndryshimi i gjendjeve ( + - )</t>
  </si>
  <si>
    <t>2-Blerjet/ Shpenzime te materialeve te tjera</t>
  </si>
  <si>
    <t>602</t>
  </si>
  <si>
    <t>3-Blerjet/ Shpenzime mallrash, sherbimesh</t>
  </si>
  <si>
    <t>605</t>
  </si>
  <si>
    <t>Shpenzime te tjera nga veprimtarite e shfrytezimit</t>
  </si>
  <si>
    <t>606-686,79</t>
  </si>
  <si>
    <t>1-Furnitura, nentrajtime dhe sherbime</t>
  </si>
  <si>
    <t>606-628</t>
  </si>
  <si>
    <t>2-Tatime dhe taksa</t>
  </si>
  <si>
    <t>631-638</t>
  </si>
  <si>
    <t>3-Shpenzime te tjera</t>
  </si>
  <si>
    <t>651-658</t>
  </si>
  <si>
    <t>4-Provizione per shpenzime</t>
  </si>
  <si>
    <t>686</t>
  </si>
  <si>
    <t>5-Rimarje provizionesh per reziqe dhe shpenzime</t>
  </si>
  <si>
    <t>786</t>
  </si>
  <si>
    <t>6-Humbje nga kembimet valutore</t>
  </si>
  <si>
    <t>Shpenzime te personelit</t>
  </si>
  <si>
    <t>a) Pagat</t>
  </si>
  <si>
    <t>641</t>
  </si>
  <si>
    <t>b) Shpenzimet e sigurimeve shoqerore</t>
  </si>
  <si>
    <t>644</t>
  </si>
  <si>
    <t>c) Shpenzimet per pensionet</t>
  </si>
  <si>
    <t>645</t>
  </si>
  <si>
    <t>Renia ne vlere (zhvleresimi) dhe amortizimi</t>
  </si>
  <si>
    <t>681/1+687</t>
  </si>
  <si>
    <t>1-Amortizimet e aktiveve afatgjata</t>
  </si>
  <si>
    <t>2-Humbje nga rivleresimi i aktiveve</t>
  </si>
  <si>
    <t>Fitimi (Humbja) nga veprimtarite e shfrytezimit</t>
  </si>
  <si>
    <t>Te ardhurat dhe shpenzimet financiare nga njesite e kontrolluara</t>
  </si>
  <si>
    <t>Te ardhurat dhe shpenzimet financiare nga pjesemarrjet</t>
  </si>
  <si>
    <t>Te ardhurat dhe shpenzimet financiare</t>
  </si>
  <si>
    <t>a) Te ardhurat dhe shpenzimet financiare 
    nga investime te tjera financiare afatgjata</t>
  </si>
  <si>
    <t>b) Te ardhurat dhe shpenzimet nga interesi</t>
  </si>
  <si>
    <t>767-667</t>
  </si>
  <si>
    <t>1-Shpenzime per interesa</t>
  </si>
  <si>
    <t>667</t>
  </si>
  <si>
    <t>2-Te ardhura nga interesat</t>
  </si>
  <si>
    <t>767</t>
  </si>
  <si>
    <t>c) Fitimet (humbjet) nga kursi i kembimit</t>
  </si>
  <si>
    <t>669</t>
  </si>
  <si>
    <t>1-Humbje nga kembimet valutore</t>
  </si>
  <si>
    <t>d) Te ardhura dhe shpenzime te tjera financiare (afatshkurtra)</t>
  </si>
  <si>
    <t>764-668-665</t>
  </si>
  <si>
    <t>Totali i te ardhurave dhe shpenzimeve financiare</t>
  </si>
  <si>
    <t>Fitimi (Humbja) para tatimit</t>
  </si>
  <si>
    <t>Shpenzimet e tatimit mbi fitimin 10%</t>
  </si>
  <si>
    <t>69</t>
  </si>
  <si>
    <t>Fitimi (Humbja) neto e vitit financiar</t>
  </si>
  <si>
    <t>Pjesa e fitimit neto per aksionaret e shoqerise meme</t>
  </si>
  <si>
    <t>Pjesa e fitimit neto per aksionaret e pakices</t>
  </si>
  <si>
    <t>2-  Aktivet e mbajtura per tregetim</t>
  </si>
  <si>
    <t>a) Shpenzime të periudhave të ardhme</t>
  </si>
  <si>
    <t>b) Shpenzime të llogaritura</t>
  </si>
  <si>
    <t>c) Interesa aktive të llogaritura</t>
  </si>
  <si>
    <t>d) Të ardhura të llogaritura</t>
  </si>
  <si>
    <t>2-Tatime dhe taksa te ndaluara (442)</t>
  </si>
  <si>
    <t>1-Te drejta dhe detyrime me pjestaret, ortaket, pronaret….</t>
  </si>
  <si>
    <t>3-Qera financiare afatshkurtër</t>
  </si>
  <si>
    <t>1-Debitorë të tjerë, kreditorë të tjerë (teprica kreditore)</t>
  </si>
  <si>
    <t>3-Huamarrje afatgjatë</t>
  </si>
  <si>
    <t>2-Qera financiare</t>
  </si>
  <si>
    <t>2-Dividentë për t’u paguar</t>
  </si>
  <si>
    <t>1-Parapagime te arketuara</t>
  </si>
  <si>
    <t>a) Te drejta dhe detyrime me pjestaret, ortaket, pronaret….</t>
  </si>
  <si>
    <t>b) Dividentë për t’u paguar</t>
  </si>
  <si>
    <t>c) Furnitorë për mallra, produkte e shërbime</t>
  </si>
  <si>
    <t>d) Debitorë të tjerë, kreditorë të tjerë (teprica kreditore)</t>
  </si>
  <si>
    <t>e) Parapagime të marra</t>
  </si>
  <si>
    <t>a) Vlera monetare në tranzit</t>
  </si>
  <si>
    <t>b) Vlera monetare në bankë</t>
  </si>
  <si>
    <t>2- Vlera në arkë</t>
  </si>
  <si>
    <t>a) Vlera monetare në arkë</t>
  </si>
  <si>
    <t>b) Vlera të tjera në arkë</t>
  </si>
  <si>
    <t>3- Hua dhe letra me vlerë të borxhit deri në tre muaj</t>
  </si>
  <si>
    <t>a) Hua të dhëna</t>
  </si>
  <si>
    <t>b) Letra me vlerë të blera (të mbajtura deri në maturim)</t>
  </si>
  <si>
    <t>4- Zhvlerësimi aktiveve financiare</t>
  </si>
  <si>
    <t>b) Zhvlerësime të tjera për aktivet financiare</t>
  </si>
  <si>
    <t>a) Zhvlerësimi i letrave me vlerë</t>
  </si>
  <si>
    <t>1- Derivatët dhe instrumentat financiarë</t>
  </si>
  <si>
    <t>a) Derivatët</t>
  </si>
  <si>
    <t>b) Zhvlerësimi i letrave me vlerë</t>
  </si>
  <si>
    <t>c) Zhvlerësime të tjera për aktivet financiare</t>
  </si>
  <si>
    <t>a) Instrumente financiare primare për tregëtim</t>
  </si>
  <si>
    <t>b) Aktive të tjera financiare për tregëtim</t>
  </si>
  <si>
    <t>c) Zhvlerësimi i letrave me vlerë</t>
  </si>
  <si>
    <t>d) Zhvlerësime të tjera për aktivet financiare</t>
  </si>
  <si>
    <t>1- Banka dhe institucione të tjera financiare</t>
  </si>
  <si>
    <t>2- Zhvlerësim i të drejtave dhe detyrimeve</t>
  </si>
  <si>
    <t>1- Kliente</t>
  </si>
  <si>
    <t>7- Zhvlerësim i të drejtave dhe detyrimeve (detajuar sipas llog. analitike përkatëse).</t>
  </si>
  <si>
    <t>1- Huadhënie afatshkurtër</t>
  </si>
  <si>
    <t>1- Parapagime të dhëna</t>
  </si>
  <si>
    <t>2- Tatim fitimi</t>
  </si>
  <si>
    <t>3- TVSH</t>
  </si>
  <si>
    <t>4- Tatime taksa te tjera</t>
  </si>
  <si>
    <t>5- Debitorë të tjerë, kreditorë të tjerë (teprica debitore)</t>
  </si>
  <si>
    <t>6- Paradhenie personeli</t>
  </si>
  <si>
    <t>1- Qera financiare (kur është afatshkurtër dhe ka tepricë debitore)</t>
  </si>
  <si>
    <t>f) Zhvlerësim i inventarit (detajuar sipas llog. analitike përkatëse).</t>
  </si>
  <si>
    <t>1- Aktive Afatgjata Jomateriale</t>
  </si>
  <si>
    <t>1- Aktive Afatgjata Materiale</t>
  </si>
  <si>
    <t>b) Aksione dhe investime te tjera ne pjesmarrje</t>
  </si>
  <si>
    <t>2- Dividentë për t’u paguar</t>
  </si>
  <si>
    <t>3- Zhvlerësim i të drejtave dhe detyrimeve</t>
  </si>
  <si>
    <t>1- Te drejta dhe detyrime me pjestaret, ortaket, pronaret….</t>
  </si>
  <si>
    <t>2- Zhvlerësimi për Tokat</t>
  </si>
  <si>
    <t>1- Vlera Bruto</t>
  </si>
  <si>
    <t>3- Zhvlerësimi për Ndërtesat</t>
  </si>
  <si>
    <t>3- Zhvlerësimi për Makineri pajisje</t>
  </si>
  <si>
    <t>3- Zhvlerësimi për AA te Tjera</t>
  </si>
  <si>
    <t>3- Zhvlerësimi Për AA në proces</t>
  </si>
  <si>
    <t>3- Zhvlerësimi për emrin e mirë</t>
  </si>
  <si>
    <t>3- Zhvlerësimi për shpenzimet e zhvillimit</t>
  </si>
  <si>
    <t>3- Zhvlerësimi për të tjera AA jomateriale</t>
  </si>
  <si>
    <t>2- Amortizimi për shpenzimet e zhvillimit</t>
  </si>
  <si>
    <t>2- Amortizimi për të tjera AA jomateriale</t>
  </si>
  <si>
    <t>2- Amortizimi për emrin e mirë</t>
  </si>
  <si>
    <t>2- Amortizimi i AA biologjike</t>
  </si>
  <si>
    <t>2- Amortizimi akumuluar</t>
  </si>
  <si>
    <t>b) Llogari/Kerkesa te tjera te arketueshme</t>
  </si>
  <si>
    <t>Mjete monetare</t>
  </si>
  <si>
    <t>a) Llogari/Kerkesa te arketueshme</t>
  </si>
  <si>
    <t>Fluksi i parave nga veprimtarite e shfrytezimit</t>
  </si>
  <si>
    <t>Fitimi para tatimit</t>
  </si>
  <si>
    <t>Rregullime per:</t>
  </si>
  <si>
    <t>1-Amortizimin</t>
  </si>
  <si>
    <t>2-Fitime / Humbje nga kembimet valutore</t>
  </si>
  <si>
    <t>3-Te ardhura nga investimet</t>
  </si>
  <si>
    <t>4-Shpenzime per interesa</t>
  </si>
  <si>
    <t>Rritje / renie ne tepricen e inventarit</t>
  </si>
  <si>
    <t>Rritje / renie ne tepricen e detyrimeve, per tu paguar nga aktiviteti</t>
  </si>
  <si>
    <t>1-Furnitore</t>
  </si>
  <si>
    <t>2-Paga</t>
  </si>
  <si>
    <t>3-Tatime dhe taksa te tjera</t>
  </si>
  <si>
    <t>7-Debitore kreditore te tjere</t>
  </si>
  <si>
    <t>Parate e perftuara nga aktivitetet</t>
  </si>
  <si>
    <t>Interesi i paguar</t>
  </si>
  <si>
    <t>Tatim mbi fitimin i paguar</t>
  </si>
  <si>
    <t>Paraja neto nga aktivitetet e shfrytezimit</t>
  </si>
  <si>
    <t>Fluksi i parave nga veprimtarite investuese</t>
  </si>
  <si>
    <t>Blerja e shoqerise se kontrolluar X minus parate e arketuara</t>
  </si>
  <si>
    <t>Blerja e aktiveve afatgjata materiale</t>
  </si>
  <si>
    <t>Te ardhura nga shitja e pajisjeve</t>
  </si>
  <si>
    <t>Interesi i arketuar</t>
  </si>
  <si>
    <t>Dividentet e arketuar</t>
  </si>
  <si>
    <t>Paraja neto, e perdorur ne aktivitetet investuese</t>
  </si>
  <si>
    <t>Fluksi i parave nga veprimtarite financiare</t>
  </si>
  <si>
    <t>Te ardhura nga emetimi i kapitalit aksionar</t>
  </si>
  <si>
    <t>Te ardhura nga huamarrje afatgjata dhe afatshkurtra</t>
  </si>
  <si>
    <t>Pagesat e detyrimeve te qirase financiare</t>
  </si>
  <si>
    <t>Pagesa nga huamarrje afatgjata dhe afatshkurtra</t>
  </si>
  <si>
    <t>Dividentet e paguar</t>
  </si>
  <si>
    <t>Paraja neto e perdorur ne aktivitetet financiare</t>
  </si>
  <si>
    <t>Rritja / renia neto e mjeteve monetare</t>
  </si>
  <si>
    <t>Mjetet monetare ne fillim te periudhes kontabel</t>
  </si>
  <si>
    <t>Mjetet monetare ne fund te periudhes kontabel</t>
  </si>
  <si>
    <t>BILANCI KONTABEL</t>
  </si>
  <si>
    <t>Monedha: LEK</t>
  </si>
  <si>
    <t>Nr.</t>
  </si>
  <si>
    <t>Rezerva ligjore</t>
  </si>
  <si>
    <t>IV</t>
  </si>
  <si>
    <t>V</t>
  </si>
  <si>
    <t>Totali ( Sipas SKK nr 5 )</t>
  </si>
  <si>
    <t>Rritje / renie ne tepricen e kerkesave te arketueshme nga aktiviteti, 
si dhe kerkesave te arketueshme te tjera</t>
  </si>
  <si>
    <t>Shenimet</t>
  </si>
  <si>
    <t xml:space="preserve">Pasqyra e te Ardhurave dhe Shpenzimeve </t>
  </si>
  <si>
    <t>Pasqyra e CASH FLOW</t>
  </si>
  <si>
    <t xml:space="preserve">Pasqyra e ndryshimeve ne kapital </t>
  </si>
  <si>
    <t xml:space="preserve">Kapitali aksionar qe i perket aksionareve te shoqerise meme </t>
  </si>
  <si>
    <t xml:space="preserve">Pershkrimi </t>
  </si>
  <si>
    <t xml:space="preserve">Kapitali 
aksionar </t>
  </si>
  <si>
    <t>Primi i 
aksionit</t>
  </si>
  <si>
    <t>Aksione te 
thesarit</t>
  </si>
  <si>
    <t xml:space="preserve">Rezerva te 
 konvertimit 
te 
monedh.
te huaja </t>
  </si>
  <si>
    <t xml:space="preserve">Fitimi i 
pashper
ndare </t>
  </si>
  <si>
    <t xml:space="preserve">Totali </t>
  </si>
  <si>
    <t>Zoterimet 
e 
aksionareve 
te pakices</t>
  </si>
  <si>
    <t xml:space="preserve">Efekti I ndryshimeve ne 
politikat kontabel </t>
  </si>
  <si>
    <t xml:space="preserve">Pozicioni I rregulluar </t>
  </si>
  <si>
    <t xml:space="preserve">Efektet e ndryshimit te 
kurseve te kembimit gjate 
konsolidimit </t>
  </si>
  <si>
    <t xml:space="preserve">Totali I te ardhurave apo 
shpenzimeve , qe nuk jane 
njohur ne pasqyren e 
te ardhurave dhe shpenzimeve </t>
  </si>
  <si>
    <t xml:space="preserve">Fitimineto I vitit financiar </t>
  </si>
  <si>
    <t xml:space="preserve">Dividentet e paguar </t>
  </si>
  <si>
    <t xml:space="preserve">Transferime ne rezerven e 
detyrueshme statutore </t>
  </si>
  <si>
    <t xml:space="preserve">Emetimi I kapitalit aksionar </t>
  </si>
  <si>
    <t xml:space="preserve">Fitimi neto per periudhen 
kontabel </t>
  </si>
  <si>
    <t xml:space="preserve">Dividente te paguar </t>
  </si>
  <si>
    <t xml:space="preserve">Aksione te thesarit te riblera </t>
  </si>
  <si>
    <t>S H E N I M E T          S P J E G U E S E</t>
  </si>
  <si>
    <t xml:space="preserve">kuadrin kontabel dhe ligjor ne te cilat eshte mbeshtetur ai si dhe parimet te cilat jane </t>
  </si>
  <si>
    <t xml:space="preserve"> zbatuar gjate ndertimit te ketyre pasqyrave - bashkengjutur po  japim nje nje material </t>
  </si>
  <si>
    <t xml:space="preserve"> </t>
  </si>
  <si>
    <t>Per Drejtimin  e Njesise  Ekonomike</t>
  </si>
  <si>
    <t xml:space="preserve">     Administrator</t>
  </si>
  <si>
    <t xml:space="preserve">Emertimi </t>
  </si>
  <si>
    <t>Statusi   Juridik</t>
  </si>
  <si>
    <t>Adresa e Selise</t>
  </si>
  <si>
    <t>N.I.P.T -i</t>
  </si>
  <si>
    <t>Data e krijimit</t>
  </si>
  <si>
    <t>Nr. i  Regjistrit  Tregetar</t>
  </si>
  <si>
    <t>Veprimtaria  Kryesore</t>
  </si>
  <si>
    <t>P A S Q Y R A T     F I N A N C I A R E</t>
  </si>
  <si>
    <t xml:space="preserve">(  Ne zbatim te Standartit Kombetar te Kontabilitetit Nr.2 dhe </t>
  </si>
  <si>
    <t>Ligjit Nr. 9228 Date 29.04.2004     Per Kontabilitetin dhe Pasqyrat Financiare  )</t>
  </si>
  <si>
    <t xml:space="preserve">  Periudha    Nga</t>
  </si>
  <si>
    <t>Deri   me</t>
  </si>
  <si>
    <t xml:space="preserve">  Data  e  mbylljes</t>
  </si>
  <si>
    <t xml:space="preserve">  Miratuar  nga</t>
  </si>
  <si>
    <t>me  date</t>
  </si>
  <si>
    <t xml:space="preserve">  Data e depozitimit</t>
  </si>
  <si>
    <t>Emertimi</t>
  </si>
  <si>
    <t>Sasia</t>
  </si>
  <si>
    <t>Gjendje</t>
  </si>
  <si>
    <t>Shtesa</t>
  </si>
  <si>
    <t>Pakesime</t>
  </si>
  <si>
    <t>Toka</t>
  </si>
  <si>
    <t>Ndertime</t>
  </si>
  <si>
    <t>Makineri,paisje</t>
  </si>
  <si>
    <t>Mjete transporti</t>
  </si>
  <si>
    <t>kompjuterike (kasa fiskale)</t>
  </si>
  <si>
    <t>Zyre</t>
  </si>
  <si>
    <t xml:space="preserve">             TOTALI</t>
  </si>
  <si>
    <t>Makineri,paisje,vegla</t>
  </si>
  <si>
    <t>kompjuterike</t>
  </si>
  <si>
    <t>Administratori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</si>
  <si>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</si>
  <si>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</si>
  <si>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</si>
  <si>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</si>
  <si>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</si>
  <si>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</si>
  <si>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</si>
  <si>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</si>
  <si>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</si>
  <si>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</si>
  <si>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</si>
  <si>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</si>
  <si>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</si>
  <si>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</si>
  <si>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</si>
  <si>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</si>
  <si>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</si>
  <si>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</si>
  <si>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</si>
  <si>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</si>
  <si>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</si>
  <si>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</si>
  <si>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</si>
  <si>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</si>
  <si>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</si>
  <si>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</si>
  <si>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</si>
  <si>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</si>
  <si>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</si>
  <si>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</si>
  <si>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</si>
  <si>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</si>
  <si>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</si>
  <si>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</si>
  <si>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</si>
  <si>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</si>
  <si>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</si>
  <si>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</si>
  <si>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</si>
  <si>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</si>
  <si>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</si>
  <si>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</si>
  <si>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</si>
  <si>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</si>
  <si>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</si>
  <si>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</si>
  <si>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</si>
  <si>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</si>
  <si>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</si>
  <si>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</si>
  <si>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</si>
  <si>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</si>
  <si>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</si>
  <si>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</si>
  <si>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</si>
  <si>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</si>
  <si>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</si>
  <si>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</si>
  <si>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</si>
  <si>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</si>
  <si>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</si>
  <si>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</si>
  <si>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</si>
  <si>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</si>
  <si>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</si>
  <si>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</si>
  <si>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</si>
  <si>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</si>
  <si>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</si>
  <si>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</si>
  <si>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</si>
  <si>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</si>
  <si>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</si>
  <si>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</si>
  <si>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</si>
  <si>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</si>
  <si>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 xml:space="preserve">Shpenzime per sherbime bankare  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</si>
  <si>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</si>
  <si>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</si>
  <si>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</si>
  <si>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</si>
  <si>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</si>
  <si>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</si>
  <si>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</si>
  <si>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</si>
  <si>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</si>
  <si>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</si>
  <si>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</si>
  <si>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</si>
  <si>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</si>
  <si>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</si>
  <si>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</si>
  <si>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NIPT</t>
  </si>
  <si>
    <t>Aktiviteti  kryesor</t>
  </si>
  <si>
    <t>Aktiviteti dytesor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</si>
  <si>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</si>
  <si>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</si>
  <si>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</si>
  <si>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</si>
  <si>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</si>
  <si>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</si>
  <si>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</si>
  <si>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</si>
  <si>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</si>
  <si>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</si>
  <si>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</si>
  <si>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</si>
  <si>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</si>
  <si>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</si>
  <si>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</si>
  <si>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</si>
  <si>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</si>
  <si>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</si>
  <si>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</si>
  <si>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</si>
  <si>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</si>
  <si>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</si>
  <si>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</si>
  <si>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</si>
  <si>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</si>
  <si>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</si>
  <si>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</si>
  <si>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</si>
  <si>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</si>
  <si>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</si>
  <si>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</si>
  <si>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</si>
  <si>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</si>
  <si>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</si>
  <si>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</si>
  <si>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</si>
  <si>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</si>
  <si>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</si>
  <si>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</si>
  <si>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</si>
  <si>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</si>
  <si>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</si>
  <si>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</si>
  <si>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</si>
  <si>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</si>
  <si>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</si>
  <si>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</si>
  <si>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</si>
  <si>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</si>
  <si>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</si>
  <si>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</si>
  <si>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</si>
  <si>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</si>
  <si>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</si>
  <si>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</si>
  <si>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</si>
  <si>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</si>
  <si>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</si>
  <si>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</si>
  <si>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</si>
  <si>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</si>
  <si>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</si>
  <si>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</si>
  <si>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</si>
  <si>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>Lloji automjetit</t>
  </si>
  <si>
    <t>Kapaciteti</t>
  </si>
  <si>
    <t>Targa</t>
  </si>
  <si>
    <t>Vlera</t>
  </si>
  <si>
    <t>Shuma</t>
  </si>
  <si>
    <t>Per Drejtimin e Shoqerise</t>
  </si>
  <si>
    <t>I N V E N T A R I   i    MALLAVE</t>
  </si>
  <si>
    <t>Subjekti</t>
  </si>
  <si>
    <t>NIPT-I</t>
  </si>
  <si>
    <t>Adresa Vep.</t>
  </si>
  <si>
    <t>Telefoni</t>
  </si>
  <si>
    <t>Artikulli</t>
  </si>
  <si>
    <t>Nj / M</t>
  </si>
  <si>
    <t>Kosto</t>
  </si>
  <si>
    <t xml:space="preserve">Auto Start Group (A.S.G) </t>
  </si>
  <si>
    <t>L11827007A</t>
  </si>
  <si>
    <t>Qershor   2010</t>
  </si>
  <si>
    <t>Administratori i Shoqerise     z.Artan Kola</t>
  </si>
  <si>
    <t xml:space="preserve"> Auto Start Group (A.S.G) </t>
  </si>
  <si>
    <t>Pozicioni me 31 Dhjetor 2011</t>
  </si>
  <si>
    <t>Auto Start Group (A.S.G)</t>
  </si>
  <si>
    <t>Import Eksport, Artikuj industrial dhe pjese kembimi</t>
  </si>
  <si>
    <t xml:space="preserve">Koder Kamez Tirane </t>
  </si>
  <si>
    <t xml:space="preserve">   ++ 355 68 20 64 618</t>
  </si>
  <si>
    <t>NIPTI L11827007A</t>
  </si>
  <si>
    <t>ARTAN KOLA</t>
  </si>
  <si>
    <t>Import Eksport , Tregetim me shumice dhe pakice</t>
  </si>
  <si>
    <t>artikuj industriale,pjese kembimi per makina .</t>
  </si>
  <si>
    <t>Bateri 72 AH</t>
  </si>
  <si>
    <t>cope</t>
  </si>
  <si>
    <t>P.S</t>
  </si>
  <si>
    <t>Jane paraqitur mallrat ( pjese kembimi ) qe zene nj peshe me te larte ne vleren e iventarit</t>
  </si>
  <si>
    <t>_______________ 2013</t>
  </si>
  <si>
    <t>Vitit ushtrimor
2012</t>
  </si>
  <si>
    <t>Viti Para-ardhes
2011</t>
  </si>
  <si>
    <t>Viti 2012</t>
  </si>
  <si>
    <t>Pozicioni me 31 Dhjetor 2012</t>
  </si>
  <si>
    <t>Transferime ne rezerven e 
detyrueshme statutore + te tjera</t>
  </si>
  <si>
    <t>Sh.a</t>
  </si>
  <si>
    <r>
      <t xml:space="preserve">Shoqeria </t>
    </r>
    <r>
      <rPr>
        <sz val="12"/>
        <rFont val="Arial"/>
        <family val="2"/>
      </rPr>
      <t xml:space="preserve"> Auto Start Group (A.S.G) SH.A</t>
    </r>
  </si>
  <si>
    <t>Ciklomotorr</t>
  </si>
  <si>
    <t>Autoveture Wolswagen Touareg</t>
  </si>
  <si>
    <t>1+1</t>
  </si>
  <si>
    <t>4+1</t>
  </si>
  <si>
    <t>Autoveture Opel Safira</t>
  </si>
  <si>
    <t>Vaj Professional Hundert 10 W - 40</t>
  </si>
  <si>
    <t>Vaj lubrifikant Professional Hundert 15W-40</t>
  </si>
  <si>
    <t>Vaj Profesional Hundert High Tech special 5W- 30</t>
  </si>
  <si>
    <t>Valj lubrifikant Exelent ( motorri )</t>
  </si>
  <si>
    <t>antifrize Koncentrat ( blu , kuqe ) 1.5 lit</t>
  </si>
  <si>
    <t>Vaj Profesional Hundert 5,10 W - 40</t>
  </si>
  <si>
    <t>Vaj Motorri Profesional Hundert profil line</t>
  </si>
  <si>
    <t>Ferrota Hexen te ndryshme</t>
  </si>
  <si>
    <t>Vaj lubrifikant Professional Hundert 20 W - 50</t>
  </si>
  <si>
    <t>Ferrota per Mercedes ( C, E etc)</t>
  </si>
  <si>
    <t>Filter  nafte  hexen</t>
  </si>
  <si>
    <t>Bateri banmh 60AH</t>
  </si>
  <si>
    <t>Vaj Hidraulik Professional Hundert hlp iso 46,68</t>
  </si>
  <si>
    <t>Filtra vaji Hexen te ndryshem</t>
  </si>
  <si>
    <t>Preparat lares</t>
  </si>
  <si>
    <t>Filter vaji hexen</t>
  </si>
  <si>
    <t>Rripa te dhembezuar 180 - 240 cm</t>
  </si>
  <si>
    <t>Kandele ACT</t>
  </si>
  <si>
    <t>Llampa Hexen 12-24 v</t>
  </si>
  <si>
    <t>Kandele</t>
  </si>
  <si>
    <t>Ferrota (mercedes sh)</t>
  </si>
  <si>
    <t>Rripa te dhembezuar me seksion V</t>
  </si>
  <si>
    <t>Ferrota (audi ,ford Sh)</t>
  </si>
  <si>
    <t>Filter nafte hexen</t>
  </si>
  <si>
    <t>Filter vaji</t>
  </si>
  <si>
    <t>Kandele BCT</t>
  </si>
  <si>
    <t>Silikon ( i zi ,gri , kuq ) Excelent</t>
  </si>
  <si>
    <t>Liter</t>
  </si>
  <si>
    <t xml:space="preserve">Te tjera pjese kembimi </t>
  </si>
  <si>
    <t>2012</t>
  </si>
  <si>
    <t>6+1</t>
  </si>
  <si>
    <t>Vitit ushtrimor
2013</t>
  </si>
  <si>
    <t>Viti Para-ardhes
2012</t>
  </si>
  <si>
    <t>Periudha :01/01/2013-31/12/2013</t>
  </si>
  <si>
    <t>Per te dhene qartesisht  menyren e perpilimit te pasqyrave financiar per  vitin 2013,</t>
  </si>
  <si>
    <t xml:space="preserve"> me " shenimet shpjeguese per pasqyrat financiare te vitit 2013" (anekset ) .</t>
  </si>
  <si>
    <t>31.12.2013</t>
  </si>
  <si>
    <t>Inventari automjeteve ne pronesi te subjektit   2013</t>
  </si>
  <si>
    <t>Aktivet Afatgjata Materiale  me vlere fillestare   2013</t>
  </si>
  <si>
    <t>Amortizimi A.A.Materiale   2013</t>
  </si>
  <si>
    <t>Vlera Kontabel Neto e A.A.Materiale  2013</t>
  </si>
  <si>
    <t>Viti 2013</t>
  </si>
  <si>
    <t>01.01.2013</t>
  </si>
  <si>
    <t>____________ 2014</t>
  </si>
  <si>
    <t xml:space="preserve">  _____________ 2014</t>
  </si>
  <si>
    <t>Rezerva 
te Tjera</t>
  </si>
  <si>
    <t>VITI 2013</t>
  </si>
  <si>
    <t xml:space="preserve">PUNOI </t>
  </si>
  <si>
    <t>BLEDAR STRELCA</t>
  </si>
  <si>
    <t>Vaj Profesional 100 Top Level Truck SHPD 15W- 40</t>
  </si>
  <si>
    <t>lit</t>
  </si>
  <si>
    <t>RAUFOIL SEMI-SYNTHETIC SL/CF 10W40 5LIT</t>
  </si>
  <si>
    <t>RAUFOIL SEMI-SYNTHETIC SL/CF 10W40 1LIT</t>
  </si>
  <si>
    <t>RAUFOIL MULTIGRADE SJ/CF-4 15W40 5LIT</t>
  </si>
  <si>
    <t>Vaj Profesional Hundert 15 W 40</t>
  </si>
  <si>
    <t>DYNAMAX ULTRA 1L G12</t>
  </si>
  <si>
    <t>Kg</t>
  </si>
  <si>
    <t>RAUFOIL TURBO SHPD CI-4 15W40 20LIT</t>
  </si>
  <si>
    <t>RAUFOIL TOP SYNTHETIC SN/CF 5W40 5LIT</t>
  </si>
  <si>
    <t>Amortizator PL</t>
  </si>
  <si>
    <t>RAUFOIL MULTIGRADE SJ/CF-4 15W40 1LIT</t>
  </si>
  <si>
    <t>Bateri banmh 72 AH</t>
  </si>
  <si>
    <t>DYNAMAX AL 1L G11</t>
  </si>
  <si>
    <t>Amortizatore PL</t>
  </si>
  <si>
    <t>RAUFOIL ATF DEXRON IIIH 1LIT</t>
  </si>
  <si>
    <t>RAUFOIL TURBO SHPD CI-4 15W40 5LIT</t>
  </si>
  <si>
    <t>lLAMPA h1 p14,pk22S 55-70 Alogene</t>
  </si>
  <si>
    <t>RAUFOIL ATF DEXRON IID  1LIT</t>
  </si>
  <si>
    <t>Vaj hidraulik Personal Hundert</t>
  </si>
  <si>
    <t>RAUFOIL TOP SYNTHETIC SN/CF 5W40 1LIT</t>
  </si>
  <si>
    <t>RAUFOIL HLP ISO 68 20LIT</t>
  </si>
  <si>
    <t>Bateri 105 AH</t>
  </si>
  <si>
    <t>DYNAMAX P C-DIESEL  PLUS 10W40 1L</t>
  </si>
  <si>
    <t>DYNAMAX C-TURBO PLUS 15W40 4L</t>
  </si>
  <si>
    <t>Bateri V 68</t>
  </si>
  <si>
    <t>Bateri 88 AH</t>
  </si>
  <si>
    <t>DYNAMAX P C-ULTRA 5W40 4L</t>
  </si>
  <si>
    <t>DYNAMAX T-TRUCK. X 15W40 4L</t>
  </si>
  <si>
    <t>CASTROL MAGNATEC 5W40 1LIT</t>
  </si>
  <si>
    <t>DYNAMAX G-HYPOL PP80W90  GL4 1L</t>
  </si>
  <si>
    <t>Bateri V silver 83</t>
  </si>
  <si>
    <t>DYNAMAX TRUCK. X 15W40 10L</t>
  </si>
  <si>
    <t>Filter Vaji  (03)</t>
  </si>
  <si>
    <t>Bateri 60 AH</t>
  </si>
  <si>
    <t>CASTROL ATF DEX III</t>
  </si>
  <si>
    <t>Alkol frenash Profesional Hundert</t>
  </si>
  <si>
    <t>05lit</t>
  </si>
  <si>
    <t>Bateri BAFC 85</t>
  </si>
  <si>
    <t>Ferrota (mercedes)</t>
  </si>
  <si>
    <t>Graso alba</t>
  </si>
  <si>
    <t>Vaj Exelent Hidraulik</t>
  </si>
  <si>
    <t>DYNAMAX P C-BENZIN PLUS 10W40 1L</t>
  </si>
  <si>
    <t>Bateri 12 V 36 AH( BAMP036)</t>
  </si>
  <si>
    <t>DYNAMAX C-TURBO PLUS 15W40 1L</t>
  </si>
  <si>
    <t>Llampa te ndryshme</t>
  </si>
  <si>
    <t>CASTROL MAGNATEC 10W40 4LIT</t>
  </si>
  <si>
    <t>CASTROL  EDGE 5W30 4LIT</t>
  </si>
  <si>
    <t>DYNAMAX P C-BENZIN PLUS 10W40 4L</t>
  </si>
  <si>
    <t>DYNAMAX P C-DIESEL  PLUS 10W40 4L</t>
  </si>
  <si>
    <t>Bateri V 100 mb</t>
  </si>
  <si>
    <t>Bateri V 80</t>
  </si>
  <si>
    <t>CASTROL EDGE 5W40 TD 4LIT</t>
  </si>
  <si>
    <t>CASTROL MAGNATEC 5W40 4LIT</t>
  </si>
  <si>
    <t>CASTROL MAGNATEC 10W40 1LIT</t>
  </si>
  <si>
    <t>Bateri 85 AH</t>
  </si>
  <si>
    <t>DYNAMAX P C-ULTRA 5W40 1L</t>
  </si>
  <si>
    <t>CASTROL  EDGE 5W30 1LIT</t>
  </si>
  <si>
    <t>DYNAMAX T-TRUCK. X 15W40 20L</t>
  </si>
  <si>
    <t>Amortizatore</t>
  </si>
  <si>
    <t>DYNAMAX AL 4L G11</t>
  </si>
  <si>
    <t>DYNAMAX AL 25L G11</t>
  </si>
  <si>
    <t>CASTROL EDGE 5W40 TD 1LIT</t>
  </si>
  <si>
    <t xml:space="preserve">Gjoba penalitete 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</si>
</sst>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"/>
    <numFmt numFmtId="165" formatCode="_-* #,##0_-;\-* #,##0_-;_-* &quot;-&quot;??_-;_-@_-"/>
    <numFmt numFmtId="166" formatCode="0.0"/>
    <numFmt numFmtId="167" formatCode="_-* #,##0.00_L_e_k_-;\-* #,##0.00_L_e_k_-;_-* &quot;-&quot;??_L_e_k_-;_-@_-"/>
    <numFmt numFmtId="168" formatCode="_(* #,##0_);_(* \(#,##0\);_(* &quot;-&quot;??_);_(@_)"/>
    <numFmt numFmtId="169" formatCode="_(* #,##0.0_);_(* \(#,##0.0\);_(* &quot;-&quot;??_);_(@_)"/>
    <numFmt numFmtId="170" formatCode="_(* #,##0.000_);_(* \(#,##0.000\);_(* &quot;-&quot;??_);_(@_)"/>
    <numFmt numFmtId="171" formatCode="0.0%"/>
    <numFmt numFmtId="172" formatCode="_-* #,##0_L_e_k_ë_-;\-* #,##0_L_e_k_ë_-;_-* &quot;-&quot;??_L_e_k_ë_-;_-@_-"/>
    <numFmt numFmtId="173" formatCode="#,##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_);\-#,##0.0"/>
    <numFmt numFmtId="180" formatCode="#,##0_);\-#,##0"/>
    <numFmt numFmtId="181" formatCode="_(* #,##0.0000_);_(* \(#,##0.0000\);_(* &quot;-&quot;??_);_(@_)"/>
    <numFmt numFmtId="182" formatCode="dd/mm/yyyy"/>
    <numFmt numFmtId="183" formatCode="#,##0.000"/>
    <numFmt numFmtId="184" formatCode="#,##0.0000"/>
    <numFmt numFmtId="185" formatCode="#,##0.00000"/>
    <numFmt numFmtId="186" formatCode="#,##0.000000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_);_(* \(#,##0.0\);_(* &quot;-&quot;?_);_(@_)"/>
    <numFmt numFmtId="192" formatCode="_(* #,##0.000_);_(* \(#,##0.000\);_(* &quot;-&quot;???_);_(@_)"/>
    <numFmt numFmtId="193" formatCode="0.00000000000000000"/>
    <numFmt numFmtId="194" formatCode="0.00000000"/>
    <numFmt numFmtId="195" formatCode="0.0000000000000"/>
    <numFmt numFmtId="196" formatCode="&quot;Ls&quot;\ #,##0;\-&quot;Ls&quot;\ #,##0"/>
    <numFmt numFmtId="197" formatCode="&quot;Ls&quot;\ #,##0;[Red]\-&quot;Ls&quot;\ #,##0"/>
    <numFmt numFmtId="198" formatCode="&quot;Ls&quot;\ #,##0.00;\-&quot;Ls&quot;\ #,##0.00"/>
    <numFmt numFmtId="199" formatCode="&quot;Ls&quot;\ #,##0.00;[Red]\-&quot;Ls&quot;\ #,##0.00"/>
    <numFmt numFmtId="200" formatCode="_-&quot;Ls&quot;\ * #,##0_-;\-&quot;Ls&quot;\ * #,##0_-;_-&quot;Ls&quot;\ * &quot;-&quot;_-;_-@_-"/>
    <numFmt numFmtId="201" formatCode="_-* #,##0_-;\-* #,##0_-;_-* &quot;-&quot;_-;_-@_-"/>
    <numFmt numFmtId="202" formatCode="_-&quot;Ls&quot;\ * #,##0.00_-;\-&quot;Ls&quot;\ * #,##0.00_-;_-&quot;Ls&quot;\ * &quot;-&quot;??_-;_-@_-"/>
    <numFmt numFmtId="203" formatCode="_-* #,##0.00_-;\-* #,##0.00_-;_-* &quot;-&quot;??_-;_-@_-"/>
    <numFmt numFmtId="204" formatCode="&quot;£&quot;#,##0;\-&quot;£&quot;#,##0"/>
    <numFmt numFmtId="205" formatCode="&quot;£&quot;#,##0;[Red]\-&quot;£&quot;#,##0"/>
    <numFmt numFmtId="206" formatCode="&quot;£&quot;#,##0.00;\-&quot;£&quot;#,##0.00"/>
    <numFmt numFmtId="207" formatCode="&quot;£&quot;#,##0.00;[Red]\-&quot;£&quot;#,##0.00"/>
    <numFmt numFmtId="208" formatCode="_-&quot;£&quot;* #,##0_-;\-&quot;£&quot;* #,##0_-;_-&quot;£&quot;* &quot;-&quot;_-;_-@_-"/>
    <numFmt numFmtId="209" formatCode="_-&quot;£&quot;* #,##0.00_-;\-&quot;£&quot;* #,##0.00_-;_-&quot;£&quot;* &quot;-&quot;??_-;_-@_-"/>
    <numFmt numFmtId="210" formatCode="#,##0.0_);\(#,##0.0\)"/>
    <numFmt numFmtId="211" formatCode="#,##0.00000000"/>
    <numFmt numFmtId="212" formatCode="#,##0.0000000"/>
    <numFmt numFmtId="213" formatCode="#,##0.000000000"/>
    <numFmt numFmtId="214" formatCode="&quot;€&quot;\ #,##0;\-&quot;€&quot;\ #,##0"/>
    <numFmt numFmtId="215" formatCode="&quot;€&quot;\ #,##0;[Red]\-&quot;€&quot;\ #,##0"/>
    <numFmt numFmtId="216" formatCode="&quot;€&quot;\ #,##0.00;\-&quot;€&quot;\ #,##0.00"/>
    <numFmt numFmtId="217" formatCode="&quot;€&quot;\ #,##0.00;[Red]\-&quot;€&quot;\ #,##0.00"/>
    <numFmt numFmtId="218" formatCode="_-&quot;€&quot;\ * #,##0_-;\-&quot;€&quot;\ * #,##0_-;_-&quot;€&quot;\ * &quot;-&quot;_-;_-@_-"/>
    <numFmt numFmtId="219" formatCode="_-&quot;€&quot;\ * #,##0.00_-;\-&quot;€&quot;\ * #,##0.00_-;_-&quot;€&quot;\ * &quot;-&quot;??_-;_-@_-"/>
    <numFmt numFmtId="220" formatCode="#,##0&quot;Lek&quot;;\-#,##0&quot;Lek&quot;"/>
    <numFmt numFmtId="221" formatCode="#,##0&quot;Lek&quot;;[Red]\-#,##0&quot;Lek&quot;"/>
    <numFmt numFmtId="222" formatCode="#,##0.00&quot;Lek&quot;;\-#,##0.00&quot;Lek&quot;"/>
    <numFmt numFmtId="223" formatCode="#,##0.00&quot;Lek&quot;;[Red]\-#,##0.00&quot;Lek&quot;"/>
    <numFmt numFmtId="224" formatCode="_-* #,##0&quot;Lek&quot;_-;\-* #,##0&quot;Lek&quot;_-;_-* &quot;-&quot;&quot;Lek&quot;_-;_-@_-"/>
    <numFmt numFmtId="225" formatCode="_-* #,##0_L_e_k_-;\-* #,##0_L_e_k_-;_-* &quot;-&quot;_L_e_k_-;_-@_-"/>
    <numFmt numFmtId="226" formatCode="_-* #,##0.00&quot;Lek&quot;_-;\-* #,##0.00&quot;Lek&quot;_-;_-* &quot;-&quot;??&quot;Lek&quot;_-;_-@_-"/>
  </numFmts>
  <fonts count="9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3.45"/>
      <color indexed="8"/>
      <name val="Times New Roman"/>
      <family val="1"/>
    </font>
    <font>
      <sz val="10"/>
      <color indexed="8"/>
      <name val="MS Sans Serif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11"/>
      <name val="Calibri"/>
      <family val="2"/>
    </font>
    <font>
      <u val="single"/>
      <sz val="12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8.05"/>
      <color indexed="8"/>
      <name val="Arial"/>
      <family val="0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4"/>
      </left>
      <right style="thin">
        <color indexed="44"/>
      </right>
      <top style="thin">
        <color indexed="48"/>
      </top>
      <bottom style="thin">
        <color indexed="44"/>
      </bottom>
    </border>
    <border>
      <left style="thin">
        <color indexed="44"/>
      </left>
      <right style="thin">
        <color indexed="48"/>
      </right>
      <top style="thin">
        <color indexed="48"/>
      </top>
      <bottom style="thin">
        <color indexed="44"/>
      </bottom>
    </border>
    <border>
      <left style="thin">
        <color indexed="48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8"/>
      </right>
      <top style="thin">
        <color indexed="44"/>
      </top>
      <bottom style="thin">
        <color indexed="44"/>
      </bottom>
    </border>
    <border>
      <left style="thin">
        <color indexed="48"/>
      </left>
      <right style="thin">
        <color indexed="44"/>
      </right>
      <top style="thin">
        <color indexed="48"/>
      </top>
      <bottom style="thin">
        <color indexed="44"/>
      </bottom>
    </border>
    <border>
      <left style="thin">
        <color indexed="48"/>
      </left>
      <right style="thin">
        <color indexed="44"/>
      </right>
      <top style="thin">
        <color indexed="44"/>
      </top>
      <bottom style="thin">
        <color indexed="48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8"/>
      </bottom>
    </border>
    <border>
      <left style="thin">
        <color indexed="44"/>
      </left>
      <right style="thin">
        <color indexed="48"/>
      </right>
      <top style="thin">
        <color indexed="44"/>
      </top>
      <bottom style="thin">
        <color indexed="48"/>
      </bottom>
    </border>
    <border>
      <left style="thin">
        <color indexed="40"/>
      </left>
      <right style="thin">
        <color indexed="44"/>
      </right>
      <top style="thin">
        <color indexed="40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0"/>
      </top>
      <bottom style="thin">
        <color indexed="44"/>
      </bottom>
    </border>
    <border>
      <left style="thin">
        <color indexed="44"/>
      </left>
      <right style="thin">
        <color indexed="40"/>
      </right>
      <top style="thin">
        <color indexed="40"/>
      </top>
      <bottom style="thin">
        <color indexed="44"/>
      </bottom>
    </border>
    <border>
      <left style="thin">
        <color indexed="40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0"/>
      </right>
      <top style="thin">
        <color indexed="44"/>
      </top>
      <bottom style="thin">
        <color indexed="44"/>
      </bottom>
    </border>
    <border>
      <left style="thin">
        <color indexed="40"/>
      </left>
      <right style="thin">
        <color indexed="44"/>
      </right>
      <top style="thin">
        <color indexed="44"/>
      </top>
      <bottom style="thin">
        <color indexed="40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0"/>
      </bottom>
    </border>
    <border>
      <left style="thin">
        <color indexed="44"/>
      </left>
      <right style="thin">
        <color indexed="40"/>
      </right>
      <top style="thin">
        <color indexed="44"/>
      </top>
      <bottom style="thin">
        <color indexed="40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hair">
        <color indexed="40"/>
      </top>
      <bottom style="hair">
        <color indexed="40"/>
      </bottom>
    </border>
    <border>
      <left style="thin">
        <color indexed="40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 style="thin">
        <color indexed="4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 style="thin">
        <color indexed="40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hair">
        <color indexed="40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4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8"/>
      </top>
      <bottom style="thin">
        <color indexed="44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81" fillId="34" borderId="0" applyNumberFormat="0" applyBorder="0" applyAlignment="0" applyProtection="0"/>
    <xf numFmtId="0" fontId="81" fillId="35" borderId="0" applyNumberFormat="0" applyBorder="0" applyAlignment="0" applyProtection="0"/>
    <xf numFmtId="0" fontId="81" fillId="36" borderId="0" applyNumberFormat="0" applyBorder="0" applyAlignment="0" applyProtection="0"/>
    <xf numFmtId="0" fontId="81" fillId="37" borderId="0" applyNumberFormat="0" applyBorder="0" applyAlignment="0" applyProtection="0"/>
    <xf numFmtId="0" fontId="81" fillId="38" borderId="0" applyNumberFormat="0" applyBorder="0" applyAlignment="0" applyProtection="0"/>
    <xf numFmtId="0" fontId="81" fillId="39" borderId="0" applyNumberFormat="0" applyBorder="0" applyAlignment="0" applyProtection="0"/>
    <xf numFmtId="0" fontId="82" fillId="40" borderId="0" applyNumberFormat="0" applyBorder="0" applyAlignment="0" applyProtection="0"/>
    <xf numFmtId="0" fontId="83" fillId="41" borderId="1" applyNumberFormat="0" applyAlignment="0" applyProtection="0"/>
    <xf numFmtId="0" fontId="84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6" fillId="43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0" fillId="44" borderId="1" applyNumberFormat="0" applyAlignment="0" applyProtection="0"/>
    <xf numFmtId="0" fontId="91" fillId="0" borderId="6" applyNumberFormat="0" applyFill="0" applyAlignment="0" applyProtection="0"/>
    <xf numFmtId="0" fontId="92" fillId="45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50" fillId="0" borderId="0">
      <alignment/>
      <protection/>
    </xf>
    <xf numFmtId="0" fontId="0" fillId="46" borderId="7" applyNumberFormat="0" applyFont="0" applyAlignment="0" applyProtection="0"/>
    <xf numFmtId="0" fontId="93" fillId="41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0" borderId="0" applyNumberFormat="0" applyBorder="0" applyAlignment="0" applyProtection="0"/>
    <xf numFmtId="0" fontId="5" fillId="13" borderId="10" applyNumberFormat="0" applyAlignment="0" applyProtection="0"/>
    <xf numFmtId="0" fontId="6" fillId="51" borderId="11" applyNumberFormat="0" applyAlignment="0" applyProtection="0"/>
    <xf numFmtId="0" fontId="7" fillId="51" borderId="10" applyNumberFormat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5" applyNumberFormat="0" applyFill="0" applyAlignment="0" applyProtection="0"/>
    <xf numFmtId="0" fontId="12" fillId="52" borderId="16" applyNumberFormat="0" applyAlignment="0" applyProtection="0"/>
    <xf numFmtId="0" fontId="13" fillId="0" borderId="0" applyNumberFormat="0" applyFill="0" applyBorder="0" applyAlignment="0" applyProtection="0"/>
    <xf numFmtId="0" fontId="14" fillId="53" borderId="0" applyNumberFormat="0" applyBorder="0" applyAlignment="0" applyProtection="0"/>
    <xf numFmtId="0" fontId="15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</cellStyleXfs>
  <cellXfs count="440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21" xfId="0" applyFont="1" applyBorder="1" applyAlignment="1">
      <alignment/>
    </xf>
    <xf numFmtId="0" fontId="24" fillId="0" borderId="22" xfId="0" applyFont="1" applyBorder="1" applyAlignment="1">
      <alignment horizontal="center"/>
    </xf>
    <xf numFmtId="4" fontId="23" fillId="0" borderId="22" xfId="0" applyNumberFormat="1" applyFont="1" applyBorder="1" applyAlignment="1">
      <alignment/>
    </xf>
    <xf numFmtId="4" fontId="23" fillId="0" borderId="23" xfId="0" applyNumberFormat="1" applyFont="1" applyBorder="1" applyAlignment="1">
      <alignment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/>
    </xf>
    <xf numFmtId="0" fontId="22" fillId="0" borderId="22" xfId="0" applyFont="1" applyBorder="1" applyAlignment="1">
      <alignment horizontal="left" wrapText="1" indent="3"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 horizontal="left" indent="1"/>
    </xf>
    <xf numFmtId="0" fontId="22" fillId="0" borderId="22" xfId="0" applyFont="1" applyBorder="1" applyAlignment="1">
      <alignment/>
    </xf>
    <xf numFmtId="43" fontId="22" fillId="0" borderId="0" xfId="60" applyFont="1" applyAlignment="1">
      <alignment/>
    </xf>
    <xf numFmtId="0" fontId="22" fillId="0" borderId="22" xfId="0" applyFont="1" applyBorder="1" applyAlignment="1">
      <alignment horizontal="left" wrapText="1" indent="1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4" fontId="22" fillId="0" borderId="0" xfId="0" applyNumberFormat="1" applyFont="1" applyAlignment="1">
      <alignment/>
    </xf>
    <xf numFmtId="43" fontId="22" fillId="0" borderId="0" xfId="0" applyNumberFormat="1" applyFont="1" applyAlignment="1">
      <alignment/>
    </xf>
    <xf numFmtId="0" fontId="23" fillId="0" borderId="24" xfId="0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/>
    </xf>
    <xf numFmtId="0" fontId="22" fillId="0" borderId="22" xfId="0" applyFont="1" applyBorder="1" applyAlignment="1">
      <alignment horizontal="left" indent="3"/>
    </xf>
    <xf numFmtId="0" fontId="22" fillId="0" borderId="22" xfId="0" applyFont="1" applyBorder="1" applyAlignment="1">
      <alignment wrapText="1"/>
    </xf>
    <xf numFmtId="0" fontId="22" fillId="0" borderId="22" xfId="0" applyFont="1" applyBorder="1" applyAlignment="1">
      <alignment horizontal="left" indent="4"/>
    </xf>
    <xf numFmtId="0" fontId="22" fillId="0" borderId="22" xfId="0" applyFont="1" applyBorder="1" applyAlignment="1">
      <alignment vertical="center"/>
    </xf>
    <xf numFmtId="49" fontId="22" fillId="0" borderId="23" xfId="0" applyNumberFormat="1" applyFont="1" applyBorder="1" applyAlignment="1">
      <alignment horizontal="center" wrapText="1"/>
    </xf>
    <xf numFmtId="0" fontId="25" fillId="0" borderId="21" xfId="0" applyFont="1" applyBorder="1" applyAlignment="1">
      <alignment horizontal="center" vertical="center"/>
    </xf>
    <xf numFmtId="49" fontId="24" fillId="0" borderId="23" xfId="0" applyNumberFormat="1" applyFont="1" applyBorder="1" applyAlignment="1">
      <alignment horizontal="center"/>
    </xf>
    <xf numFmtId="49" fontId="23" fillId="53" borderId="23" xfId="0" applyNumberFormat="1" applyFont="1" applyFill="1" applyBorder="1" applyAlignment="1">
      <alignment horizontal="center"/>
    </xf>
    <xf numFmtId="49" fontId="23" fillId="55" borderId="23" xfId="0" applyNumberFormat="1" applyFont="1" applyFill="1" applyBorder="1" applyAlignment="1">
      <alignment horizontal="center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49" fontId="22" fillId="0" borderId="27" xfId="0" applyNumberFormat="1" applyFont="1" applyBorder="1" applyAlignment="1">
      <alignment horizontal="center"/>
    </xf>
    <xf numFmtId="0" fontId="22" fillId="0" borderId="22" xfId="0" applyFont="1" applyFill="1" applyBorder="1" applyAlignment="1">
      <alignment horizontal="left" wrapText="1" indent="3"/>
    </xf>
    <xf numFmtId="0" fontId="26" fillId="0" borderId="24" xfId="81" applyFont="1" applyBorder="1" applyAlignment="1">
      <alignment horizontal="center"/>
      <protection/>
    </xf>
    <xf numFmtId="0" fontId="26" fillId="0" borderId="19" xfId="81" applyFont="1" applyBorder="1" applyAlignment="1">
      <alignment horizontal="center"/>
      <protection/>
    </xf>
    <xf numFmtId="0" fontId="27" fillId="0" borderId="0" xfId="81" applyFont="1">
      <alignment/>
      <protection/>
    </xf>
    <xf numFmtId="0" fontId="27" fillId="0" borderId="21" xfId="81" applyFont="1" applyBorder="1">
      <alignment/>
      <protection/>
    </xf>
    <xf numFmtId="0" fontId="28" fillId="0" borderId="22" xfId="81" applyFont="1" applyBorder="1">
      <alignment/>
      <protection/>
    </xf>
    <xf numFmtId="0" fontId="27" fillId="0" borderId="22" xfId="81" applyFont="1" applyBorder="1">
      <alignment/>
      <protection/>
    </xf>
    <xf numFmtId="0" fontId="27" fillId="0" borderId="22" xfId="81" applyFont="1" applyBorder="1" applyAlignment="1">
      <alignment horizontal="left" vertical="distributed" indent="2"/>
      <protection/>
    </xf>
    <xf numFmtId="4" fontId="27" fillId="0" borderId="0" xfId="81" applyNumberFormat="1" applyFont="1">
      <alignment/>
      <protection/>
    </xf>
    <xf numFmtId="0" fontId="26" fillId="0" borderId="22" xfId="81" applyFont="1" applyBorder="1">
      <alignment/>
      <protection/>
    </xf>
    <xf numFmtId="0" fontId="27" fillId="0" borderId="22" xfId="81" applyFont="1" applyFill="1" applyBorder="1">
      <alignment/>
      <protection/>
    </xf>
    <xf numFmtId="0" fontId="26" fillId="0" borderId="22" xfId="81" applyFont="1" applyFill="1" applyBorder="1">
      <alignment/>
      <protection/>
    </xf>
    <xf numFmtId="0" fontId="27" fillId="0" borderId="25" xfId="81" applyFont="1" applyBorder="1">
      <alignment/>
      <protection/>
    </xf>
    <xf numFmtId="0" fontId="26" fillId="0" borderId="26" xfId="81" applyFont="1" applyFill="1" applyBorder="1">
      <alignment/>
      <protection/>
    </xf>
    <xf numFmtId="0" fontId="32" fillId="0" borderId="0" xfId="82" applyNumberFormat="1" applyFont="1" applyFill="1" applyBorder="1" applyAlignment="1" applyProtection="1">
      <alignment/>
      <protection/>
    </xf>
    <xf numFmtId="3" fontId="23" fillId="0" borderId="22" xfId="0" applyNumberFormat="1" applyFont="1" applyBorder="1" applyAlignment="1">
      <alignment/>
    </xf>
    <xf numFmtId="3" fontId="22" fillId="0" borderId="22" xfId="0" applyNumberFormat="1" applyFont="1" applyBorder="1" applyAlignment="1">
      <alignment/>
    </xf>
    <xf numFmtId="3" fontId="22" fillId="0" borderId="23" xfId="0" applyNumberFormat="1" applyFont="1" applyBorder="1" applyAlignment="1">
      <alignment/>
    </xf>
    <xf numFmtId="3" fontId="24" fillId="54" borderId="22" xfId="0" applyNumberFormat="1" applyFont="1" applyFill="1" applyBorder="1" applyAlignment="1">
      <alignment/>
    </xf>
    <xf numFmtId="3" fontId="23" fillId="0" borderId="23" xfId="0" applyNumberFormat="1" applyFont="1" applyBorder="1" applyAlignment="1">
      <alignment/>
    </xf>
    <xf numFmtId="3" fontId="25" fillId="0" borderId="22" xfId="0" applyNumberFormat="1" applyFont="1" applyBorder="1" applyAlignment="1">
      <alignment/>
    </xf>
    <xf numFmtId="3" fontId="22" fillId="0" borderId="22" xfId="0" applyNumberFormat="1" applyFont="1" applyFill="1" applyBorder="1" applyAlignment="1">
      <alignment/>
    </xf>
    <xf numFmtId="3" fontId="22" fillId="0" borderId="23" xfId="0" applyNumberFormat="1" applyFont="1" applyFill="1" applyBorder="1" applyAlignment="1">
      <alignment/>
    </xf>
    <xf numFmtId="3" fontId="24" fillId="54" borderId="23" xfId="0" applyNumberFormat="1" applyFont="1" applyFill="1" applyBorder="1" applyAlignment="1">
      <alignment/>
    </xf>
    <xf numFmtId="3" fontId="24" fillId="0" borderId="22" xfId="0" applyNumberFormat="1" applyFont="1" applyBorder="1" applyAlignment="1">
      <alignment/>
    </xf>
    <xf numFmtId="3" fontId="24" fillId="0" borderId="23" xfId="0" applyNumberFormat="1" applyFont="1" applyBorder="1" applyAlignment="1">
      <alignment/>
    </xf>
    <xf numFmtId="3" fontId="25" fillId="0" borderId="23" xfId="0" applyNumberFormat="1" applyFont="1" applyBorder="1" applyAlignment="1">
      <alignment/>
    </xf>
    <xf numFmtId="3" fontId="23" fillId="12" borderId="22" xfId="0" applyNumberFormat="1" applyFont="1" applyFill="1" applyBorder="1" applyAlignment="1">
      <alignment/>
    </xf>
    <xf numFmtId="3" fontId="23" fillId="13" borderId="26" xfId="0" applyNumberFormat="1" applyFont="1" applyFill="1" applyBorder="1" applyAlignment="1">
      <alignment/>
    </xf>
    <xf numFmtId="3" fontId="23" fillId="13" borderId="27" xfId="0" applyNumberFormat="1" applyFont="1" applyFill="1" applyBorder="1" applyAlignment="1">
      <alignment/>
    </xf>
    <xf numFmtId="0" fontId="23" fillId="0" borderId="20" xfId="0" applyFont="1" applyBorder="1" applyAlignment="1">
      <alignment horizontal="center" vertical="top" wrapText="1"/>
    </xf>
    <xf numFmtId="0" fontId="31" fillId="0" borderId="0" xfId="82" applyFont="1" applyAlignment="1">
      <alignment vertical="center"/>
      <protection/>
    </xf>
    <xf numFmtId="3" fontId="23" fillId="12" borderId="23" xfId="0" applyNumberFormat="1" applyFont="1" applyFill="1" applyBorder="1" applyAlignment="1">
      <alignment/>
    </xf>
    <xf numFmtId="3" fontId="23" fillId="13" borderId="22" xfId="0" applyNumberFormat="1" applyFont="1" applyFill="1" applyBorder="1" applyAlignment="1">
      <alignment/>
    </xf>
    <xf numFmtId="3" fontId="23" fillId="13" borderId="23" xfId="0" applyNumberFormat="1" applyFont="1" applyFill="1" applyBorder="1" applyAlignment="1">
      <alignment/>
    </xf>
    <xf numFmtId="3" fontId="25" fillId="0" borderId="22" xfId="0" applyNumberFormat="1" applyFont="1" applyBorder="1" applyAlignment="1">
      <alignment vertical="center"/>
    </xf>
    <xf numFmtId="3" fontId="24" fillId="53" borderId="22" xfId="0" applyNumberFormat="1" applyFont="1" applyFill="1" applyBorder="1" applyAlignment="1">
      <alignment/>
    </xf>
    <xf numFmtId="3" fontId="24" fillId="55" borderId="22" xfId="0" applyNumberFormat="1" applyFont="1" applyFill="1" applyBorder="1" applyAlignment="1">
      <alignment/>
    </xf>
    <xf numFmtId="3" fontId="22" fillId="0" borderId="26" xfId="0" applyNumberFormat="1" applyFont="1" applyBorder="1" applyAlignment="1">
      <alignment/>
    </xf>
    <xf numFmtId="3" fontId="24" fillId="12" borderId="22" xfId="0" applyNumberFormat="1" applyFont="1" applyFill="1" applyBorder="1" applyAlignment="1">
      <alignment/>
    </xf>
    <xf numFmtId="3" fontId="24" fillId="12" borderId="23" xfId="0" applyNumberFormat="1" applyFont="1" applyFill="1" applyBorder="1" applyAlignment="1">
      <alignment/>
    </xf>
    <xf numFmtId="49" fontId="22" fillId="12" borderId="23" xfId="0" applyNumberFormat="1" applyFont="1" applyFill="1" applyBorder="1" applyAlignment="1">
      <alignment horizontal="center"/>
    </xf>
    <xf numFmtId="0" fontId="27" fillId="0" borderId="22" xfId="81" applyFont="1" applyBorder="1" applyAlignment="1">
      <alignment vertical="justify" wrapText="1"/>
      <protection/>
    </xf>
    <xf numFmtId="0" fontId="22" fillId="0" borderId="22" xfId="0" applyFont="1" applyBorder="1" applyAlignment="1">
      <alignment horizontal="left" wrapText="1"/>
    </xf>
    <xf numFmtId="0" fontId="22" fillId="0" borderId="22" xfId="0" applyFont="1" applyFill="1" applyBorder="1" applyAlignment="1">
      <alignment horizontal="left" wrapText="1" indent="2"/>
    </xf>
    <xf numFmtId="3" fontId="23" fillId="0" borderId="22" xfId="0" applyNumberFormat="1" applyFont="1" applyFill="1" applyBorder="1" applyAlignment="1">
      <alignment/>
    </xf>
    <xf numFmtId="3" fontId="22" fillId="0" borderId="0" xfId="0" applyNumberFormat="1" applyFont="1" applyAlignment="1">
      <alignment/>
    </xf>
    <xf numFmtId="0" fontId="24" fillId="54" borderId="22" xfId="0" applyFont="1" applyFill="1" applyBorder="1" applyAlignment="1">
      <alignment horizontal="left"/>
    </xf>
    <xf numFmtId="0" fontId="31" fillId="0" borderId="0" xfId="82" applyFont="1" applyAlignment="1">
      <alignment horizontal="left" vertical="center"/>
      <protection/>
    </xf>
    <xf numFmtId="0" fontId="32" fillId="0" borderId="0" xfId="82" applyFont="1" applyAlignment="1">
      <alignment horizontal="left" vertical="center"/>
      <protection/>
    </xf>
    <xf numFmtId="0" fontId="23" fillId="0" borderId="19" xfId="0" applyFont="1" applyBorder="1" applyAlignment="1">
      <alignment horizontal="center" vertical="center"/>
    </xf>
    <xf numFmtId="0" fontId="24" fillId="12" borderId="22" xfId="0" applyFont="1" applyFill="1" applyBorder="1" applyAlignment="1">
      <alignment horizontal="left"/>
    </xf>
    <xf numFmtId="0" fontId="23" fillId="12" borderId="22" xfId="0" applyFont="1" applyFill="1" applyBorder="1" applyAlignment="1">
      <alignment horizontal="left"/>
    </xf>
    <xf numFmtId="0" fontId="24" fillId="13" borderId="26" xfId="0" applyFont="1" applyFill="1" applyBorder="1" applyAlignment="1">
      <alignment horizontal="left"/>
    </xf>
    <xf numFmtId="0" fontId="23" fillId="13" borderId="26" xfId="0" applyFont="1" applyFill="1" applyBorder="1" applyAlignment="1">
      <alignment horizontal="left"/>
    </xf>
    <xf numFmtId="0" fontId="23" fillId="12" borderId="22" xfId="0" applyFont="1" applyFill="1" applyBorder="1" applyAlignment="1">
      <alignment horizontal="left" vertical="center"/>
    </xf>
    <xf numFmtId="0" fontId="23" fillId="13" borderId="22" xfId="0" applyFont="1" applyFill="1" applyBorder="1" applyAlignment="1">
      <alignment horizontal="left"/>
    </xf>
    <xf numFmtId="0" fontId="23" fillId="0" borderId="22" xfId="0" applyFont="1" applyBorder="1" applyAlignment="1">
      <alignment horizontal="left"/>
    </xf>
    <xf numFmtId="0" fontId="21" fillId="0" borderId="0" xfId="0" applyFont="1" applyAlignment="1">
      <alignment/>
    </xf>
    <xf numFmtId="168" fontId="37" fillId="0" borderId="0" xfId="60" applyNumberFormat="1" applyFont="1" applyAlignment="1">
      <alignment/>
    </xf>
    <xf numFmtId="3" fontId="37" fillId="0" borderId="0" xfId="60" applyNumberFormat="1" applyFont="1" applyAlignment="1">
      <alignment/>
    </xf>
    <xf numFmtId="0" fontId="39" fillId="0" borderId="28" xfId="0" applyFont="1" applyBorder="1" applyAlignment="1">
      <alignment horizontal="center" vertical="center"/>
    </xf>
    <xf numFmtId="168" fontId="39" fillId="0" borderId="29" xfId="60" applyNumberFormat="1" applyFont="1" applyBorder="1" applyAlignment="1">
      <alignment horizontal="center" vertical="center" wrapText="1"/>
    </xf>
    <xf numFmtId="3" fontId="39" fillId="0" borderId="29" xfId="60" applyNumberFormat="1" applyFont="1" applyBorder="1" applyAlignment="1">
      <alignment horizontal="center" vertical="center" wrapText="1"/>
    </xf>
    <xf numFmtId="3" fontId="39" fillId="0" borderId="30" xfId="6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9" fillId="0" borderId="31" xfId="0" applyFont="1" applyBorder="1" applyAlignment="1">
      <alignment/>
    </xf>
    <xf numFmtId="168" fontId="39" fillId="0" borderId="22" xfId="60" applyNumberFormat="1" applyFont="1" applyBorder="1" applyAlignment="1">
      <alignment/>
    </xf>
    <xf numFmtId="3" fontId="39" fillId="0" borderId="22" xfId="60" applyNumberFormat="1" applyFont="1" applyBorder="1" applyAlignment="1">
      <alignment/>
    </xf>
    <xf numFmtId="168" fontId="37" fillId="0" borderId="22" xfId="60" applyNumberFormat="1" applyFont="1" applyBorder="1" applyAlignment="1">
      <alignment/>
    </xf>
    <xf numFmtId="3" fontId="39" fillId="0" borderId="32" xfId="60" applyNumberFormat="1" applyFont="1" applyBorder="1" applyAlignment="1">
      <alignment/>
    </xf>
    <xf numFmtId="0" fontId="37" fillId="0" borderId="31" xfId="0" applyFont="1" applyBorder="1" applyAlignment="1">
      <alignment wrapText="1"/>
    </xf>
    <xf numFmtId="3" fontId="37" fillId="0" borderId="22" xfId="60" applyNumberFormat="1" applyFont="1" applyBorder="1" applyAlignment="1">
      <alignment/>
    </xf>
    <xf numFmtId="3" fontId="37" fillId="0" borderId="32" xfId="60" applyNumberFormat="1" applyFont="1" applyBorder="1" applyAlignment="1">
      <alignment/>
    </xf>
    <xf numFmtId="0" fontId="39" fillId="0" borderId="33" xfId="0" applyFont="1" applyBorder="1" applyAlignment="1">
      <alignment wrapText="1"/>
    </xf>
    <xf numFmtId="3" fontId="39" fillId="0" borderId="34" xfId="60" applyNumberFormat="1" applyFont="1" applyBorder="1" applyAlignment="1">
      <alignment/>
    </xf>
    <xf numFmtId="3" fontId="39" fillId="0" borderId="35" xfId="60" applyNumberFormat="1" applyFont="1" applyBorder="1" applyAlignment="1">
      <alignment/>
    </xf>
    <xf numFmtId="0" fontId="37" fillId="0" borderId="0" xfId="0" applyFont="1" applyAlignment="1">
      <alignment/>
    </xf>
    <xf numFmtId="0" fontId="22" fillId="0" borderId="36" xfId="0" applyFont="1" applyBorder="1" applyAlignment="1">
      <alignment/>
    </xf>
    <xf numFmtId="0" fontId="22" fillId="0" borderId="37" xfId="0" applyFont="1" applyBorder="1" applyAlignment="1">
      <alignment/>
    </xf>
    <xf numFmtId="0" fontId="22" fillId="0" borderId="38" xfId="0" applyFont="1" applyBorder="1" applyAlignment="1">
      <alignment/>
    </xf>
    <xf numFmtId="0" fontId="22" fillId="0" borderId="39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40" xfId="0" applyFont="1" applyBorder="1" applyAlignment="1">
      <alignment/>
    </xf>
    <xf numFmtId="0" fontId="22" fillId="0" borderId="0" xfId="0" applyFont="1" applyAlignment="1">
      <alignment vertical="center"/>
    </xf>
    <xf numFmtId="0" fontId="35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42" xfId="0" applyFont="1" applyBorder="1" applyAlignment="1">
      <alignment/>
    </xf>
    <xf numFmtId="0" fontId="22" fillId="0" borderId="43" xfId="0" applyFont="1" applyBorder="1" applyAlignment="1">
      <alignment/>
    </xf>
    <xf numFmtId="0" fontId="35" fillId="0" borderId="0" xfId="0" applyFont="1" applyBorder="1" applyAlignment="1">
      <alignment/>
    </xf>
    <xf numFmtId="0" fontId="22" fillId="0" borderId="44" xfId="0" applyFont="1" applyBorder="1" applyAlignment="1">
      <alignment/>
    </xf>
    <xf numFmtId="0" fontId="33" fillId="0" borderId="44" xfId="0" applyFont="1" applyBorder="1" applyAlignment="1">
      <alignment horizontal="center"/>
    </xf>
    <xf numFmtId="0" fontId="21" fillId="0" borderId="44" xfId="0" applyFont="1" applyBorder="1" applyAlignment="1">
      <alignment/>
    </xf>
    <xf numFmtId="0" fontId="33" fillId="0" borderId="44" xfId="0" applyFont="1" applyBorder="1" applyAlignment="1">
      <alignment/>
    </xf>
    <xf numFmtId="0" fontId="35" fillId="0" borderId="0" xfId="0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46" xfId="0" applyFont="1" applyBorder="1" applyAlignment="1">
      <alignment/>
    </xf>
    <xf numFmtId="0" fontId="22" fillId="0" borderId="47" xfId="0" applyFont="1" applyBorder="1" applyAlignment="1">
      <alignment/>
    </xf>
    <xf numFmtId="0" fontId="22" fillId="0" borderId="48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49" xfId="0" applyFont="1" applyBorder="1" applyAlignment="1">
      <alignment/>
    </xf>
    <xf numFmtId="0" fontId="22" fillId="0" borderId="50" xfId="0" applyFont="1" applyBorder="1" applyAlignment="1">
      <alignment/>
    </xf>
    <xf numFmtId="0" fontId="43" fillId="0" borderId="49" xfId="0" applyFont="1" applyBorder="1" applyAlignment="1">
      <alignment horizontal="center"/>
    </xf>
    <xf numFmtId="0" fontId="43" fillId="0" borderId="51" xfId="0" applyFont="1" applyBorder="1" applyAlignment="1">
      <alignment/>
    </xf>
    <xf numFmtId="0" fontId="43" fillId="0" borderId="51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22" fillId="0" borderId="52" xfId="0" applyFont="1" applyBorder="1" applyAlignment="1">
      <alignment/>
    </xf>
    <xf numFmtId="0" fontId="22" fillId="0" borderId="49" xfId="0" applyFont="1" applyBorder="1" applyAlignment="1">
      <alignment/>
    </xf>
    <xf numFmtId="0" fontId="22" fillId="0" borderId="53" xfId="0" applyFont="1" applyBorder="1" applyAlignment="1">
      <alignment/>
    </xf>
    <xf numFmtId="0" fontId="41" fillId="0" borderId="0" xfId="0" applyFont="1" applyBorder="1" applyAlignment="1">
      <alignment/>
    </xf>
    <xf numFmtId="3" fontId="27" fillId="0" borderId="22" xfId="81" applyNumberFormat="1" applyFont="1" applyBorder="1" applyAlignment="1">
      <alignment/>
      <protection/>
    </xf>
    <xf numFmtId="3" fontId="27" fillId="0" borderId="23" xfId="81" applyNumberFormat="1" applyFont="1" applyBorder="1" applyAlignment="1">
      <alignment/>
      <protection/>
    </xf>
    <xf numFmtId="3" fontId="26" fillId="0" borderId="22" xfId="81" applyNumberFormat="1" applyFont="1" applyBorder="1" applyAlignment="1">
      <alignment/>
      <protection/>
    </xf>
    <xf numFmtId="3" fontId="26" fillId="0" borderId="23" xfId="81" applyNumberFormat="1" applyFont="1" applyBorder="1" applyAlignment="1">
      <alignment/>
      <protection/>
    </xf>
    <xf numFmtId="3" fontId="26" fillId="0" borderId="26" xfId="81" applyNumberFormat="1" applyFont="1" applyBorder="1" applyAlignment="1">
      <alignment/>
      <protection/>
    </xf>
    <xf numFmtId="3" fontId="27" fillId="0" borderId="27" xfId="81" applyNumberFormat="1" applyFont="1" applyBorder="1" applyAlignment="1">
      <alignment/>
      <protection/>
    </xf>
    <xf numFmtId="3" fontId="27" fillId="0" borderId="0" xfId="81" applyNumberFormat="1" applyFont="1">
      <alignment/>
      <protection/>
    </xf>
    <xf numFmtId="3" fontId="27" fillId="0" borderId="0" xfId="62" applyNumberFormat="1" applyFont="1" applyAlignment="1">
      <alignment/>
    </xf>
    <xf numFmtId="3" fontId="37" fillId="0" borderId="34" xfId="60" applyNumberFormat="1" applyFont="1" applyBorder="1" applyAlignment="1">
      <alignment/>
    </xf>
    <xf numFmtId="0" fontId="21" fillId="0" borderId="0" xfId="0" applyFont="1" applyBorder="1" applyAlignment="1">
      <alignment/>
    </xf>
    <xf numFmtId="0" fontId="44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45" fillId="0" borderId="56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4" fontId="0" fillId="0" borderId="56" xfId="0" applyNumberFormat="1" applyFont="1" applyBorder="1" applyAlignment="1">
      <alignment horizontal="center"/>
    </xf>
    <xf numFmtId="14" fontId="0" fillId="0" borderId="5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8" xfId="0" applyFont="1" applyBorder="1" applyAlignment="1">
      <alignment horizontal="center"/>
    </xf>
    <xf numFmtId="0" fontId="20" fillId="0" borderId="56" xfId="0" applyFont="1" applyBorder="1" applyAlignment="1">
      <alignment/>
    </xf>
    <xf numFmtId="0" fontId="0" fillId="0" borderId="56" xfId="0" applyFont="1" applyBorder="1" applyAlignment="1">
      <alignment horizontal="center"/>
    </xf>
    <xf numFmtId="3" fontId="0" fillId="0" borderId="56" xfId="65" applyNumberFormat="1" applyFont="1" applyBorder="1" applyAlignment="1">
      <alignment/>
    </xf>
    <xf numFmtId="3" fontId="0" fillId="0" borderId="57" xfId="65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46" fillId="0" borderId="56" xfId="0" applyFont="1" applyBorder="1" applyAlignment="1">
      <alignment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60" xfId="0" applyFont="1" applyBorder="1" applyAlignment="1">
      <alignment horizontal="center" vertical="center"/>
    </xf>
    <xf numFmtId="3" fontId="0" fillId="0" borderId="60" xfId="65" applyNumberFormat="1" applyFont="1" applyBorder="1" applyAlignment="1">
      <alignment vertical="center"/>
    </xf>
    <xf numFmtId="3" fontId="0" fillId="0" borderId="61" xfId="65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0" fillId="0" borderId="58" xfId="0" applyBorder="1" applyAlignment="1">
      <alignment horizontal="center"/>
    </xf>
    <xf numFmtId="0" fontId="0" fillId="0" borderId="56" xfId="0" applyBorder="1" applyAlignment="1">
      <alignment horizontal="center"/>
    </xf>
    <xf numFmtId="3" fontId="0" fillId="0" borderId="56" xfId="65" applyNumberFormat="1" applyBorder="1" applyAlignment="1">
      <alignment/>
    </xf>
    <xf numFmtId="3" fontId="0" fillId="0" borderId="57" xfId="65" applyNumberFormat="1" applyBorder="1" applyAlignment="1">
      <alignment/>
    </xf>
    <xf numFmtId="1" fontId="0" fillId="0" borderId="56" xfId="0" applyNumberFormat="1" applyBorder="1" applyAlignment="1">
      <alignment/>
    </xf>
    <xf numFmtId="0" fontId="49" fillId="0" borderId="60" xfId="0" applyFont="1" applyBorder="1" applyAlignment="1">
      <alignment vertical="center"/>
    </xf>
    <xf numFmtId="0" fontId="49" fillId="0" borderId="60" xfId="0" applyFont="1" applyBorder="1" applyAlignment="1">
      <alignment horizontal="center" vertical="center"/>
    </xf>
    <xf numFmtId="3" fontId="49" fillId="0" borderId="60" xfId="65" applyNumberFormat="1" applyFont="1" applyBorder="1" applyAlignment="1">
      <alignment vertical="center"/>
    </xf>
    <xf numFmtId="3" fontId="49" fillId="0" borderId="61" xfId="65" applyNumberFormat="1" applyFont="1" applyBorder="1" applyAlignment="1">
      <alignment vertical="center"/>
    </xf>
    <xf numFmtId="1" fontId="0" fillId="0" borderId="0" xfId="0" applyNumberFormat="1" applyAlignment="1">
      <alignment/>
    </xf>
    <xf numFmtId="0" fontId="46" fillId="0" borderId="0" xfId="0" applyFont="1" applyBorder="1" applyAlignment="1">
      <alignment/>
    </xf>
    <xf numFmtId="3" fontId="0" fillId="0" borderId="0" xfId="65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right"/>
    </xf>
    <xf numFmtId="2" fontId="21" fillId="0" borderId="0" xfId="80" applyNumberFormat="1" applyFont="1" applyBorder="1" applyAlignment="1">
      <alignment wrapText="1"/>
      <protection/>
    </xf>
    <xf numFmtId="0" fontId="46" fillId="0" borderId="62" xfId="80" applyFont="1" applyBorder="1" applyAlignment="1">
      <alignment horizontal="center"/>
      <protection/>
    </xf>
    <xf numFmtId="2" fontId="51" fillId="0" borderId="63" xfId="80" applyNumberFormat="1" applyFont="1" applyBorder="1" applyAlignment="1">
      <alignment horizontal="center" wrapText="1"/>
      <protection/>
    </xf>
    <xf numFmtId="168" fontId="52" fillId="0" borderId="64" xfId="64" applyNumberFormat="1" applyFont="1" applyBorder="1" applyAlignment="1">
      <alignment horizontal="center" vertical="center" wrapText="1"/>
    </xf>
    <xf numFmtId="0" fontId="52" fillId="0" borderId="64" xfId="80" applyFont="1" applyBorder="1" applyAlignment="1">
      <alignment horizontal="center" vertical="center" wrapText="1"/>
      <protection/>
    </xf>
    <xf numFmtId="0" fontId="46" fillId="0" borderId="65" xfId="80" applyFont="1" applyBorder="1" applyAlignment="1">
      <alignment horizontal="center"/>
      <protection/>
    </xf>
    <xf numFmtId="0" fontId="46" fillId="0" borderId="54" xfId="80" applyFont="1" applyBorder="1" applyAlignment="1">
      <alignment horizontal="left" wrapText="1"/>
      <protection/>
    </xf>
    <xf numFmtId="168" fontId="46" fillId="0" borderId="54" xfId="64" applyNumberFormat="1" applyFont="1" applyBorder="1" applyAlignment="1">
      <alignment horizontal="left"/>
    </xf>
    <xf numFmtId="0" fontId="0" fillId="0" borderId="66" xfId="80" applyFont="1" applyBorder="1" applyAlignment="1">
      <alignment horizontal="center"/>
      <protection/>
    </xf>
    <xf numFmtId="0" fontId="0" fillId="0" borderId="67" xfId="80" applyFont="1" applyBorder="1" applyAlignment="1">
      <alignment horizontal="left" wrapText="1"/>
      <protection/>
    </xf>
    <xf numFmtId="168" fontId="46" fillId="0" borderId="56" xfId="64" applyNumberFormat="1" applyFont="1" applyBorder="1" applyAlignment="1">
      <alignment horizontal="left"/>
    </xf>
    <xf numFmtId="0" fontId="0" fillId="0" borderId="68" xfId="80" applyFont="1" applyBorder="1" applyAlignment="1">
      <alignment horizontal="center"/>
      <protection/>
    </xf>
    <xf numFmtId="0" fontId="49" fillId="0" borderId="67" xfId="80" applyFont="1" applyBorder="1" applyAlignment="1">
      <alignment horizontal="left" wrapText="1"/>
      <protection/>
    </xf>
    <xf numFmtId="0" fontId="46" fillId="0" borderId="58" xfId="80" applyFont="1" applyBorder="1" applyAlignment="1">
      <alignment horizontal="center"/>
      <protection/>
    </xf>
    <xf numFmtId="0" fontId="46" fillId="0" borderId="67" xfId="80" applyFont="1" applyBorder="1" applyAlignment="1">
      <alignment horizontal="left" wrapText="1"/>
      <protection/>
    </xf>
    <xf numFmtId="0" fontId="0" fillId="0" borderId="69" xfId="80" applyFont="1" applyBorder="1" applyAlignment="1">
      <alignment horizontal="left" wrapText="1"/>
      <protection/>
    </xf>
    <xf numFmtId="0" fontId="0" fillId="0" borderId="70" xfId="80" applyFont="1" applyBorder="1" applyAlignment="1">
      <alignment horizontal="center"/>
      <protection/>
    </xf>
    <xf numFmtId="0" fontId="0" fillId="0" borderId="71" xfId="80" applyFont="1" applyBorder="1" applyAlignment="1">
      <alignment horizontal="left" wrapText="1"/>
      <protection/>
    </xf>
    <xf numFmtId="0" fontId="46" fillId="0" borderId="58" xfId="80" applyFont="1" applyBorder="1" applyAlignment="1">
      <alignment horizontal="center" vertical="center"/>
      <protection/>
    </xf>
    <xf numFmtId="0" fontId="46" fillId="0" borderId="68" xfId="80" applyFont="1" applyBorder="1" applyAlignment="1">
      <alignment horizontal="center" vertical="center"/>
      <protection/>
    </xf>
    <xf numFmtId="0" fontId="0" fillId="0" borderId="67" xfId="80" applyFont="1" applyBorder="1" applyAlignment="1">
      <alignment horizontal="center" wrapText="1"/>
      <protection/>
    </xf>
    <xf numFmtId="0" fontId="46" fillId="0" borderId="66" xfId="80" applyFont="1" applyBorder="1" applyAlignment="1">
      <alignment horizontal="center"/>
      <protection/>
    </xf>
    <xf numFmtId="0" fontId="47" fillId="0" borderId="56" xfId="80" applyFont="1" applyBorder="1" applyAlignment="1">
      <alignment horizontal="left" wrapText="1"/>
      <protection/>
    </xf>
    <xf numFmtId="0" fontId="46" fillId="0" borderId="56" xfId="79" applyFont="1" applyBorder="1" applyAlignment="1">
      <alignment horizontal="left"/>
      <protection/>
    </xf>
    <xf numFmtId="0" fontId="46" fillId="0" borderId="56" xfId="79" applyFont="1" applyBorder="1">
      <alignment/>
      <protection/>
    </xf>
    <xf numFmtId="0" fontId="0" fillId="0" borderId="56" xfId="79" applyFont="1" applyBorder="1" applyAlignment="1">
      <alignment horizontal="left"/>
      <protection/>
    </xf>
    <xf numFmtId="0" fontId="46" fillId="0" borderId="68" xfId="80" applyFont="1" applyBorder="1" applyAlignment="1">
      <alignment horizontal="center"/>
      <protection/>
    </xf>
    <xf numFmtId="0" fontId="46" fillId="0" borderId="56" xfId="80" applyFont="1" applyBorder="1" applyAlignment="1">
      <alignment horizontal="left" wrapText="1"/>
      <protection/>
    </xf>
    <xf numFmtId="0" fontId="46" fillId="0" borderId="70" xfId="80" applyFont="1" applyBorder="1" applyAlignment="1">
      <alignment horizontal="center"/>
      <protection/>
    </xf>
    <xf numFmtId="0" fontId="46" fillId="0" borderId="69" xfId="80" applyFont="1" applyBorder="1" applyAlignment="1">
      <alignment horizontal="left" wrapText="1"/>
      <protection/>
    </xf>
    <xf numFmtId="0" fontId="46" fillId="0" borderId="59" xfId="80" applyFont="1" applyBorder="1" applyAlignment="1">
      <alignment horizontal="center"/>
      <protection/>
    </xf>
    <xf numFmtId="0" fontId="46" fillId="0" borderId="60" xfId="80" applyFont="1" applyBorder="1" applyAlignment="1">
      <alignment horizontal="left" wrapText="1"/>
      <protection/>
    </xf>
    <xf numFmtId="168" fontId="46" fillId="0" borderId="60" xfId="64" applyNumberFormat="1" applyFont="1" applyBorder="1" applyAlignment="1">
      <alignment horizontal="left"/>
    </xf>
    <xf numFmtId="0" fontId="46" fillId="0" borderId="0" xfId="80" applyFont="1" applyBorder="1" applyAlignment="1">
      <alignment horizontal="center"/>
      <protection/>
    </xf>
    <xf numFmtId="0" fontId="46" fillId="0" borderId="0" xfId="80" applyFont="1" applyBorder="1" applyAlignment="1">
      <alignment horizontal="left" wrapText="1"/>
      <protection/>
    </xf>
    <xf numFmtId="0" fontId="46" fillId="0" borderId="0" xfId="80" applyFont="1" applyBorder="1" applyAlignment="1">
      <alignment horizontal="left"/>
      <protection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20" fillId="0" borderId="62" xfId="80" applyFont="1" applyBorder="1">
      <alignment/>
      <protection/>
    </xf>
    <xf numFmtId="2" fontId="51" fillId="0" borderId="62" xfId="80" applyNumberFormat="1" applyFont="1" applyBorder="1" applyAlignment="1">
      <alignment horizontal="center" wrapText="1"/>
      <protection/>
    </xf>
    <xf numFmtId="0" fontId="52" fillId="0" borderId="72" xfId="80" applyFont="1" applyBorder="1" applyAlignment="1">
      <alignment horizontal="center"/>
      <protection/>
    </xf>
    <xf numFmtId="0" fontId="52" fillId="0" borderId="54" xfId="80" applyFont="1" applyBorder="1" applyAlignment="1">
      <alignment horizontal="left" wrapText="1"/>
      <protection/>
    </xf>
    <xf numFmtId="168" fontId="52" fillId="0" borderId="54" xfId="64" applyNumberFormat="1" applyFont="1" applyBorder="1" applyAlignment="1">
      <alignment horizontal="left"/>
    </xf>
    <xf numFmtId="0" fontId="20" fillId="0" borderId="58" xfId="80" applyFont="1" applyBorder="1" applyAlignment="1">
      <alignment horizontal="left"/>
      <protection/>
    </xf>
    <xf numFmtId="0" fontId="20" fillId="0" borderId="56" xfId="83" applyFont="1" applyFill="1" applyBorder="1" applyAlignment="1">
      <alignment horizontal="left" wrapText="1"/>
      <protection/>
    </xf>
    <xf numFmtId="168" fontId="52" fillId="0" borderId="56" xfId="64" applyNumberFormat="1" applyFont="1" applyBorder="1" applyAlignment="1">
      <alignment horizontal="left"/>
    </xf>
    <xf numFmtId="0" fontId="20" fillId="0" borderId="56" xfId="80" applyFont="1" applyBorder="1" applyAlignment="1">
      <alignment horizontal="left" wrapText="1"/>
      <protection/>
    </xf>
    <xf numFmtId="0" fontId="52" fillId="0" borderId="58" xfId="80" applyFont="1" applyBorder="1" applyAlignment="1">
      <alignment horizontal="center"/>
      <protection/>
    </xf>
    <xf numFmtId="0" fontId="52" fillId="0" borderId="56" xfId="80" applyFont="1" applyBorder="1" applyAlignment="1">
      <alignment horizontal="left" wrapText="1"/>
      <protection/>
    </xf>
    <xf numFmtId="0" fontId="20" fillId="0" borderId="58" xfId="80" applyFont="1" applyBorder="1" applyAlignment="1">
      <alignment horizontal="center"/>
      <protection/>
    </xf>
    <xf numFmtId="0" fontId="20" fillId="0" borderId="56" xfId="80" applyFont="1" applyBorder="1" applyAlignment="1">
      <alignment horizontal="left"/>
      <protection/>
    </xf>
    <xf numFmtId="168" fontId="52" fillId="0" borderId="56" xfId="64" applyNumberFormat="1" applyFont="1" applyBorder="1" applyAlignment="1">
      <alignment horizontal="left" wrapText="1"/>
    </xf>
    <xf numFmtId="0" fontId="20" fillId="0" borderId="58" xfId="80" applyFont="1" applyFill="1" applyBorder="1" applyAlignment="1">
      <alignment horizontal="center"/>
      <protection/>
    </xf>
    <xf numFmtId="0" fontId="52" fillId="0" borderId="56" xfId="80" applyFont="1" applyBorder="1" applyAlignment="1">
      <alignment horizontal="left"/>
      <protection/>
    </xf>
    <xf numFmtId="0" fontId="20" fillId="0" borderId="73" xfId="79" applyFont="1" applyBorder="1">
      <alignment/>
      <protection/>
    </xf>
    <xf numFmtId="0" fontId="52" fillId="0" borderId="0" xfId="79" applyFont="1" applyBorder="1">
      <alignment/>
      <protection/>
    </xf>
    <xf numFmtId="0" fontId="20" fillId="0" borderId="0" xfId="79" applyFont="1" applyBorder="1">
      <alignment/>
      <protection/>
    </xf>
    <xf numFmtId="0" fontId="52" fillId="0" borderId="58" xfId="80" applyFont="1" applyBorder="1">
      <alignment/>
      <protection/>
    </xf>
    <xf numFmtId="0" fontId="20" fillId="0" borderId="58" xfId="79" applyFont="1" applyBorder="1">
      <alignment/>
      <protection/>
    </xf>
    <xf numFmtId="0" fontId="20" fillId="0" borderId="58" xfId="80" applyFont="1" applyBorder="1">
      <alignment/>
      <protection/>
    </xf>
    <xf numFmtId="0" fontId="20" fillId="0" borderId="59" xfId="80" applyFont="1" applyBorder="1">
      <alignment/>
      <protection/>
    </xf>
    <xf numFmtId="0" fontId="52" fillId="0" borderId="60" xfId="80" applyFont="1" applyBorder="1" applyAlignment="1">
      <alignment horizontal="left"/>
      <protection/>
    </xf>
    <xf numFmtId="0" fontId="20" fillId="0" borderId="60" xfId="80" applyFont="1" applyBorder="1" applyAlignment="1">
      <alignment horizontal="left"/>
      <protection/>
    </xf>
    <xf numFmtId="168" fontId="52" fillId="0" borderId="60" xfId="64" applyNumberFormat="1" applyFont="1" applyBorder="1" applyAlignment="1">
      <alignment horizontal="left"/>
    </xf>
    <xf numFmtId="0" fontId="44" fillId="0" borderId="0" xfId="80" applyFont="1" applyBorder="1" applyAlignment="1">
      <alignment horizontal="left"/>
      <protection/>
    </xf>
    <xf numFmtId="0" fontId="0" fillId="0" borderId="0" xfId="80" applyFont="1">
      <alignment/>
      <protection/>
    </xf>
    <xf numFmtId="0" fontId="0" fillId="0" borderId="56" xfId="0" applyBorder="1" applyAlignment="1">
      <alignment/>
    </xf>
    <xf numFmtId="0" fontId="0" fillId="0" borderId="56" xfId="0" applyFont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56" xfId="0" applyFill="1" applyBorder="1" applyAlignment="1">
      <alignment/>
    </xf>
    <xf numFmtId="0" fontId="46" fillId="0" borderId="62" xfId="0" applyFont="1" applyBorder="1" applyAlignment="1">
      <alignment/>
    </xf>
    <xf numFmtId="0" fontId="0" fillId="0" borderId="62" xfId="0" applyBorder="1" applyAlignment="1">
      <alignment/>
    </xf>
    <xf numFmtId="0" fontId="0" fillId="0" borderId="74" xfId="0" applyBorder="1" applyAlignment="1">
      <alignment/>
    </xf>
    <xf numFmtId="0" fontId="0" fillId="0" borderId="67" xfId="0" applyBorder="1" applyAlignment="1">
      <alignment/>
    </xf>
    <xf numFmtId="0" fontId="0" fillId="0" borderId="69" xfId="0" applyBorder="1" applyAlignment="1">
      <alignment/>
    </xf>
    <xf numFmtId="0" fontId="0" fillId="0" borderId="62" xfId="0" applyFont="1" applyBorder="1" applyAlignment="1">
      <alignment/>
    </xf>
    <xf numFmtId="0" fontId="46" fillId="0" borderId="74" xfId="0" applyFont="1" applyBorder="1" applyAlignment="1">
      <alignment/>
    </xf>
    <xf numFmtId="0" fontId="46" fillId="0" borderId="67" xfId="0" applyFont="1" applyBorder="1" applyAlignment="1">
      <alignment/>
    </xf>
    <xf numFmtId="0" fontId="46" fillId="0" borderId="0" xfId="0" applyFont="1" applyAlignment="1">
      <alignment/>
    </xf>
    <xf numFmtId="168" fontId="0" fillId="0" borderId="56" xfId="60" applyNumberFormat="1" applyFont="1" applyBorder="1" applyAlignment="1">
      <alignment/>
    </xf>
    <xf numFmtId="0" fontId="45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45" fillId="0" borderId="56" xfId="0" applyFont="1" applyBorder="1" applyAlignment="1">
      <alignment horizontal="center"/>
    </xf>
    <xf numFmtId="0" fontId="57" fillId="0" borderId="56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61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7" fillId="0" borderId="0" xfId="0" applyFont="1" applyBorder="1" applyAlignment="1">
      <alignment horizontal="left"/>
    </xf>
    <xf numFmtId="0" fontId="62" fillId="0" borderId="75" xfId="0" applyFont="1" applyBorder="1" applyAlignment="1">
      <alignment/>
    </xf>
    <xf numFmtId="0" fontId="63" fillId="0" borderId="0" xfId="0" applyFont="1" applyAlignment="1">
      <alignment horizontal="left"/>
    </xf>
    <xf numFmtId="0" fontId="62" fillId="0" borderId="76" xfId="0" applyFont="1" applyBorder="1" applyAlignment="1">
      <alignment/>
    </xf>
    <xf numFmtId="0" fontId="54" fillId="0" borderId="76" xfId="0" applyFont="1" applyFill="1" applyBorder="1" applyAlignment="1">
      <alignment/>
    </xf>
    <xf numFmtId="0" fontId="45" fillId="0" borderId="62" xfId="0" applyFont="1" applyBorder="1" applyAlignment="1">
      <alignment horizontal="center" vertical="center"/>
    </xf>
    <xf numFmtId="3" fontId="0" fillId="0" borderId="56" xfId="0" applyNumberFormat="1" applyFont="1" applyBorder="1" applyAlignment="1">
      <alignment/>
    </xf>
    <xf numFmtId="0" fontId="46" fillId="0" borderId="56" xfId="0" applyFont="1" applyBorder="1" applyAlignment="1">
      <alignment vertical="center"/>
    </xf>
    <xf numFmtId="3" fontId="45" fillId="0" borderId="56" xfId="0" applyNumberFormat="1" applyFont="1" applyBorder="1" applyAlignment="1">
      <alignment vertical="center"/>
    </xf>
    <xf numFmtId="3" fontId="45" fillId="0" borderId="56" xfId="0" applyNumberFormat="1" applyFont="1" applyBorder="1" applyAlignment="1">
      <alignment horizontal="right" vertical="center"/>
    </xf>
    <xf numFmtId="3" fontId="46" fillId="0" borderId="56" xfId="0" applyNumberFormat="1" applyFont="1" applyBorder="1" applyAlignment="1">
      <alignment vertical="center"/>
    </xf>
    <xf numFmtId="0" fontId="0" fillId="0" borderId="0" xfId="0" applyAlignment="1">
      <alignment horizontal="left" indent="5"/>
    </xf>
    <xf numFmtId="3" fontId="24" fillId="6" borderId="22" xfId="0" applyNumberFormat="1" applyFont="1" applyFill="1" applyBorder="1" applyAlignment="1">
      <alignment/>
    </xf>
    <xf numFmtId="3" fontId="27" fillId="0" borderId="22" xfId="81" applyNumberFormat="1" applyFont="1" applyFill="1" applyBorder="1" applyAlignment="1">
      <alignment/>
      <protection/>
    </xf>
    <xf numFmtId="3" fontId="26" fillId="0" borderId="22" xfId="81" applyNumberFormat="1" applyFont="1" applyFill="1" applyBorder="1" applyAlignment="1">
      <alignment/>
      <protection/>
    </xf>
    <xf numFmtId="0" fontId="0" fillId="0" borderId="56" xfId="0" applyFont="1" applyBorder="1" applyAlignment="1">
      <alignment/>
    </xf>
    <xf numFmtId="0" fontId="0" fillId="0" borderId="56" xfId="0" applyFont="1" applyBorder="1" applyAlignment="1">
      <alignment horizontal="center"/>
    </xf>
    <xf numFmtId="0" fontId="64" fillId="0" borderId="56" xfId="0" applyFont="1" applyBorder="1" applyAlignment="1">
      <alignment horizontal="left" vertical="center"/>
    </xf>
    <xf numFmtId="164" fontId="64" fillId="0" borderId="56" xfId="0" applyNumberFormat="1" applyFont="1" applyBorder="1" applyAlignment="1">
      <alignment horizontal="right" vertical="center"/>
    </xf>
    <xf numFmtId="3" fontId="45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60" applyNumberFormat="1" applyFont="1" applyAlignment="1">
      <alignment/>
    </xf>
    <xf numFmtId="168" fontId="45" fillId="0" borderId="56" xfId="60" applyNumberFormat="1" applyFont="1" applyBorder="1" applyAlignment="1">
      <alignment horizontal="center"/>
    </xf>
    <xf numFmtId="168" fontId="0" fillId="0" borderId="56" xfId="60" applyNumberFormat="1" applyFont="1" applyBorder="1" applyAlignment="1">
      <alignment/>
    </xf>
    <xf numFmtId="168" fontId="0" fillId="0" borderId="56" xfId="60" applyNumberFormat="1" applyFont="1" applyBorder="1" applyAlignment="1">
      <alignment horizontal="right"/>
    </xf>
    <xf numFmtId="168" fontId="46" fillId="0" borderId="0" xfId="60" applyNumberFormat="1" applyFont="1" applyAlignment="1">
      <alignment/>
    </xf>
    <xf numFmtId="168" fontId="46" fillId="0" borderId="56" xfId="60" applyNumberFormat="1" applyFont="1" applyBorder="1" applyAlignment="1">
      <alignment/>
    </xf>
    <xf numFmtId="168" fontId="0" fillId="0" borderId="67" xfId="60" applyNumberFormat="1" applyFont="1" applyBorder="1" applyAlignment="1">
      <alignment/>
    </xf>
    <xf numFmtId="168" fontId="46" fillId="0" borderId="67" xfId="60" applyNumberFormat="1" applyFont="1" applyBorder="1" applyAlignment="1">
      <alignment/>
    </xf>
    <xf numFmtId="168" fontId="44" fillId="0" borderId="0" xfId="60" applyNumberFormat="1" applyFont="1" applyAlignment="1">
      <alignment/>
    </xf>
    <xf numFmtId="168" fontId="0" fillId="0" borderId="0" xfId="60" applyNumberFormat="1" applyFont="1" applyAlignment="1">
      <alignment/>
    </xf>
    <xf numFmtId="0" fontId="65" fillId="0" borderId="56" xfId="0" applyFont="1" applyBorder="1" applyAlignment="1">
      <alignment vertical="center"/>
    </xf>
    <xf numFmtId="168" fontId="24" fillId="12" borderId="22" xfId="60" applyNumberFormat="1" applyFont="1" applyFill="1" applyBorder="1" applyAlignment="1">
      <alignment/>
    </xf>
    <xf numFmtId="3" fontId="27" fillId="0" borderId="77" xfId="81" applyNumberFormat="1" applyFont="1" applyFill="1" applyBorder="1" applyAlignment="1">
      <alignment/>
      <protection/>
    </xf>
    <xf numFmtId="3" fontId="26" fillId="0" borderId="77" xfId="81" applyNumberFormat="1" applyFont="1" applyFill="1" applyBorder="1" applyAlignment="1">
      <alignment/>
      <protection/>
    </xf>
    <xf numFmtId="3" fontId="27" fillId="0" borderId="77" xfId="81" applyNumberFormat="1" applyFont="1" applyBorder="1" applyAlignment="1">
      <alignment/>
      <protection/>
    </xf>
    <xf numFmtId="3" fontId="26" fillId="0" borderId="77" xfId="81" applyNumberFormat="1" applyFont="1" applyBorder="1" applyAlignment="1">
      <alignment/>
      <protection/>
    </xf>
    <xf numFmtId="3" fontId="26" fillId="0" borderId="78" xfId="81" applyNumberFormat="1" applyFont="1" applyBorder="1" applyAlignment="1">
      <alignment/>
      <protection/>
    </xf>
    <xf numFmtId="0" fontId="28" fillId="0" borderId="23" xfId="81" applyFont="1" applyBorder="1">
      <alignment/>
      <protection/>
    </xf>
    <xf numFmtId="0" fontId="42" fillId="0" borderId="0" xfId="0" applyFont="1" applyBorder="1" applyAlignment="1">
      <alignment/>
    </xf>
    <xf numFmtId="0" fontId="34" fillId="0" borderId="0" xfId="0" applyFont="1" applyBorder="1" applyAlignment="1">
      <alignment/>
    </xf>
    <xf numFmtId="164" fontId="65" fillId="0" borderId="56" xfId="0" applyNumberFormat="1" applyFont="1" applyBorder="1" applyAlignment="1">
      <alignment horizontal="right" vertical="center"/>
    </xf>
    <xf numFmtId="3" fontId="0" fillId="0" borderId="56" xfId="65" applyNumberFormat="1" applyFont="1" applyBorder="1" applyAlignment="1">
      <alignment/>
    </xf>
    <xf numFmtId="0" fontId="20" fillId="0" borderId="58" xfId="80" applyFont="1" applyBorder="1" applyAlignment="1">
      <alignment horizontal="center"/>
      <protection/>
    </xf>
    <xf numFmtId="0" fontId="42" fillId="0" borderId="39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4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43" fillId="0" borderId="49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41" fillId="0" borderId="79" xfId="0" applyFont="1" applyBorder="1" applyAlignment="1">
      <alignment horizontal="left"/>
    </xf>
    <xf numFmtId="0" fontId="21" fillId="0" borderId="44" xfId="0" applyFont="1" applyBorder="1" applyAlignment="1">
      <alignment horizontal="left"/>
    </xf>
    <xf numFmtId="0" fontId="24" fillId="54" borderId="21" xfId="0" applyFont="1" applyFill="1" applyBorder="1" applyAlignment="1">
      <alignment horizontal="left"/>
    </xf>
    <xf numFmtId="0" fontId="24" fillId="54" borderId="22" xfId="0" applyFont="1" applyFill="1" applyBorder="1" applyAlignment="1">
      <alignment horizontal="left"/>
    </xf>
    <xf numFmtId="0" fontId="23" fillId="13" borderId="25" xfId="0" applyFont="1" applyFill="1" applyBorder="1" applyAlignment="1">
      <alignment horizontal="left"/>
    </xf>
    <xf numFmtId="0" fontId="23" fillId="13" borderId="26" xfId="0" applyFont="1" applyFill="1" applyBorder="1" applyAlignment="1">
      <alignment horizontal="left"/>
    </xf>
    <xf numFmtId="0" fontId="23" fillId="12" borderId="21" xfId="0" applyFont="1" applyFill="1" applyBorder="1" applyAlignment="1">
      <alignment horizontal="left" vertical="center"/>
    </xf>
    <xf numFmtId="0" fontId="23" fillId="12" borderId="22" xfId="0" applyFont="1" applyFill="1" applyBorder="1" applyAlignment="1">
      <alignment horizontal="left" vertical="center"/>
    </xf>
    <xf numFmtId="0" fontId="23" fillId="13" borderId="21" xfId="0" applyFont="1" applyFill="1" applyBorder="1" applyAlignment="1">
      <alignment horizontal="left"/>
    </xf>
    <xf numFmtId="0" fontId="23" fillId="13" borderId="22" xfId="0" applyFont="1" applyFill="1" applyBorder="1" applyAlignment="1">
      <alignment horizontal="left"/>
    </xf>
    <xf numFmtId="0" fontId="23" fillId="0" borderId="21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0" fontId="23" fillId="12" borderId="21" xfId="0" applyFont="1" applyFill="1" applyBorder="1" applyAlignment="1">
      <alignment horizontal="left"/>
    </xf>
    <xf numFmtId="0" fontId="23" fillId="12" borderId="22" xfId="0" applyFont="1" applyFill="1" applyBorder="1" applyAlignment="1">
      <alignment horizontal="left"/>
    </xf>
    <xf numFmtId="0" fontId="23" fillId="0" borderId="24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4" fillId="12" borderId="21" xfId="0" applyFont="1" applyFill="1" applyBorder="1" applyAlignment="1">
      <alignment horizontal="left"/>
    </xf>
    <xf numFmtId="0" fontId="24" fillId="12" borderId="22" xfId="0" applyFont="1" applyFill="1" applyBorder="1" applyAlignment="1">
      <alignment horizontal="left"/>
    </xf>
    <xf numFmtId="0" fontId="32" fillId="0" borderId="0" xfId="82" applyFont="1" applyAlignment="1">
      <alignment horizontal="left" vertical="center"/>
      <protection/>
    </xf>
    <xf numFmtId="0" fontId="24" fillId="13" borderId="25" xfId="0" applyFont="1" applyFill="1" applyBorder="1" applyAlignment="1">
      <alignment horizontal="left"/>
    </xf>
    <xf numFmtId="0" fontId="24" fillId="13" borderId="26" xfId="0" applyFont="1" applyFill="1" applyBorder="1" applyAlignment="1">
      <alignment horizontal="left"/>
    </xf>
    <xf numFmtId="0" fontId="31" fillId="0" borderId="0" xfId="82" applyFont="1" applyAlignment="1">
      <alignment horizontal="center" vertical="center"/>
      <protection/>
    </xf>
    <xf numFmtId="0" fontId="41" fillId="0" borderId="0" xfId="0" applyFont="1" applyBorder="1" applyAlignment="1">
      <alignment horizontal="left"/>
    </xf>
    <xf numFmtId="0" fontId="24" fillId="6" borderId="21" xfId="0" applyFont="1" applyFill="1" applyBorder="1" applyAlignment="1">
      <alignment horizontal="left"/>
    </xf>
    <xf numFmtId="0" fontId="24" fillId="6" borderId="22" xfId="0" applyFont="1" applyFill="1" applyBorder="1" applyAlignment="1">
      <alignment horizontal="left"/>
    </xf>
    <xf numFmtId="0" fontId="24" fillId="53" borderId="21" xfId="0" applyFont="1" applyFill="1" applyBorder="1" applyAlignment="1">
      <alignment horizontal="left"/>
    </xf>
    <xf numFmtId="0" fontId="24" fillId="53" borderId="22" xfId="0" applyFont="1" applyFill="1" applyBorder="1" applyAlignment="1">
      <alignment horizontal="left"/>
    </xf>
    <xf numFmtId="0" fontId="24" fillId="55" borderId="21" xfId="0" applyFont="1" applyFill="1" applyBorder="1" applyAlignment="1">
      <alignment horizontal="left"/>
    </xf>
    <xf numFmtId="0" fontId="24" fillId="55" borderId="22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49" fontId="26" fillId="0" borderId="80" xfId="81" applyNumberFormat="1" applyFont="1" applyBorder="1" applyAlignment="1">
      <alignment horizontal="center" wrapText="1"/>
      <protection/>
    </xf>
    <xf numFmtId="49" fontId="26" fillId="0" borderId="81" xfId="81" applyNumberFormat="1" applyFont="1" applyBorder="1" applyAlignment="1">
      <alignment horizontal="center" wrapText="1"/>
      <protection/>
    </xf>
    <xf numFmtId="0" fontId="26" fillId="0" borderId="82" xfId="81" applyFont="1" applyBorder="1" applyAlignment="1">
      <alignment horizontal="center"/>
      <protection/>
    </xf>
    <xf numFmtId="0" fontId="26" fillId="0" borderId="81" xfId="81" applyFont="1" applyBorder="1" applyAlignment="1">
      <alignment horizontal="center"/>
      <protection/>
    </xf>
    <xf numFmtId="0" fontId="38" fillId="0" borderId="83" xfId="0" applyFont="1" applyBorder="1" applyAlignment="1">
      <alignment horizontal="center"/>
    </xf>
    <xf numFmtId="0" fontId="38" fillId="0" borderId="51" xfId="0" applyFont="1" applyBorder="1" applyAlignment="1">
      <alignment horizontal="center"/>
    </xf>
    <xf numFmtId="0" fontId="38" fillId="0" borderId="84" xfId="0" applyFont="1" applyBorder="1" applyAlignment="1">
      <alignment horizontal="center"/>
    </xf>
    <xf numFmtId="0" fontId="36" fillId="0" borderId="0" xfId="82" applyFont="1" applyAlignment="1">
      <alignment horizontal="left" vertical="center"/>
      <protection/>
    </xf>
    <xf numFmtId="0" fontId="34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40" fillId="0" borderId="39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33" fillId="0" borderId="85" xfId="0" applyFont="1" applyBorder="1" applyAlignment="1">
      <alignment horizontal="left"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45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72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52" fillId="0" borderId="56" xfId="80" applyFont="1" applyBorder="1" applyAlignment="1">
      <alignment horizontal="left"/>
      <protection/>
    </xf>
    <xf numFmtId="0" fontId="20" fillId="0" borderId="56" xfId="80" applyFont="1" applyBorder="1" applyAlignment="1">
      <alignment/>
      <protection/>
    </xf>
    <xf numFmtId="0" fontId="53" fillId="0" borderId="56" xfId="80" applyFont="1" applyBorder="1" applyAlignment="1">
      <alignment/>
      <protection/>
    </xf>
    <xf numFmtId="0" fontId="53" fillId="0" borderId="60" xfId="80" applyFont="1" applyBorder="1" applyAlignment="1">
      <alignment/>
      <protection/>
    </xf>
    <xf numFmtId="0" fontId="52" fillId="0" borderId="56" xfId="83" applyFont="1" applyFill="1" applyBorder="1" applyAlignment="1">
      <alignment horizontal="left" wrapText="1"/>
      <protection/>
    </xf>
    <xf numFmtId="0" fontId="20" fillId="0" borderId="56" xfId="83" applyFont="1" applyFill="1" applyBorder="1" applyAlignment="1">
      <alignment horizontal="left" wrapText="1"/>
      <protection/>
    </xf>
    <xf numFmtId="0" fontId="52" fillId="0" borderId="56" xfId="80" applyFont="1" applyBorder="1" applyAlignment="1">
      <alignment horizontal="left" wrapText="1"/>
      <protection/>
    </xf>
    <xf numFmtId="0" fontId="20" fillId="0" borderId="74" xfId="83" applyFont="1" applyFill="1" applyBorder="1" applyAlignment="1">
      <alignment horizontal="left" wrapText="1"/>
      <protection/>
    </xf>
    <xf numFmtId="0" fontId="20" fillId="0" borderId="76" xfId="83" applyFont="1" applyFill="1" applyBorder="1" applyAlignment="1">
      <alignment horizontal="left" wrapText="1"/>
      <protection/>
    </xf>
    <xf numFmtId="0" fontId="20" fillId="0" borderId="67" xfId="83" applyFont="1" applyFill="1" applyBorder="1" applyAlignment="1">
      <alignment horizontal="left" wrapText="1"/>
      <protection/>
    </xf>
    <xf numFmtId="0" fontId="53" fillId="0" borderId="56" xfId="83" applyFont="1" applyFill="1" applyBorder="1" applyAlignment="1">
      <alignment horizontal="left" wrapText="1"/>
      <protection/>
    </xf>
    <xf numFmtId="0" fontId="20" fillId="0" borderId="56" xfId="83" applyFont="1" applyFill="1" applyBorder="1" applyAlignment="1">
      <alignment horizontal="left" wrapText="1"/>
      <protection/>
    </xf>
    <xf numFmtId="0" fontId="20" fillId="0" borderId="56" xfId="80" applyFont="1" applyBorder="1" applyAlignment="1">
      <alignment horizontal="left"/>
      <protection/>
    </xf>
    <xf numFmtId="0" fontId="20" fillId="0" borderId="56" xfId="80" applyFont="1" applyBorder="1" applyAlignment="1">
      <alignment horizontal="left" wrapText="1"/>
      <protection/>
    </xf>
    <xf numFmtId="0" fontId="46" fillId="0" borderId="60" xfId="80" applyFont="1" applyBorder="1" applyAlignment="1">
      <alignment horizontal="left" wrapText="1"/>
      <protection/>
    </xf>
    <xf numFmtId="2" fontId="46" fillId="0" borderId="74" xfId="80" applyNumberFormat="1" applyFont="1" applyBorder="1" applyAlignment="1">
      <alignment horizontal="center" wrapText="1"/>
      <protection/>
    </xf>
    <xf numFmtId="2" fontId="46" fillId="0" borderId="76" xfId="80" applyNumberFormat="1" applyFont="1" applyBorder="1" applyAlignment="1">
      <alignment horizontal="center" wrapText="1"/>
      <protection/>
    </xf>
    <xf numFmtId="2" fontId="46" fillId="0" borderId="67" xfId="80" applyNumberFormat="1" applyFont="1" applyBorder="1" applyAlignment="1">
      <alignment horizontal="center" wrapText="1"/>
      <protection/>
    </xf>
    <xf numFmtId="0" fontId="51" fillId="0" borderId="87" xfId="80" applyFont="1" applyBorder="1" applyAlignment="1">
      <alignment horizontal="center" wrapText="1"/>
      <protection/>
    </xf>
    <xf numFmtId="0" fontId="51" fillId="0" borderId="88" xfId="80" applyFont="1" applyBorder="1" applyAlignment="1">
      <alignment horizontal="center" wrapText="1"/>
      <protection/>
    </xf>
    <xf numFmtId="0" fontId="51" fillId="0" borderId="89" xfId="80" applyFont="1" applyBorder="1" applyAlignment="1">
      <alignment horizontal="center" wrapText="1"/>
      <protection/>
    </xf>
    <xf numFmtId="0" fontId="52" fillId="0" borderId="90" xfId="80" applyFont="1" applyBorder="1" applyAlignment="1">
      <alignment horizontal="left" wrapText="1"/>
      <protection/>
    </xf>
    <xf numFmtId="0" fontId="52" fillId="0" borderId="54" xfId="80" applyFont="1" applyBorder="1" applyAlignment="1">
      <alignment horizontal="left" wrapText="1"/>
      <protection/>
    </xf>
    <xf numFmtId="0" fontId="0" fillId="0" borderId="76" xfId="80" applyFont="1" applyBorder="1" applyAlignment="1">
      <alignment horizontal="center" wrapText="1"/>
      <protection/>
    </xf>
    <xf numFmtId="0" fontId="0" fillId="0" borderId="67" xfId="80" applyFont="1" applyBorder="1" applyAlignment="1">
      <alignment horizontal="center" wrapText="1"/>
      <protection/>
    </xf>
    <xf numFmtId="0" fontId="46" fillId="0" borderId="76" xfId="80" applyFont="1" applyBorder="1" applyAlignment="1">
      <alignment horizontal="left" wrapText="1"/>
      <protection/>
    </xf>
    <xf numFmtId="0" fontId="46" fillId="0" borderId="67" xfId="80" applyFont="1" applyBorder="1" applyAlignment="1">
      <alignment horizontal="left" wrapText="1"/>
      <protection/>
    </xf>
    <xf numFmtId="0" fontId="49" fillId="0" borderId="67" xfId="80" applyFont="1" applyBorder="1" applyAlignment="1">
      <alignment horizontal="left" wrapText="1"/>
      <protection/>
    </xf>
    <xf numFmtId="0" fontId="49" fillId="0" borderId="56" xfId="80" applyFont="1" applyBorder="1" applyAlignment="1">
      <alignment horizontal="left" wrapText="1"/>
      <protection/>
    </xf>
    <xf numFmtId="0" fontId="46" fillId="0" borderId="56" xfId="80" applyFont="1" applyBorder="1" applyAlignment="1">
      <alignment horizontal="left" wrapText="1"/>
      <protection/>
    </xf>
    <xf numFmtId="0" fontId="0" fillId="0" borderId="76" xfId="80" applyFont="1" applyBorder="1" applyAlignment="1">
      <alignment horizontal="left" wrapText="1"/>
      <protection/>
    </xf>
    <xf numFmtId="0" fontId="0" fillId="0" borderId="67" xfId="80" applyFont="1" applyBorder="1" applyAlignment="1">
      <alignment horizontal="left" wrapText="1"/>
      <protection/>
    </xf>
    <xf numFmtId="2" fontId="51" fillId="0" borderId="0" xfId="80" applyNumberFormat="1" applyFont="1" applyBorder="1" applyAlignment="1">
      <alignment horizontal="center" wrapText="1"/>
      <protection/>
    </xf>
    <xf numFmtId="2" fontId="51" fillId="0" borderId="63" xfId="80" applyNumberFormat="1" applyFont="1" applyBorder="1" applyAlignment="1">
      <alignment horizontal="center" wrapText="1"/>
      <protection/>
    </xf>
    <xf numFmtId="0" fontId="46" fillId="0" borderId="90" xfId="80" applyFont="1" applyBorder="1" applyAlignment="1">
      <alignment horizontal="left" wrapText="1"/>
      <protection/>
    </xf>
    <xf numFmtId="0" fontId="46" fillId="0" borderId="54" xfId="80" applyFont="1" applyBorder="1" applyAlignment="1">
      <alignment horizontal="left" wrapText="1"/>
      <protection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3" xfId="63"/>
    <cellStyle name="Comma 4" xfId="64"/>
    <cellStyle name="Comma_21.Aktivet Afatgjata Materiale  09" xfId="65"/>
    <cellStyle name="Currency" xfId="66"/>
    <cellStyle name="Currency [0]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3" xfId="79"/>
    <cellStyle name="Normal_asn_2009 Propozimet" xfId="80"/>
    <cellStyle name="Normal_Format bilanc sipas standardit" xfId="81"/>
    <cellStyle name="Normal_gjend e llog" xfId="82"/>
    <cellStyle name="Normal_Sheet2" xfId="83"/>
    <cellStyle name="Note" xfId="84"/>
    <cellStyle name="Output" xfId="85"/>
    <cellStyle name="Percent" xfId="86"/>
    <cellStyle name="Percent 2" xfId="87"/>
    <cellStyle name="Title" xfId="88"/>
    <cellStyle name="Total" xfId="89"/>
    <cellStyle name="Warning Text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Связанная ячейка" xfId="111"/>
    <cellStyle name="Текст предупреждения" xfId="112"/>
    <cellStyle name="Хороший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DUK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showGridLines="0" zoomScalePageLayoutView="0" workbookViewId="0" topLeftCell="A1">
      <selection activeCell="N26" sqref="N26"/>
    </sheetView>
  </sheetViews>
  <sheetFormatPr defaultColWidth="9.140625" defaultRowHeight="12.75"/>
  <cols>
    <col min="1" max="1" width="7.7109375" style="1" customWidth="1"/>
    <col min="2" max="3" width="9.140625" style="1" customWidth="1"/>
    <col min="4" max="4" width="9.28125" style="1" customWidth="1"/>
    <col min="5" max="5" width="11.421875" style="1" customWidth="1"/>
    <col min="6" max="9" width="9.140625" style="1" customWidth="1"/>
    <col min="10" max="10" width="3.140625" style="1" customWidth="1"/>
    <col min="11" max="11" width="15.7109375" style="1" customWidth="1"/>
    <col min="12" max="12" width="1.8515625" style="1" customWidth="1"/>
    <col min="13" max="16384" width="9.140625" style="1" customWidth="1"/>
  </cols>
  <sheetData>
    <row r="1" ht="16.5" customHeight="1"/>
    <row r="2" spans="2:11" ht="12.75">
      <c r="B2" s="114"/>
      <c r="C2" s="115"/>
      <c r="D2" s="115"/>
      <c r="E2" s="115"/>
      <c r="F2" s="115"/>
      <c r="G2" s="115"/>
      <c r="H2" s="115"/>
      <c r="I2" s="115"/>
      <c r="J2" s="115"/>
      <c r="K2" s="116"/>
    </row>
    <row r="3" spans="2:11" ht="18" customHeight="1">
      <c r="B3" s="117"/>
      <c r="C3" s="128" t="s">
        <v>317</v>
      </c>
      <c r="D3" s="118"/>
      <c r="E3" s="118"/>
      <c r="F3" s="343" t="s">
        <v>521</v>
      </c>
      <c r="G3" s="343"/>
      <c r="H3" s="343"/>
      <c r="I3" s="343"/>
      <c r="J3" s="343"/>
      <c r="K3" s="119"/>
    </row>
    <row r="4" spans="2:11" ht="18" customHeight="1">
      <c r="B4" s="117"/>
      <c r="C4" s="128" t="s">
        <v>318</v>
      </c>
      <c r="D4" s="118"/>
      <c r="E4" s="118"/>
      <c r="F4" s="344" t="s">
        <v>545</v>
      </c>
      <c r="G4" s="344"/>
      <c r="H4" s="344"/>
      <c r="I4" s="344"/>
      <c r="J4" s="344"/>
      <c r="K4" s="119"/>
    </row>
    <row r="5" spans="2:11" ht="18" customHeight="1">
      <c r="B5" s="117"/>
      <c r="C5" s="128" t="s">
        <v>319</v>
      </c>
      <c r="D5" s="118"/>
      <c r="E5" s="118"/>
      <c r="F5" s="344" t="s">
        <v>529</v>
      </c>
      <c r="G5" s="344"/>
      <c r="H5" s="344"/>
      <c r="I5" s="344"/>
      <c r="J5" s="344"/>
      <c r="K5" s="119"/>
    </row>
    <row r="6" spans="2:11" ht="18" customHeight="1">
      <c r="B6" s="117"/>
      <c r="C6" s="128" t="s">
        <v>320</v>
      </c>
      <c r="D6" s="118"/>
      <c r="E6" s="118"/>
      <c r="F6" s="344" t="s">
        <v>522</v>
      </c>
      <c r="G6" s="344"/>
      <c r="H6" s="344"/>
      <c r="I6" s="344"/>
      <c r="J6" s="344"/>
      <c r="K6" s="119"/>
    </row>
    <row r="7" spans="2:11" ht="18" customHeight="1">
      <c r="B7" s="117"/>
      <c r="C7" s="118"/>
      <c r="D7" s="118"/>
      <c r="E7" s="118"/>
      <c r="F7" s="118"/>
      <c r="G7" s="118"/>
      <c r="H7" s="123"/>
      <c r="I7" s="123"/>
      <c r="J7" s="118"/>
      <c r="K7" s="119"/>
    </row>
    <row r="8" spans="2:11" ht="12.75">
      <c r="B8" s="117"/>
      <c r="C8" s="118"/>
      <c r="D8" s="118"/>
      <c r="E8" s="118"/>
      <c r="F8" s="118"/>
      <c r="G8" s="118"/>
      <c r="H8" s="118"/>
      <c r="I8" s="118"/>
      <c r="J8" s="118"/>
      <c r="K8" s="119"/>
    </row>
    <row r="9" spans="2:11" ht="12.75">
      <c r="B9" s="117"/>
      <c r="C9" s="118"/>
      <c r="D9" s="118"/>
      <c r="E9" s="118"/>
      <c r="F9" s="118"/>
      <c r="G9" s="118"/>
      <c r="H9" s="118"/>
      <c r="I9" s="118"/>
      <c r="J9" s="118"/>
      <c r="K9" s="119"/>
    </row>
    <row r="10" spans="2:11" ht="15.75">
      <c r="B10" s="117"/>
      <c r="C10" s="122" t="s">
        <v>321</v>
      </c>
      <c r="D10" s="118"/>
      <c r="E10" s="118"/>
      <c r="F10" s="342" t="s">
        <v>523</v>
      </c>
      <c r="G10" s="342"/>
      <c r="H10" s="342"/>
      <c r="I10" s="342"/>
      <c r="J10" s="342"/>
      <c r="K10" s="119"/>
    </row>
    <row r="11" spans="2:11" ht="15.75">
      <c r="B11" s="117"/>
      <c r="C11" s="122" t="s">
        <v>322</v>
      </c>
      <c r="D11" s="118"/>
      <c r="E11" s="118"/>
      <c r="F11" s="129"/>
      <c r="G11" s="130"/>
      <c r="H11" s="129"/>
      <c r="I11" s="129"/>
      <c r="J11" s="129"/>
      <c r="K11" s="119"/>
    </row>
    <row r="12" spans="2:11" ht="12.75">
      <c r="B12" s="117"/>
      <c r="C12" s="118"/>
      <c r="D12" s="118"/>
      <c r="E12" s="118"/>
      <c r="F12" s="118"/>
      <c r="G12" s="118"/>
      <c r="H12" s="118"/>
      <c r="I12" s="118"/>
      <c r="J12" s="118"/>
      <c r="K12" s="119"/>
    </row>
    <row r="13" spans="2:11" ht="12.75">
      <c r="B13" s="117"/>
      <c r="C13" s="118"/>
      <c r="D13" s="118"/>
      <c r="E13" s="118"/>
      <c r="F13" s="118"/>
      <c r="G13" s="118"/>
      <c r="H13" s="118"/>
      <c r="I13" s="118"/>
      <c r="J13" s="118"/>
      <c r="K13" s="119"/>
    </row>
    <row r="14" spans="2:11" ht="12.75">
      <c r="B14" s="117"/>
      <c r="C14" s="118"/>
      <c r="D14" s="118"/>
      <c r="E14" s="118"/>
      <c r="F14" s="118"/>
      <c r="G14" s="118"/>
      <c r="H14" s="118"/>
      <c r="I14" s="118"/>
      <c r="J14" s="118"/>
      <c r="K14" s="119"/>
    </row>
    <row r="15" spans="2:11" ht="18" customHeight="1">
      <c r="B15" s="117"/>
      <c r="C15" s="122" t="s">
        <v>323</v>
      </c>
      <c r="D15" s="118"/>
      <c r="E15" s="118"/>
      <c r="F15" s="124" t="s">
        <v>533</v>
      </c>
      <c r="G15" s="122"/>
      <c r="H15" s="122"/>
      <c r="I15" s="118"/>
      <c r="J15" s="118"/>
      <c r="K15" s="119"/>
    </row>
    <row r="16" spans="2:11" ht="18" customHeight="1">
      <c r="B16" s="117"/>
      <c r="C16" s="118"/>
      <c r="D16" s="118"/>
      <c r="E16" s="118"/>
      <c r="F16" s="131" t="s">
        <v>534</v>
      </c>
      <c r="G16" s="132"/>
      <c r="H16" s="132"/>
      <c r="I16" s="129"/>
      <c r="J16" s="129"/>
      <c r="K16" s="119"/>
    </row>
    <row r="17" spans="2:11" ht="18" customHeight="1">
      <c r="B17" s="117"/>
      <c r="C17" s="118"/>
      <c r="D17" s="118"/>
      <c r="E17" s="118"/>
      <c r="F17" s="118"/>
      <c r="G17" s="118"/>
      <c r="H17" s="118"/>
      <c r="I17" s="118"/>
      <c r="J17" s="118"/>
      <c r="K17" s="119"/>
    </row>
    <row r="18" spans="2:11" ht="12.75">
      <c r="B18" s="117"/>
      <c r="C18" s="118"/>
      <c r="D18" s="118"/>
      <c r="E18" s="118"/>
      <c r="F18" s="118"/>
      <c r="G18" s="118"/>
      <c r="H18" s="118"/>
      <c r="I18" s="118"/>
      <c r="J18" s="118"/>
      <c r="K18" s="119"/>
    </row>
    <row r="19" spans="2:11" ht="12.75">
      <c r="B19" s="117"/>
      <c r="C19" s="118"/>
      <c r="D19" s="118"/>
      <c r="E19" s="118"/>
      <c r="F19" s="118"/>
      <c r="G19" s="118"/>
      <c r="H19" s="118"/>
      <c r="I19" s="118"/>
      <c r="J19" s="118"/>
      <c r="K19" s="119"/>
    </row>
    <row r="20" spans="2:11" ht="12.75">
      <c r="B20" s="117"/>
      <c r="C20" s="118"/>
      <c r="D20" s="118"/>
      <c r="E20" s="118"/>
      <c r="F20" s="118"/>
      <c r="G20" s="118"/>
      <c r="H20" s="118"/>
      <c r="I20" s="118"/>
      <c r="J20" s="118"/>
      <c r="K20" s="119"/>
    </row>
    <row r="21" spans="2:11" ht="12.75">
      <c r="B21" s="117"/>
      <c r="C21" s="118"/>
      <c r="D21" s="118"/>
      <c r="E21" s="118"/>
      <c r="F21" s="118"/>
      <c r="G21" s="118"/>
      <c r="H21" s="118"/>
      <c r="I21" s="118"/>
      <c r="J21" s="118"/>
      <c r="K21" s="119"/>
    </row>
    <row r="22" spans="2:11" ht="12.75">
      <c r="B22" s="117"/>
      <c r="C22" s="118"/>
      <c r="D22" s="118"/>
      <c r="E22" s="118"/>
      <c r="F22" s="118"/>
      <c r="G22" s="118"/>
      <c r="H22" s="118"/>
      <c r="I22" s="118"/>
      <c r="J22" s="118"/>
      <c r="K22" s="119"/>
    </row>
    <row r="23" spans="2:11" ht="12.75">
      <c r="B23" s="117"/>
      <c r="C23" s="118"/>
      <c r="D23" s="118"/>
      <c r="E23" s="118"/>
      <c r="F23" s="118"/>
      <c r="G23" s="118"/>
      <c r="H23" s="118"/>
      <c r="I23" s="118"/>
      <c r="J23" s="118"/>
      <c r="K23" s="119"/>
    </row>
    <row r="24" spans="2:11" ht="12.75">
      <c r="B24" s="117"/>
      <c r="C24" s="118"/>
      <c r="D24" s="118"/>
      <c r="E24" s="118"/>
      <c r="F24" s="118"/>
      <c r="G24" s="118"/>
      <c r="H24" s="118"/>
      <c r="I24" s="118"/>
      <c r="J24" s="118"/>
      <c r="K24" s="119"/>
    </row>
    <row r="25" spans="2:11" ht="12.75">
      <c r="B25" s="117"/>
      <c r="C25" s="118"/>
      <c r="D25" s="118"/>
      <c r="E25" s="118"/>
      <c r="F25" s="118"/>
      <c r="G25" s="118"/>
      <c r="H25" s="118"/>
      <c r="I25" s="118"/>
      <c r="J25" s="118"/>
      <c r="K25" s="119"/>
    </row>
    <row r="26" spans="2:11" ht="12.75">
      <c r="B26" s="117"/>
      <c r="C26" s="118"/>
      <c r="D26" s="118"/>
      <c r="E26" s="118"/>
      <c r="F26" s="118"/>
      <c r="G26" s="118"/>
      <c r="H26" s="118"/>
      <c r="I26" s="118"/>
      <c r="J26" s="118"/>
      <c r="K26" s="119"/>
    </row>
    <row r="27" spans="2:11" ht="12.75">
      <c r="B27" s="117"/>
      <c r="C27" s="118"/>
      <c r="D27" s="118"/>
      <c r="E27" s="118"/>
      <c r="F27" s="118"/>
      <c r="G27" s="118"/>
      <c r="H27" s="118"/>
      <c r="I27" s="118"/>
      <c r="J27" s="118"/>
      <c r="K27" s="119"/>
    </row>
    <row r="28" spans="2:11" ht="12.75">
      <c r="B28" s="117"/>
      <c r="C28" s="118"/>
      <c r="D28" s="118"/>
      <c r="E28" s="118"/>
      <c r="F28" s="118"/>
      <c r="G28" s="118"/>
      <c r="H28" s="118"/>
      <c r="I28" s="118"/>
      <c r="J28" s="118"/>
      <c r="K28" s="119"/>
    </row>
    <row r="29" spans="2:11" ht="22.5">
      <c r="B29" s="337" t="s">
        <v>324</v>
      </c>
      <c r="C29" s="338"/>
      <c r="D29" s="338"/>
      <c r="E29" s="338"/>
      <c r="F29" s="338"/>
      <c r="G29" s="338"/>
      <c r="H29" s="338"/>
      <c r="I29" s="338"/>
      <c r="J29" s="338"/>
      <c r="K29" s="339"/>
    </row>
    <row r="30" spans="2:11" ht="12.75">
      <c r="B30" s="117"/>
      <c r="C30" s="340" t="s">
        <v>325</v>
      </c>
      <c r="D30" s="340"/>
      <c r="E30" s="340"/>
      <c r="F30" s="340"/>
      <c r="G30" s="340"/>
      <c r="H30" s="340"/>
      <c r="I30" s="340"/>
      <c r="J30" s="340"/>
      <c r="K30" s="119"/>
    </row>
    <row r="31" spans="2:11" ht="12.75">
      <c r="B31" s="117"/>
      <c r="C31" s="340" t="s">
        <v>326</v>
      </c>
      <c r="D31" s="340"/>
      <c r="E31" s="340"/>
      <c r="F31" s="340"/>
      <c r="G31" s="340"/>
      <c r="H31" s="340"/>
      <c r="I31" s="340"/>
      <c r="J31" s="340"/>
      <c r="K31" s="119"/>
    </row>
    <row r="32" spans="2:11" ht="12.75">
      <c r="B32" s="117"/>
      <c r="C32" s="118"/>
      <c r="D32" s="118"/>
      <c r="E32" s="118"/>
      <c r="F32" s="118"/>
      <c r="G32" s="118"/>
      <c r="H32" s="118"/>
      <c r="I32" s="118"/>
      <c r="J32" s="118"/>
      <c r="K32" s="119"/>
    </row>
    <row r="33" spans="2:11" ht="12.75">
      <c r="B33" s="117"/>
      <c r="C33" s="118"/>
      <c r="D33" s="118"/>
      <c r="E33" s="118"/>
      <c r="F33" s="118"/>
      <c r="G33" s="118"/>
      <c r="H33" s="118"/>
      <c r="I33" s="118"/>
      <c r="J33" s="118"/>
      <c r="K33" s="119"/>
    </row>
    <row r="34" spans="2:11" ht="22.5">
      <c r="B34" s="117"/>
      <c r="C34" s="118"/>
      <c r="D34" s="118"/>
      <c r="E34" s="118"/>
      <c r="F34" s="332" t="s">
        <v>598</v>
      </c>
      <c r="G34" s="118"/>
      <c r="H34" s="118"/>
      <c r="I34" s="118"/>
      <c r="J34" s="118"/>
      <c r="K34" s="119"/>
    </row>
    <row r="35" spans="2:11" ht="12.75">
      <c r="B35" s="117"/>
      <c r="C35" s="118"/>
      <c r="D35" s="118"/>
      <c r="E35" s="118"/>
      <c r="F35" s="118"/>
      <c r="G35" s="118"/>
      <c r="H35" s="118"/>
      <c r="I35" s="118"/>
      <c r="J35" s="118"/>
      <c r="K35" s="119"/>
    </row>
    <row r="36" spans="2:11" ht="12.75">
      <c r="B36" s="117"/>
      <c r="C36" s="118"/>
      <c r="D36" s="118"/>
      <c r="E36" s="118"/>
      <c r="F36" s="118"/>
      <c r="G36" s="118"/>
      <c r="H36" s="118"/>
      <c r="I36" s="118"/>
      <c r="J36" s="118"/>
      <c r="K36" s="119"/>
    </row>
    <row r="37" spans="2:11" ht="12.75">
      <c r="B37" s="117"/>
      <c r="C37" s="118"/>
      <c r="D37" s="118"/>
      <c r="E37" s="118"/>
      <c r="F37" s="118"/>
      <c r="G37" s="118"/>
      <c r="H37" s="118"/>
      <c r="I37" s="118"/>
      <c r="J37" s="118"/>
      <c r="K37" s="119"/>
    </row>
    <row r="38" spans="2:11" ht="12.75">
      <c r="B38" s="117"/>
      <c r="C38" s="118"/>
      <c r="D38" s="118"/>
      <c r="E38" s="118"/>
      <c r="F38" s="118"/>
      <c r="G38" s="118"/>
      <c r="H38" s="118"/>
      <c r="I38" s="118"/>
      <c r="J38" s="118"/>
      <c r="K38" s="119"/>
    </row>
    <row r="39" spans="2:11" ht="15.75" customHeight="1">
      <c r="B39" s="117"/>
      <c r="C39" s="118"/>
      <c r="D39" s="133"/>
      <c r="E39" s="133"/>
      <c r="F39" s="133"/>
      <c r="G39" s="133"/>
      <c r="H39" s="133"/>
      <c r="I39" s="133"/>
      <c r="J39" s="118"/>
      <c r="K39" s="119"/>
    </row>
    <row r="40" spans="2:11" ht="18" customHeight="1">
      <c r="B40" s="117"/>
      <c r="C40" s="118"/>
      <c r="D40" s="118"/>
      <c r="E40" s="118"/>
      <c r="F40" s="118"/>
      <c r="G40" s="123"/>
      <c r="H40" s="118"/>
      <c r="I40" s="118"/>
      <c r="J40" s="118"/>
      <c r="K40" s="119"/>
    </row>
    <row r="41" spans="2:11" ht="18" customHeight="1">
      <c r="B41" s="117"/>
      <c r="C41" s="134"/>
      <c r="D41" s="135"/>
      <c r="E41" s="135"/>
      <c r="F41" s="135"/>
      <c r="G41" s="135"/>
      <c r="H41" s="135"/>
      <c r="I41" s="135"/>
      <c r="J41" s="136"/>
      <c r="K41" s="119"/>
    </row>
    <row r="42" spans="2:11" ht="18" customHeight="1">
      <c r="B42" s="117"/>
      <c r="C42" s="137" t="s">
        <v>327</v>
      </c>
      <c r="D42" s="118"/>
      <c r="E42" s="341" t="s">
        <v>594</v>
      </c>
      <c r="F42" s="341"/>
      <c r="G42" s="138" t="s">
        <v>328</v>
      </c>
      <c r="H42" s="139" t="s">
        <v>588</v>
      </c>
      <c r="I42" s="139"/>
      <c r="J42" s="140"/>
      <c r="K42" s="119"/>
    </row>
    <row r="43" spans="2:11" ht="18" customHeight="1">
      <c r="B43" s="117"/>
      <c r="C43" s="137" t="s">
        <v>329</v>
      </c>
      <c r="D43" s="118"/>
      <c r="E43" s="139" t="s">
        <v>539</v>
      </c>
      <c r="F43" s="141"/>
      <c r="G43" s="139"/>
      <c r="H43" s="139"/>
      <c r="I43" s="139"/>
      <c r="J43" s="140"/>
      <c r="K43" s="119"/>
    </row>
    <row r="44" spans="2:11" ht="18" customHeight="1">
      <c r="B44" s="117"/>
      <c r="C44" s="137" t="s">
        <v>330</v>
      </c>
      <c r="D44" s="118"/>
      <c r="E44" s="142" t="s">
        <v>524</v>
      </c>
      <c r="F44" s="143"/>
      <c r="G44" s="142"/>
      <c r="H44" s="143"/>
      <c r="I44" s="142"/>
      <c r="J44" s="140"/>
      <c r="K44" s="119"/>
    </row>
    <row r="45" spans="2:11" ht="18" customHeight="1">
      <c r="B45" s="117"/>
      <c r="C45" s="137"/>
      <c r="D45" s="118"/>
      <c r="E45" s="144"/>
      <c r="F45" s="138" t="s">
        <v>331</v>
      </c>
      <c r="G45" s="142" t="s">
        <v>595</v>
      </c>
      <c r="H45" s="142"/>
      <c r="I45" s="142"/>
      <c r="J45" s="140"/>
      <c r="K45" s="119"/>
    </row>
    <row r="46" spans="2:11" ht="18" customHeight="1">
      <c r="B46" s="117"/>
      <c r="C46" s="137" t="s">
        <v>332</v>
      </c>
      <c r="D46" s="118"/>
      <c r="E46" s="139" t="s">
        <v>596</v>
      </c>
      <c r="F46" s="139"/>
      <c r="G46" s="139"/>
      <c r="H46" s="139"/>
      <c r="I46" s="139"/>
      <c r="J46" s="140"/>
      <c r="K46" s="119"/>
    </row>
    <row r="47" spans="2:11" ht="18" customHeight="1">
      <c r="B47" s="117"/>
      <c r="C47" s="145"/>
      <c r="D47" s="146"/>
      <c r="E47" s="146"/>
      <c r="F47" s="146"/>
      <c r="G47" s="146"/>
      <c r="H47" s="146"/>
      <c r="I47" s="146"/>
      <c r="J47" s="147"/>
      <c r="K47" s="119"/>
    </row>
    <row r="48" spans="2:11" ht="18" customHeight="1">
      <c r="B48" s="117"/>
      <c r="C48" s="118"/>
      <c r="D48" s="118"/>
      <c r="E48" s="118"/>
      <c r="F48" s="118"/>
      <c r="G48" s="118"/>
      <c r="H48" s="118"/>
      <c r="I48" s="118"/>
      <c r="J48" s="118"/>
      <c r="K48" s="119"/>
    </row>
    <row r="49" spans="2:11" ht="6.75" customHeight="1">
      <c r="B49" s="117"/>
      <c r="C49" s="118"/>
      <c r="D49" s="118"/>
      <c r="E49" s="118"/>
      <c r="F49" s="118"/>
      <c r="G49" s="118"/>
      <c r="H49" s="118"/>
      <c r="I49" s="118"/>
      <c r="J49" s="118"/>
      <c r="K49" s="119"/>
    </row>
    <row r="50" spans="2:11" ht="4.5" customHeight="1">
      <c r="B50" s="125"/>
      <c r="C50" s="126"/>
      <c r="D50" s="126"/>
      <c r="E50" s="126"/>
      <c r="F50" s="126"/>
      <c r="G50" s="126"/>
      <c r="H50" s="126"/>
      <c r="I50" s="126"/>
      <c r="J50" s="126"/>
      <c r="K50" s="127"/>
    </row>
  </sheetData>
  <sheetProtection/>
  <mergeCells count="9">
    <mergeCell ref="B29:K29"/>
    <mergeCell ref="C30:J30"/>
    <mergeCell ref="C31:J31"/>
    <mergeCell ref="E42:F42"/>
    <mergeCell ref="F10:J10"/>
    <mergeCell ref="F3:J3"/>
    <mergeCell ref="F4:J4"/>
    <mergeCell ref="F5:J5"/>
    <mergeCell ref="F6:J6"/>
  </mergeCells>
  <printOptions horizontalCentered="1" verticalCentered="1"/>
  <pageMargins left="0.21" right="0" top="0" bottom="0" header="0.39" footer="0.27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89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4.7109375" style="0" customWidth="1"/>
    <col min="5" max="5" width="12.7109375" style="0" customWidth="1"/>
    <col min="6" max="6" width="12.421875" style="0" customWidth="1"/>
    <col min="7" max="7" width="10.8515625" style="0" customWidth="1"/>
    <col min="8" max="8" width="10.00390625" style="0" customWidth="1"/>
    <col min="9" max="9" width="15.421875" style="0" customWidth="1"/>
    <col min="10" max="10" width="14.57421875" style="0" customWidth="1"/>
    <col min="11" max="11" width="4.7109375" style="0" customWidth="1"/>
    <col min="16" max="16" width="53.421875" style="0" customWidth="1"/>
  </cols>
  <sheetData>
    <row r="1" spans="1:10" ht="15.75">
      <c r="A1" s="196"/>
      <c r="B1" s="159" t="s">
        <v>546</v>
      </c>
      <c r="C1" s="197"/>
      <c r="D1" s="197"/>
      <c r="E1" s="196"/>
      <c r="F1" s="196"/>
      <c r="G1" s="196"/>
      <c r="H1" s="196"/>
      <c r="I1" s="196"/>
      <c r="J1" s="196"/>
    </row>
    <row r="2" spans="1:10" ht="12.75">
      <c r="A2" s="196"/>
      <c r="B2" s="160" t="s">
        <v>531</v>
      </c>
      <c r="C2" s="197"/>
      <c r="D2" s="197"/>
      <c r="E2" s="196"/>
      <c r="F2" s="196"/>
      <c r="G2" s="196"/>
      <c r="H2" s="196"/>
      <c r="I2" s="196"/>
      <c r="J2" s="196"/>
    </row>
    <row r="3" spans="1:10" ht="12.75">
      <c r="A3" s="196"/>
      <c r="B3" s="160"/>
      <c r="C3" s="196"/>
      <c r="D3" s="196"/>
      <c r="E3" s="196"/>
      <c r="F3" s="196"/>
      <c r="G3" s="196"/>
      <c r="H3" s="196"/>
      <c r="I3" s="160" t="s">
        <v>348</v>
      </c>
      <c r="J3" s="196"/>
    </row>
    <row r="4" spans="1:10" ht="12.75">
      <c r="A4" s="196"/>
      <c r="B4" s="160"/>
      <c r="C4" s="196"/>
      <c r="D4" s="196"/>
      <c r="E4" s="196"/>
      <c r="F4" s="196"/>
      <c r="G4" s="196"/>
      <c r="H4" s="196"/>
      <c r="I4" s="196"/>
      <c r="J4" s="196"/>
    </row>
    <row r="5" spans="1:16" ht="12.75">
      <c r="A5" s="198"/>
      <c r="B5" s="198"/>
      <c r="C5" s="198"/>
      <c r="D5" s="198"/>
      <c r="E5" s="198"/>
      <c r="F5" s="198"/>
      <c r="G5" s="198"/>
      <c r="H5" s="198"/>
      <c r="I5" s="199"/>
      <c r="J5" s="200" t="s">
        <v>349</v>
      </c>
      <c r="K5" s="168"/>
      <c r="L5" s="168"/>
      <c r="M5" s="168"/>
      <c r="N5" s="168"/>
      <c r="O5" s="168"/>
      <c r="P5" s="168"/>
    </row>
    <row r="6" spans="1:16" ht="15.75" customHeight="1">
      <c r="A6" s="419" t="s">
        <v>350</v>
      </c>
      <c r="B6" s="420"/>
      <c r="C6" s="420"/>
      <c r="D6" s="420"/>
      <c r="E6" s="420"/>
      <c r="F6" s="420"/>
      <c r="G6" s="420"/>
      <c r="H6" s="420"/>
      <c r="I6" s="420"/>
      <c r="J6" s="421"/>
      <c r="K6" s="201"/>
      <c r="L6" s="201"/>
      <c r="M6" s="201"/>
      <c r="N6" s="201"/>
      <c r="O6" s="201"/>
      <c r="P6" s="201"/>
    </row>
    <row r="7" spans="1:10" ht="26.25" customHeight="1" thickBot="1">
      <c r="A7" s="202"/>
      <c r="B7" s="436" t="s">
        <v>351</v>
      </c>
      <c r="C7" s="436"/>
      <c r="D7" s="436"/>
      <c r="E7" s="436"/>
      <c r="F7" s="437"/>
      <c r="G7" s="203" t="s">
        <v>352</v>
      </c>
      <c r="H7" s="203" t="s">
        <v>353</v>
      </c>
      <c r="I7" s="204" t="s">
        <v>593</v>
      </c>
      <c r="J7" s="205" t="s">
        <v>542</v>
      </c>
    </row>
    <row r="8" spans="1:10" ht="16.5" customHeight="1">
      <c r="A8" s="206">
        <v>1</v>
      </c>
      <c r="B8" s="438" t="s">
        <v>354</v>
      </c>
      <c r="C8" s="439"/>
      <c r="D8" s="439"/>
      <c r="E8" s="439"/>
      <c r="F8" s="439"/>
      <c r="G8" s="207">
        <v>70</v>
      </c>
      <c r="H8" s="207">
        <v>11100</v>
      </c>
      <c r="I8" s="208">
        <f>SUM(I9:I11)</f>
        <v>34786.55</v>
      </c>
      <c r="J8" s="208">
        <f>SUM(J9:J11)</f>
        <v>47765.712</v>
      </c>
    </row>
    <row r="9" spans="1:10" ht="16.5" customHeight="1">
      <c r="A9" s="209" t="s">
        <v>355</v>
      </c>
      <c r="B9" s="434" t="s">
        <v>356</v>
      </c>
      <c r="C9" s="434"/>
      <c r="D9" s="434"/>
      <c r="E9" s="434"/>
      <c r="F9" s="435"/>
      <c r="G9" s="210" t="s">
        <v>357</v>
      </c>
      <c r="H9" s="210">
        <v>11101</v>
      </c>
      <c r="I9" s="211"/>
      <c r="J9" s="211"/>
    </row>
    <row r="10" spans="1:10" ht="16.5" customHeight="1">
      <c r="A10" s="212" t="s">
        <v>358</v>
      </c>
      <c r="B10" s="434" t="s">
        <v>359</v>
      </c>
      <c r="C10" s="434"/>
      <c r="D10" s="434"/>
      <c r="E10" s="434"/>
      <c r="F10" s="435"/>
      <c r="G10" s="210">
        <v>704</v>
      </c>
      <c r="H10" s="210">
        <v>11102</v>
      </c>
      <c r="I10" s="211"/>
      <c r="J10" s="211"/>
    </row>
    <row r="11" spans="1:10" ht="16.5" customHeight="1">
      <c r="A11" s="212" t="s">
        <v>360</v>
      </c>
      <c r="B11" s="434" t="s">
        <v>361</v>
      </c>
      <c r="C11" s="434"/>
      <c r="D11" s="434"/>
      <c r="E11" s="434"/>
      <c r="F11" s="435"/>
      <c r="G11" s="213">
        <v>705</v>
      </c>
      <c r="H11" s="210">
        <v>11103</v>
      </c>
      <c r="I11" s="211">
        <v>34786.55</v>
      </c>
      <c r="J11" s="211">
        <v>47765.712</v>
      </c>
    </row>
    <row r="12" spans="1:10" ht="16.5" customHeight="1">
      <c r="A12" s="214">
        <v>2</v>
      </c>
      <c r="B12" s="429" t="s">
        <v>362</v>
      </c>
      <c r="C12" s="429"/>
      <c r="D12" s="429"/>
      <c r="E12" s="429"/>
      <c r="F12" s="430"/>
      <c r="G12" s="215">
        <v>708</v>
      </c>
      <c r="H12" s="216">
        <v>11104</v>
      </c>
      <c r="I12" s="211">
        <v>0</v>
      </c>
      <c r="J12" s="211">
        <v>0</v>
      </c>
    </row>
    <row r="13" spans="1:10" ht="16.5" customHeight="1">
      <c r="A13" s="217" t="s">
        <v>355</v>
      </c>
      <c r="B13" s="434" t="s">
        <v>363</v>
      </c>
      <c r="C13" s="434"/>
      <c r="D13" s="434"/>
      <c r="E13" s="434"/>
      <c r="F13" s="435"/>
      <c r="G13" s="210">
        <v>7081</v>
      </c>
      <c r="H13" s="218">
        <v>111041</v>
      </c>
      <c r="I13" s="211"/>
      <c r="J13" s="211"/>
    </row>
    <row r="14" spans="1:10" ht="16.5" customHeight="1">
      <c r="A14" s="217" t="s">
        <v>364</v>
      </c>
      <c r="B14" s="434" t="s">
        <v>365</v>
      </c>
      <c r="C14" s="434"/>
      <c r="D14" s="434"/>
      <c r="E14" s="434"/>
      <c r="F14" s="435"/>
      <c r="G14" s="210">
        <v>7082</v>
      </c>
      <c r="H14" s="218">
        <v>111042</v>
      </c>
      <c r="I14" s="211"/>
      <c r="J14" s="211"/>
    </row>
    <row r="15" spans="1:10" ht="16.5" customHeight="1">
      <c r="A15" s="217" t="s">
        <v>366</v>
      </c>
      <c r="B15" s="434" t="s">
        <v>367</v>
      </c>
      <c r="C15" s="434"/>
      <c r="D15" s="434"/>
      <c r="E15" s="434"/>
      <c r="F15" s="435"/>
      <c r="G15" s="210">
        <v>7083</v>
      </c>
      <c r="H15" s="218">
        <v>111043</v>
      </c>
      <c r="I15" s="211"/>
      <c r="J15" s="211"/>
    </row>
    <row r="16" spans="1:10" ht="29.25" customHeight="1">
      <c r="A16" s="219">
        <v>3</v>
      </c>
      <c r="B16" s="429" t="s">
        <v>368</v>
      </c>
      <c r="C16" s="429"/>
      <c r="D16" s="429"/>
      <c r="E16" s="429"/>
      <c r="F16" s="430"/>
      <c r="G16" s="215">
        <v>71</v>
      </c>
      <c r="H16" s="216">
        <v>11201</v>
      </c>
      <c r="I16" s="211">
        <v>0</v>
      </c>
      <c r="J16" s="211">
        <v>0</v>
      </c>
    </row>
    <row r="17" spans="1:10" ht="16.5" customHeight="1">
      <c r="A17" s="220"/>
      <c r="B17" s="427" t="s">
        <v>369</v>
      </c>
      <c r="C17" s="427"/>
      <c r="D17" s="427"/>
      <c r="E17" s="427"/>
      <c r="F17" s="428"/>
      <c r="G17" s="221"/>
      <c r="H17" s="210">
        <v>112011</v>
      </c>
      <c r="I17" s="211"/>
      <c r="J17" s="211"/>
    </row>
    <row r="18" spans="1:10" ht="16.5" customHeight="1">
      <c r="A18" s="220"/>
      <c r="B18" s="427" t="s">
        <v>370</v>
      </c>
      <c r="C18" s="427"/>
      <c r="D18" s="427"/>
      <c r="E18" s="427"/>
      <c r="F18" s="428"/>
      <c r="G18" s="221"/>
      <c r="H18" s="210">
        <v>112012</v>
      </c>
      <c r="I18" s="211"/>
      <c r="J18" s="211"/>
    </row>
    <row r="19" spans="1:10" ht="16.5" customHeight="1">
      <c r="A19" s="222">
        <v>4</v>
      </c>
      <c r="B19" s="429" t="s">
        <v>371</v>
      </c>
      <c r="C19" s="429"/>
      <c r="D19" s="429"/>
      <c r="E19" s="429"/>
      <c r="F19" s="430"/>
      <c r="G19" s="223">
        <v>72</v>
      </c>
      <c r="H19" s="224">
        <v>11300</v>
      </c>
      <c r="I19" s="211">
        <v>0</v>
      </c>
      <c r="J19" s="211">
        <v>0</v>
      </c>
    </row>
    <row r="20" spans="1:10" ht="16.5" customHeight="1">
      <c r="A20" s="212"/>
      <c r="B20" s="431" t="s">
        <v>372</v>
      </c>
      <c r="C20" s="432"/>
      <c r="D20" s="432"/>
      <c r="E20" s="432"/>
      <c r="F20" s="432"/>
      <c r="G20" s="225"/>
      <c r="H20" s="226">
        <v>11301</v>
      </c>
      <c r="I20" s="211"/>
      <c r="J20" s="211"/>
    </row>
    <row r="21" spans="1:10" ht="16.5" customHeight="1">
      <c r="A21" s="227">
        <v>5</v>
      </c>
      <c r="B21" s="430" t="s">
        <v>373</v>
      </c>
      <c r="C21" s="433"/>
      <c r="D21" s="433"/>
      <c r="E21" s="433"/>
      <c r="F21" s="433"/>
      <c r="G21" s="228">
        <v>73</v>
      </c>
      <c r="H21" s="228">
        <v>11400</v>
      </c>
      <c r="I21" s="211">
        <v>0</v>
      </c>
      <c r="J21" s="211">
        <v>0</v>
      </c>
    </row>
    <row r="22" spans="1:10" ht="16.5" customHeight="1">
      <c r="A22" s="229">
        <v>6</v>
      </c>
      <c r="B22" s="430" t="s">
        <v>374</v>
      </c>
      <c r="C22" s="433"/>
      <c r="D22" s="433"/>
      <c r="E22" s="433"/>
      <c r="F22" s="433"/>
      <c r="G22" s="228">
        <v>75</v>
      </c>
      <c r="H22" s="230">
        <v>11500</v>
      </c>
      <c r="I22" s="211">
        <v>32</v>
      </c>
      <c r="J22" s="211">
        <f>1.175+158.062</f>
        <v>159.23700000000002</v>
      </c>
    </row>
    <row r="23" spans="1:10" ht="16.5" customHeight="1">
      <c r="A23" s="227">
        <v>7</v>
      </c>
      <c r="B23" s="429" t="s">
        <v>375</v>
      </c>
      <c r="C23" s="429"/>
      <c r="D23" s="429"/>
      <c r="E23" s="429"/>
      <c r="F23" s="430"/>
      <c r="G23" s="215">
        <v>77</v>
      </c>
      <c r="H23" s="215">
        <v>11600</v>
      </c>
      <c r="I23" s="211">
        <v>0</v>
      </c>
      <c r="J23" s="211">
        <v>0</v>
      </c>
    </row>
    <row r="24" spans="1:10" ht="16.5" customHeight="1" thickBot="1">
      <c r="A24" s="231" t="s">
        <v>376</v>
      </c>
      <c r="B24" s="418" t="s">
        <v>377</v>
      </c>
      <c r="C24" s="418"/>
      <c r="D24" s="418"/>
      <c r="E24" s="418"/>
      <c r="F24" s="418"/>
      <c r="G24" s="232"/>
      <c r="H24" s="232">
        <v>11800</v>
      </c>
      <c r="I24" s="233">
        <f>I23+I22+I21+I19+I16+I12+I8</f>
        <v>34818.55</v>
      </c>
      <c r="J24" s="233">
        <f>J23+J22+J21+J19+J16+J12+J8</f>
        <v>47924.949</v>
      </c>
    </row>
    <row r="25" spans="1:10" ht="16.5" customHeight="1">
      <c r="A25" s="234"/>
      <c r="B25" s="235"/>
      <c r="C25" s="235"/>
      <c r="D25" s="235"/>
      <c r="E25" s="235"/>
      <c r="F25" s="235"/>
      <c r="G25" s="235"/>
      <c r="H25" s="235"/>
      <c r="I25" s="236"/>
      <c r="J25" s="236"/>
    </row>
    <row r="26" spans="1:10" ht="16.5" customHeight="1">
      <c r="A26" s="234"/>
      <c r="B26" s="235"/>
      <c r="C26" s="235"/>
      <c r="D26" s="235"/>
      <c r="E26" s="235"/>
      <c r="F26" s="235"/>
      <c r="G26" s="235"/>
      <c r="H26" s="235"/>
      <c r="I26" s="236"/>
      <c r="J26" s="236"/>
    </row>
    <row r="27" spans="1:10" ht="16.5" customHeight="1">
      <c r="A27" s="234"/>
      <c r="B27" s="235"/>
      <c r="C27" s="235"/>
      <c r="D27" s="235"/>
      <c r="E27" s="235"/>
      <c r="F27" s="235"/>
      <c r="G27" s="235"/>
      <c r="H27" s="235"/>
      <c r="I27" s="236"/>
      <c r="J27" s="236"/>
    </row>
    <row r="28" spans="1:11" ht="16.5" customHeight="1">
      <c r="A28" s="234"/>
      <c r="B28" s="235"/>
      <c r="C28" s="235"/>
      <c r="D28" s="235"/>
      <c r="E28" s="235"/>
      <c r="F28" s="235"/>
      <c r="G28" s="235"/>
      <c r="H28" s="235"/>
      <c r="I28" s="237" t="s">
        <v>347</v>
      </c>
      <c r="J28" s="237"/>
      <c r="K28" s="237"/>
    </row>
    <row r="29" spans="1:11" ht="16.5" customHeight="1">
      <c r="A29" s="234"/>
      <c r="B29" s="235"/>
      <c r="C29" s="235"/>
      <c r="D29" s="235"/>
      <c r="E29" s="235"/>
      <c r="F29" s="235"/>
      <c r="G29" s="235"/>
      <c r="H29" s="235"/>
      <c r="I29" s="238" t="s">
        <v>532</v>
      </c>
      <c r="J29" s="238"/>
      <c r="K29" s="238"/>
    </row>
    <row r="30" spans="1:11" ht="16.5" customHeight="1">
      <c r="A30" s="234"/>
      <c r="B30" s="235"/>
      <c r="C30" s="235"/>
      <c r="D30" s="235"/>
      <c r="E30" s="235"/>
      <c r="F30" s="235"/>
      <c r="G30" s="235"/>
      <c r="H30" s="235"/>
      <c r="I30" s="279"/>
      <c r="J30" s="279"/>
      <c r="K30" s="195"/>
    </row>
    <row r="31" spans="1:10" ht="16.5" customHeight="1">
      <c r="A31" s="234"/>
      <c r="B31" s="235"/>
      <c r="C31" s="235"/>
      <c r="D31" s="235"/>
      <c r="E31" s="235"/>
      <c r="F31" s="235"/>
      <c r="G31" s="235"/>
      <c r="H31" s="235"/>
      <c r="I31" s="236"/>
      <c r="J31" s="236"/>
    </row>
    <row r="32" spans="1:10" ht="16.5" customHeight="1">
      <c r="A32" s="234"/>
      <c r="B32" s="235"/>
      <c r="C32" s="235"/>
      <c r="D32" s="235"/>
      <c r="E32" s="235"/>
      <c r="F32" s="235"/>
      <c r="G32" s="235"/>
      <c r="H32" s="235"/>
      <c r="I32" s="236"/>
      <c r="J32" s="236"/>
    </row>
    <row r="33" spans="1:10" ht="16.5" customHeight="1">
      <c r="A33" s="234"/>
      <c r="B33" s="235"/>
      <c r="C33" s="235"/>
      <c r="D33" s="235"/>
      <c r="E33" s="235"/>
      <c r="F33" s="235"/>
      <c r="G33" s="235"/>
      <c r="H33" s="235"/>
      <c r="I33" s="236"/>
      <c r="J33" s="236"/>
    </row>
    <row r="34" spans="1:10" ht="16.5" customHeight="1">
      <c r="A34" s="234"/>
      <c r="B34" s="235"/>
      <c r="C34" s="235"/>
      <c r="D34" s="235"/>
      <c r="E34" s="235"/>
      <c r="F34" s="235"/>
      <c r="G34" s="235"/>
      <c r="H34" s="235"/>
      <c r="I34" s="236"/>
      <c r="J34" s="236"/>
    </row>
    <row r="35" spans="1:10" ht="16.5" customHeight="1">
      <c r="A35" s="234"/>
      <c r="B35" s="235"/>
      <c r="C35" s="235"/>
      <c r="D35" s="235"/>
      <c r="E35" s="235"/>
      <c r="F35" s="235"/>
      <c r="G35" s="235"/>
      <c r="H35" s="235"/>
      <c r="I35" s="236"/>
      <c r="J35" s="236"/>
    </row>
    <row r="36" spans="1:10" ht="16.5" customHeight="1">
      <c r="A36" s="234"/>
      <c r="B36" s="235"/>
      <c r="C36" s="235"/>
      <c r="D36" s="235"/>
      <c r="E36" s="235"/>
      <c r="F36" s="235"/>
      <c r="G36" s="235"/>
      <c r="H36" s="235"/>
      <c r="I36" s="236"/>
      <c r="J36" s="236"/>
    </row>
    <row r="37" spans="1:10" ht="16.5" customHeight="1">
      <c r="A37" s="234"/>
      <c r="B37" s="235"/>
      <c r="C37" s="235"/>
      <c r="D37" s="235"/>
      <c r="E37" s="235"/>
      <c r="F37" s="235"/>
      <c r="G37" s="235"/>
      <c r="H37" s="235"/>
      <c r="I37" s="236"/>
      <c r="J37" s="236"/>
    </row>
    <row r="38" spans="1:10" ht="16.5" customHeight="1">
      <c r="A38" s="234"/>
      <c r="B38" s="235"/>
      <c r="C38" s="235"/>
      <c r="D38" s="235"/>
      <c r="E38" s="235"/>
      <c r="F38" s="235"/>
      <c r="G38" s="235"/>
      <c r="H38" s="235"/>
      <c r="I38" s="236"/>
      <c r="J38" s="236"/>
    </row>
    <row r="39" spans="1:10" ht="16.5" customHeight="1">
      <c r="A39" s="234"/>
      <c r="B39" s="235"/>
      <c r="C39" s="235"/>
      <c r="D39" s="235"/>
      <c r="E39" s="235"/>
      <c r="F39" s="235"/>
      <c r="G39" s="235"/>
      <c r="H39" s="235"/>
      <c r="I39" s="236"/>
      <c r="J39" s="236"/>
    </row>
    <row r="40" spans="1:10" ht="16.5" customHeight="1">
      <c r="A40" s="234"/>
      <c r="B40" s="235"/>
      <c r="C40" s="235"/>
      <c r="D40" s="235"/>
      <c r="E40" s="235"/>
      <c r="F40" s="235"/>
      <c r="G40" s="235"/>
      <c r="H40" s="235"/>
      <c r="I40" s="236"/>
      <c r="J40" s="236"/>
    </row>
    <row r="41" spans="1:10" ht="16.5" customHeight="1">
      <c r="A41" s="234"/>
      <c r="B41" s="235"/>
      <c r="C41" s="235"/>
      <c r="D41" s="235"/>
      <c r="E41" s="235"/>
      <c r="F41" s="235"/>
      <c r="G41" s="235"/>
      <c r="H41" s="235"/>
      <c r="I41" s="236"/>
      <c r="J41" s="236"/>
    </row>
    <row r="42" spans="1:10" ht="16.5" customHeight="1">
      <c r="A42" s="234"/>
      <c r="B42" s="235"/>
      <c r="C42" s="235"/>
      <c r="D42" s="235"/>
      <c r="E42" s="235"/>
      <c r="F42" s="235"/>
      <c r="G42" s="235"/>
      <c r="H42" s="235"/>
      <c r="I42" s="236"/>
      <c r="J42" s="236"/>
    </row>
    <row r="43" spans="1:10" ht="16.5" customHeight="1">
      <c r="A43" s="234"/>
      <c r="B43" s="235"/>
      <c r="C43" s="235"/>
      <c r="D43" s="235"/>
      <c r="E43" s="235"/>
      <c r="F43" s="235"/>
      <c r="G43" s="235"/>
      <c r="H43" s="235"/>
      <c r="I43" s="236"/>
      <c r="J43" s="236"/>
    </row>
    <row r="44" spans="1:10" ht="16.5" customHeight="1">
      <c r="A44" s="234"/>
      <c r="B44" s="235"/>
      <c r="C44" s="235"/>
      <c r="D44" s="235"/>
      <c r="E44" s="235"/>
      <c r="F44" s="235"/>
      <c r="G44" s="235"/>
      <c r="H44" s="235"/>
      <c r="I44" s="236"/>
      <c r="J44" s="236"/>
    </row>
    <row r="45" spans="1:10" ht="16.5" customHeight="1">
      <c r="A45" s="234"/>
      <c r="B45" s="235"/>
      <c r="C45" s="235"/>
      <c r="D45" s="235"/>
      <c r="E45" s="235"/>
      <c r="F45" s="235"/>
      <c r="G45" s="235"/>
      <c r="H45" s="235"/>
      <c r="I45" s="236"/>
      <c r="J45" s="236"/>
    </row>
    <row r="46" spans="1:10" ht="16.5" customHeight="1">
      <c r="A46" s="234"/>
      <c r="B46" s="235"/>
      <c r="C46" s="235"/>
      <c r="D46" s="235"/>
      <c r="E46" s="235"/>
      <c r="F46" s="235"/>
      <c r="G46" s="235"/>
      <c r="H46" s="235"/>
      <c r="I46" s="236"/>
      <c r="J46" s="236"/>
    </row>
    <row r="47" spans="1:10" ht="16.5" customHeight="1">
      <c r="A47" s="234"/>
      <c r="B47" s="235"/>
      <c r="C47" s="235"/>
      <c r="D47" s="235"/>
      <c r="E47" s="235"/>
      <c r="F47" s="235"/>
      <c r="G47" s="235"/>
      <c r="H47" s="235"/>
      <c r="I47" s="236"/>
      <c r="J47" s="236"/>
    </row>
    <row r="48" spans="1:10" ht="16.5" customHeight="1">
      <c r="A48" s="234"/>
      <c r="B48" s="235"/>
      <c r="C48" s="235"/>
      <c r="D48" s="235"/>
      <c r="E48" s="235"/>
      <c r="F48" s="235"/>
      <c r="G48" s="235"/>
      <c r="H48" s="235"/>
      <c r="I48" s="236"/>
      <c r="J48" s="236"/>
    </row>
    <row r="49" spans="1:10" ht="16.5" customHeight="1">
      <c r="A49" s="234"/>
      <c r="B49" s="235"/>
      <c r="C49" s="235"/>
      <c r="D49" s="235"/>
      <c r="E49" s="235"/>
      <c r="F49" s="235"/>
      <c r="G49" s="235"/>
      <c r="H49" s="235"/>
      <c r="I49" s="236"/>
      <c r="J49" s="236"/>
    </row>
    <row r="50" spans="1:10" ht="16.5" customHeight="1">
      <c r="A50" s="234"/>
      <c r="B50" s="235"/>
      <c r="C50" s="235"/>
      <c r="D50" s="235"/>
      <c r="E50" s="235"/>
      <c r="F50" s="235"/>
      <c r="G50" s="235"/>
      <c r="H50" s="235"/>
      <c r="I50" s="236"/>
      <c r="J50" s="236"/>
    </row>
    <row r="51" spans="1:10" ht="16.5" customHeight="1">
      <c r="A51" s="234"/>
      <c r="B51" s="235"/>
      <c r="C51" s="235"/>
      <c r="D51" s="235"/>
      <c r="E51" s="235"/>
      <c r="F51" s="235"/>
      <c r="G51" s="235"/>
      <c r="H51" s="235"/>
      <c r="I51" s="236"/>
      <c r="J51" s="236"/>
    </row>
    <row r="52" spans="1:10" ht="15.75">
      <c r="A52" s="196"/>
      <c r="B52" s="159" t="s">
        <v>546</v>
      </c>
      <c r="C52" s="197"/>
      <c r="D52" s="197"/>
      <c r="E52" s="196"/>
      <c r="F52" s="196"/>
      <c r="G52" s="196"/>
      <c r="H52" s="196"/>
      <c r="I52" s="196"/>
      <c r="J52" s="196"/>
    </row>
    <row r="53" spans="1:10" ht="12.75">
      <c r="A53" s="196"/>
      <c r="B53" s="160" t="s">
        <v>531</v>
      </c>
      <c r="C53" s="197"/>
      <c r="D53" s="197"/>
      <c r="E53" s="196"/>
      <c r="F53" s="196"/>
      <c r="G53" s="196"/>
      <c r="H53" s="196"/>
      <c r="I53" s="196"/>
      <c r="J53" s="196"/>
    </row>
    <row r="54" spans="1:10" ht="12.75">
      <c r="A54" s="196"/>
      <c r="B54" s="160"/>
      <c r="C54" s="196"/>
      <c r="D54" s="196"/>
      <c r="E54" s="196"/>
      <c r="F54" s="196"/>
      <c r="G54" s="196"/>
      <c r="H54" s="196"/>
      <c r="I54" s="160" t="s">
        <v>378</v>
      </c>
      <c r="J54" s="196"/>
    </row>
    <row r="55" spans="1:16" ht="12.75" customHeight="1">
      <c r="A55" s="198"/>
      <c r="B55" s="198"/>
      <c r="C55" s="198"/>
      <c r="D55" s="198"/>
      <c r="E55" s="198"/>
      <c r="F55" s="198"/>
      <c r="G55" s="198"/>
      <c r="H55" s="198"/>
      <c r="I55" s="199"/>
      <c r="J55" s="200" t="s">
        <v>349</v>
      </c>
      <c r="K55" s="168"/>
      <c r="L55" s="168"/>
      <c r="M55" s="168"/>
      <c r="N55" s="168"/>
      <c r="O55" s="168"/>
      <c r="P55" s="168"/>
    </row>
    <row r="56" spans="1:10" ht="12.75" customHeight="1">
      <c r="A56" s="419" t="s">
        <v>350</v>
      </c>
      <c r="B56" s="420"/>
      <c r="C56" s="420"/>
      <c r="D56" s="420"/>
      <c r="E56" s="420"/>
      <c r="F56" s="420"/>
      <c r="G56" s="420"/>
      <c r="H56" s="420"/>
      <c r="I56" s="420"/>
      <c r="J56" s="421"/>
    </row>
    <row r="57" spans="1:10" ht="24.75" customHeight="1" thickBot="1">
      <c r="A57" s="239"/>
      <c r="B57" s="422" t="s">
        <v>379</v>
      </c>
      <c r="C57" s="423"/>
      <c r="D57" s="423"/>
      <c r="E57" s="423"/>
      <c r="F57" s="424"/>
      <c r="G57" s="240" t="s">
        <v>352</v>
      </c>
      <c r="H57" s="240" t="s">
        <v>353</v>
      </c>
      <c r="I57" s="204" t="s">
        <v>593</v>
      </c>
      <c r="J57" s="205" t="s">
        <v>542</v>
      </c>
    </row>
    <row r="58" spans="1:10" ht="16.5" customHeight="1">
      <c r="A58" s="241">
        <v>1</v>
      </c>
      <c r="B58" s="425" t="s">
        <v>380</v>
      </c>
      <c r="C58" s="426"/>
      <c r="D58" s="426"/>
      <c r="E58" s="426"/>
      <c r="F58" s="426"/>
      <c r="G58" s="242">
        <v>60</v>
      </c>
      <c r="H58" s="242">
        <v>12100</v>
      </c>
      <c r="I58" s="243">
        <f>SUM(I59:I63)</f>
        <v>30858.631999999998</v>
      </c>
      <c r="J58" s="243">
        <f>SUM(J59:J63)</f>
        <v>43795.054</v>
      </c>
    </row>
    <row r="59" spans="1:10" ht="16.5" customHeight="1">
      <c r="A59" s="244" t="s">
        <v>381</v>
      </c>
      <c r="B59" s="409" t="s">
        <v>382</v>
      </c>
      <c r="C59" s="409" t="s">
        <v>383</v>
      </c>
      <c r="D59" s="409"/>
      <c r="E59" s="409"/>
      <c r="F59" s="409"/>
      <c r="G59" s="245" t="s">
        <v>384</v>
      </c>
      <c r="H59" s="245">
        <v>12101</v>
      </c>
      <c r="I59" s="246">
        <f>199.309+4.975</f>
        <v>204.284</v>
      </c>
      <c r="J59" s="246"/>
    </row>
    <row r="60" spans="1:10" ht="12" customHeight="1">
      <c r="A60" s="244" t="s">
        <v>358</v>
      </c>
      <c r="B60" s="409" t="s">
        <v>385</v>
      </c>
      <c r="C60" s="409" t="s">
        <v>383</v>
      </c>
      <c r="D60" s="409"/>
      <c r="E60" s="409"/>
      <c r="F60" s="409"/>
      <c r="G60" s="245"/>
      <c r="H60" s="247">
        <v>12102</v>
      </c>
      <c r="I60" s="246"/>
      <c r="J60" s="246"/>
    </row>
    <row r="61" spans="1:10" ht="16.5" customHeight="1">
      <c r="A61" s="244" t="s">
        <v>360</v>
      </c>
      <c r="B61" s="409" t="s">
        <v>386</v>
      </c>
      <c r="C61" s="409" t="s">
        <v>383</v>
      </c>
      <c r="D61" s="409"/>
      <c r="E61" s="409"/>
      <c r="F61" s="409"/>
      <c r="G61" s="245" t="s">
        <v>387</v>
      </c>
      <c r="H61" s="245">
        <v>12103</v>
      </c>
      <c r="I61" s="246">
        <f>30654.462+9330</f>
        <v>39984.462</v>
      </c>
      <c r="J61" s="246">
        <f>43795.054+27842.017-26240.466</f>
        <v>45396.604999999996</v>
      </c>
    </row>
    <row r="62" spans="1:10" ht="16.5" customHeight="1">
      <c r="A62" s="244" t="s">
        <v>388</v>
      </c>
      <c r="B62" s="408" t="s">
        <v>389</v>
      </c>
      <c r="C62" s="409" t="s">
        <v>383</v>
      </c>
      <c r="D62" s="409"/>
      <c r="E62" s="409"/>
      <c r="F62" s="409"/>
      <c r="G62" s="245"/>
      <c r="H62" s="247">
        <v>12104</v>
      </c>
      <c r="I62" s="246">
        <f>-(37172.131-27842.017)</f>
        <v>-9330.114000000001</v>
      </c>
      <c r="J62" s="246">
        <f>26240.466-27842.017</f>
        <v>-1601.5509999999995</v>
      </c>
    </row>
    <row r="63" spans="1:10" ht="16.5" customHeight="1">
      <c r="A63" s="244" t="s">
        <v>390</v>
      </c>
      <c r="B63" s="409" t="s">
        <v>391</v>
      </c>
      <c r="C63" s="409" t="s">
        <v>383</v>
      </c>
      <c r="D63" s="409"/>
      <c r="E63" s="409"/>
      <c r="F63" s="409"/>
      <c r="G63" s="245" t="s">
        <v>392</v>
      </c>
      <c r="H63" s="247">
        <v>12105</v>
      </c>
      <c r="I63" s="246"/>
      <c r="J63" s="246"/>
    </row>
    <row r="64" spans="1:10" ht="16.5" customHeight="1">
      <c r="A64" s="248">
        <v>2</v>
      </c>
      <c r="B64" s="410" t="s">
        <v>393</v>
      </c>
      <c r="C64" s="410"/>
      <c r="D64" s="410"/>
      <c r="E64" s="410"/>
      <c r="F64" s="410"/>
      <c r="G64" s="249">
        <v>64</v>
      </c>
      <c r="H64" s="249">
        <v>12200</v>
      </c>
      <c r="I64" s="246">
        <f>SUM(I65:I66)</f>
        <v>1339.716</v>
      </c>
      <c r="J64" s="246">
        <f>SUM(J65:J66)</f>
        <v>1257.3899999999999</v>
      </c>
    </row>
    <row r="65" spans="1:10" ht="16.5" customHeight="1">
      <c r="A65" s="250" t="s">
        <v>394</v>
      </c>
      <c r="B65" s="410" t="s">
        <v>395</v>
      </c>
      <c r="C65" s="417"/>
      <c r="D65" s="417"/>
      <c r="E65" s="417"/>
      <c r="F65" s="417"/>
      <c r="G65" s="247">
        <v>641</v>
      </c>
      <c r="H65" s="247">
        <v>12201</v>
      </c>
      <c r="I65" s="246">
        <v>1148</v>
      </c>
      <c r="J65" s="246">
        <v>1077.455</v>
      </c>
    </row>
    <row r="66" spans="1:10" ht="16.5" customHeight="1">
      <c r="A66" s="250" t="s">
        <v>396</v>
      </c>
      <c r="B66" s="417" t="s">
        <v>397</v>
      </c>
      <c r="C66" s="417"/>
      <c r="D66" s="417"/>
      <c r="E66" s="417"/>
      <c r="F66" s="417"/>
      <c r="G66" s="247">
        <v>644</v>
      </c>
      <c r="H66" s="247">
        <v>12202</v>
      </c>
      <c r="I66" s="246">
        <v>191.716</v>
      </c>
      <c r="J66" s="246">
        <v>179.935</v>
      </c>
    </row>
    <row r="67" spans="1:10" ht="16.5" customHeight="1">
      <c r="A67" s="248">
        <v>3</v>
      </c>
      <c r="B67" s="410" t="s">
        <v>398</v>
      </c>
      <c r="C67" s="410"/>
      <c r="D67" s="410"/>
      <c r="E67" s="410"/>
      <c r="F67" s="410"/>
      <c r="G67" s="249">
        <v>68</v>
      </c>
      <c r="H67" s="249">
        <v>12300</v>
      </c>
      <c r="I67" s="246">
        <v>134.606</v>
      </c>
      <c r="J67" s="246">
        <v>56.308</v>
      </c>
    </row>
    <row r="68" spans="1:10" ht="16.5" customHeight="1">
      <c r="A68" s="248">
        <v>4</v>
      </c>
      <c r="B68" s="410" t="s">
        <v>399</v>
      </c>
      <c r="C68" s="410"/>
      <c r="D68" s="410"/>
      <c r="E68" s="410"/>
      <c r="F68" s="410"/>
      <c r="G68" s="249">
        <v>61</v>
      </c>
      <c r="H68" s="249">
        <v>12400</v>
      </c>
      <c r="I68" s="246">
        <f>SUM(I69:I83)</f>
        <v>851.363</v>
      </c>
      <c r="J68" s="246">
        <f>SUM(J69:J83)</f>
        <v>400.68</v>
      </c>
    </row>
    <row r="69" spans="1:10" ht="16.5" customHeight="1">
      <c r="A69" s="250" t="s">
        <v>355</v>
      </c>
      <c r="B69" s="416" t="s">
        <v>400</v>
      </c>
      <c r="C69" s="416"/>
      <c r="D69" s="416"/>
      <c r="E69" s="416"/>
      <c r="F69" s="416"/>
      <c r="G69" s="245"/>
      <c r="H69" s="245">
        <v>12401</v>
      </c>
      <c r="I69" s="246"/>
      <c r="J69" s="246"/>
    </row>
    <row r="70" spans="1:10" ht="16.5" customHeight="1">
      <c r="A70" s="250" t="s">
        <v>364</v>
      </c>
      <c r="B70" s="416" t="s">
        <v>401</v>
      </c>
      <c r="C70" s="416"/>
      <c r="D70" s="416"/>
      <c r="E70" s="416"/>
      <c r="F70" s="416"/>
      <c r="G70" s="251">
        <v>611</v>
      </c>
      <c r="H70" s="245">
        <v>12402</v>
      </c>
      <c r="I70" s="246"/>
      <c r="J70" s="246"/>
    </row>
    <row r="71" spans="1:10" ht="16.5" customHeight="1">
      <c r="A71" s="250" t="s">
        <v>366</v>
      </c>
      <c r="B71" s="416" t="s">
        <v>402</v>
      </c>
      <c r="C71" s="416"/>
      <c r="D71" s="416"/>
      <c r="E71" s="416"/>
      <c r="F71" s="416"/>
      <c r="G71" s="245">
        <v>613</v>
      </c>
      <c r="H71" s="245">
        <v>12403</v>
      </c>
      <c r="I71" s="246"/>
      <c r="J71" s="246"/>
    </row>
    <row r="72" spans="1:10" ht="16.5" customHeight="1">
      <c r="A72" s="250" t="s">
        <v>403</v>
      </c>
      <c r="B72" s="416" t="s">
        <v>404</v>
      </c>
      <c r="C72" s="416"/>
      <c r="D72" s="416"/>
      <c r="E72" s="416"/>
      <c r="F72" s="416"/>
      <c r="G72" s="251">
        <v>615</v>
      </c>
      <c r="H72" s="245">
        <v>12404</v>
      </c>
      <c r="I72" s="252">
        <v>5.833</v>
      </c>
      <c r="J72" s="252"/>
    </row>
    <row r="73" spans="1:10" ht="16.5" customHeight="1">
      <c r="A73" s="250" t="s">
        <v>405</v>
      </c>
      <c r="B73" s="416" t="s">
        <v>406</v>
      </c>
      <c r="C73" s="416"/>
      <c r="D73" s="416"/>
      <c r="E73" s="416"/>
      <c r="F73" s="416"/>
      <c r="G73" s="251">
        <v>616</v>
      </c>
      <c r="H73" s="245">
        <v>12405</v>
      </c>
      <c r="I73" s="246">
        <v>200</v>
      </c>
      <c r="J73" s="246">
        <v>38.317</v>
      </c>
    </row>
    <row r="74" spans="1:10" ht="16.5" customHeight="1">
      <c r="A74" s="250" t="s">
        <v>407</v>
      </c>
      <c r="B74" s="416" t="s">
        <v>408</v>
      </c>
      <c r="C74" s="416"/>
      <c r="D74" s="416"/>
      <c r="E74" s="416"/>
      <c r="F74" s="416"/>
      <c r="G74" s="251">
        <v>617</v>
      </c>
      <c r="H74" s="245">
        <v>12406</v>
      </c>
      <c r="I74" s="246"/>
      <c r="J74" s="246"/>
    </row>
    <row r="75" spans="1:10" ht="16.5" customHeight="1">
      <c r="A75" s="250" t="s">
        <v>409</v>
      </c>
      <c r="B75" s="409" t="s">
        <v>410</v>
      </c>
      <c r="C75" s="409" t="s">
        <v>383</v>
      </c>
      <c r="D75" s="409"/>
      <c r="E75" s="409"/>
      <c r="F75" s="409"/>
      <c r="G75" s="251">
        <v>618</v>
      </c>
      <c r="H75" s="245">
        <v>12407</v>
      </c>
      <c r="I75" s="246">
        <f>115+18.767</f>
        <v>133.767</v>
      </c>
      <c r="J75" s="246">
        <f>3.5+43.333</f>
        <v>46.833</v>
      </c>
    </row>
    <row r="76" spans="1:10" ht="16.5" customHeight="1">
      <c r="A76" s="250" t="s">
        <v>411</v>
      </c>
      <c r="B76" s="409" t="s">
        <v>412</v>
      </c>
      <c r="C76" s="409"/>
      <c r="D76" s="409"/>
      <c r="E76" s="409"/>
      <c r="F76" s="409"/>
      <c r="G76" s="251">
        <v>623</v>
      </c>
      <c r="H76" s="245">
        <v>12408</v>
      </c>
      <c r="I76" s="246"/>
      <c r="J76" s="246"/>
    </row>
    <row r="77" spans="1:10" ht="16.5" customHeight="1">
      <c r="A77" s="250" t="s">
        <v>413</v>
      </c>
      <c r="B77" s="409" t="s">
        <v>414</v>
      </c>
      <c r="C77" s="409"/>
      <c r="D77" s="409"/>
      <c r="E77" s="409"/>
      <c r="F77" s="409"/>
      <c r="G77" s="251">
        <v>624</v>
      </c>
      <c r="H77" s="245">
        <v>12409</v>
      </c>
      <c r="I77" s="246"/>
      <c r="J77" s="246"/>
    </row>
    <row r="78" spans="1:10" ht="16.5" customHeight="1">
      <c r="A78" s="250" t="s">
        <v>415</v>
      </c>
      <c r="B78" s="409" t="s">
        <v>416</v>
      </c>
      <c r="C78" s="409"/>
      <c r="D78" s="409"/>
      <c r="E78" s="409"/>
      <c r="F78" s="409"/>
      <c r="G78" s="251">
        <v>625</v>
      </c>
      <c r="H78" s="245">
        <v>12410</v>
      </c>
      <c r="I78" s="246"/>
      <c r="J78" s="246"/>
    </row>
    <row r="79" spans="1:10" ht="16.5" customHeight="1">
      <c r="A79" s="250" t="s">
        <v>417</v>
      </c>
      <c r="B79" s="409" t="s">
        <v>418</v>
      </c>
      <c r="C79" s="409"/>
      <c r="D79" s="409"/>
      <c r="E79" s="409"/>
      <c r="F79" s="409"/>
      <c r="G79" s="251">
        <v>626</v>
      </c>
      <c r="H79" s="245">
        <v>12411</v>
      </c>
      <c r="I79" s="246">
        <v>244.33</v>
      </c>
      <c r="J79" s="246">
        <v>227.9</v>
      </c>
    </row>
    <row r="80" spans="1:10" ht="16.5" customHeight="1">
      <c r="A80" s="253" t="s">
        <v>419</v>
      </c>
      <c r="B80" s="409" t="s">
        <v>420</v>
      </c>
      <c r="C80" s="409"/>
      <c r="D80" s="409"/>
      <c r="E80" s="409"/>
      <c r="F80" s="409"/>
      <c r="G80" s="251">
        <v>627</v>
      </c>
      <c r="H80" s="245">
        <v>12412</v>
      </c>
      <c r="I80" s="246"/>
      <c r="J80" s="246"/>
    </row>
    <row r="81" spans="1:10" ht="16.5" customHeight="1">
      <c r="A81" s="250"/>
      <c r="B81" s="414" t="s">
        <v>421</v>
      </c>
      <c r="C81" s="414"/>
      <c r="D81" s="414"/>
      <c r="E81" s="414"/>
      <c r="F81" s="414"/>
      <c r="G81" s="251">
        <v>6271</v>
      </c>
      <c r="H81" s="251">
        <v>124121</v>
      </c>
      <c r="I81" s="246"/>
      <c r="J81" s="246"/>
    </row>
    <row r="82" spans="1:10" ht="16.5" customHeight="1">
      <c r="A82" s="250"/>
      <c r="B82" s="414" t="s">
        <v>422</v>
      </c>
      <c r="C82" s="414"/>
      <c r="D82" s="414"/>
      <c r="E82" s="414"/>
      <c r="F82" s="414"/>
      <c r="G82" s="251">
        <v>6272</v>
      </c>
      <c r="H82" s="251">
        <v>124122</v>
      </c>
      <c r="I82" s="246"/>
      <c r="J82" s="246"/>
    </row>
    <row r="83" spans="1:10" ht="16.5" customHeight="1">
      <c r="A83" s="250" t="s">
        <v>423</v>
      </c>
      <c r="B83" s="415" t="s">
        <v>424</v>
      </c>
      <c r="C83" s="409"/>
      <c r="D83" s="409"/>
      <c r="E83" s="409"/>
      <c r="F83" s="409"/>
      <c r="G83" s="251">
        <v>628</v>
      </c>
      <c r="H83" s="251">
        <v>12413</v>
      </c>
      <c r="I83" s="246">
        <f>99.514+167.37+0.549</f>
        <v>267.433</v>
      </c>
      <c r="J83" s="246">
        <v>87.63</v>
      </c>
    </row>
    <row r="84" spans="1:10" ht="16.5" customHeight="1">
      <c r="A84" s="248">
        <v>5</v>
      </c>
      <c r="B84" s="408" t="s">
        <v>425</v>
      </c>
      <c r="C84" s="409"/>
      <c r="D84" s="409"/>
      <c r="E84" s="409"/>
      <c r="F84" s="409"/>
      <c r="G84" s="254">
        <v>63</v>
      </c>
      <c r="H84" s="254">
        <v>12500</v>
      </c>
      <c r="I84" s="246">
        <f>SUM(I85:I89)</f>
        <v>245.027</v>
      </c>
      <c r="J84" s="246"/>
    </row>
    <row r="85" spans="1:10" ht="16.5" customHeight="1">
      <c r="A85" s="250" t="s">
        <v>355</v>
      </c>
      <c r="B85" s="409" t="s">
        <v>426</v>
      </c>
      <c r="C85" s="409"/>
      <c r="D85" s="409"/>
      <c r="E85" s="409"/>
      <c r="F85" s="409"/>
      <c r="G85" s="251">
        <v>632</v>
      </c>
      <c r="H85" s="251">
        <v>12501</v>
      </c>
      <c r="I85" s="246"/>
      <c r="J85" s="246"/>
    </row>
    <row r="86" spans="1:10" ht="16.5" customHeight="1">
      <c r="A86" s="250" t="s">
        <v>364</v>
      </c>
      <c r="B86" s="409" t="s">
        <v>427</v>
      </c>
      <c r="C86" s="409"/>
      <c r="D86" s="409"/>
      <c r="E86" s="409"/>
      <c r="F86" s="409"/>
      <c r="G86" s="251">
        <v>633</v>
      </c>
      <c r="H86" s="251">
        <v>12502</v>
      </c>
      <c r="I86" s="246"/>
      <c r="J86" s="246"/>
    </row>
    <row r="87" spans="1:10" ht="16.5" customHeight="1">
      <c r="A87" s="250" t="s">
        <v>366</v>
      </c>
      <c r="B87" s="409" t="s">
        <v>428</v>
      </c>
      <c r="C87" s="409"/>
      <c r="D87" s="409"/>
      <c r="E87" s="409"/>
      <c r="F87" s="409"/>
      <c r="G87" s="251">
        <v>634</v>
      </c>
      <c r="H87" s="251">
        <v>12503</v>
      </c>
      <c r="I87" s="246">
        <f>128.12+43.333</f>
        <v>171.453</v>
      </c>
      <c r="J87" s="246"/>
    </row>
    <row r="88" spans="1:10" ht="12.75" customHeight="1">
      <c r="A88" s="250" t="s">
        <v>403</v>
      </c>
      <c r="B88" s="409" t="s">
        <v>429</v>
      </c>
      <c r="C88" s="409"/>
      <c r="D88" s="409"/>
      <c r="E88" s="409"/>
      <c r="F88" s="409"/>
      <c r="G88" s="251" t="s">
        <v>430</v>
      </c>
      <c r="H88" s="251">
        <v>12504</v>
      </c>
      <c r="I88" s="246"/>
      <c r="J88" s="246">
        <f>99.12+0.1+66.666</f>
        <v>165.886</v>
      </c>
    </row>
    <row r="89" spans="1:10" ht="12.75" customHeight="1">
      <c r="A89" s="336" t="s">
        <v>405</v>
      </c>
      <c r="B89" s="411" t="s">
        <v>664</v>
      </c>
      <c r="C89" s="412"/>
      <c r="D89" s="412"/>
      <c r="E89" s="412"/>
      <c r="F89" s="413"/>
      <c r="G89" s="251">
        <v>657</v>
      </c>
      <c r="H89" s="251"/>
      <c r="I89" s="246">
        <v>73.574</v>
      </c>
      <c r="J89" s="246"/>
    </row>
    <row r="90" spans="1:10" ht="16.5" customHeight="1">
      <c r="A90" s="248" t="s">
        <v>431</v>
      </c>
      <c r="B90" s="410" t="s">
        <v>432</v>
      </c>
      <c r="C90" s="410"/>
      <c r="D90" s="410"/>
      <c r="E90" s="410"/>
      <c r="F90" s="410"/>
      <c r="G90" s="251"/>
      <c r="H90" s="251">
        <v>12600</v>
      </c>
      <c r="I90" s="246">
        <f>I84+I68+I64+I58+I67</f>
        <v>33429.344</v>
      </c>
      <c r="J90" s="246">
        <f>J84+J68+J64+J58+J67</f>
        <v>45509.43199999999</v>
      </c>
    </row>
    <row r="91" spans="1:10" ht="16.5" customHeight="1">
      <c r="A91" s="255"/>
      <c r="B91" s="256" t="s">
        <v>433</v>
      </c>
      <c r="C91" s="257"/>
      <c r="D91" s="257"/>
      <c r="E91" s="257"/>
      <c r="F91" s="257"/>
      <c r="G91" s="257"/>
      <c r="H91" s="257"/>
      <c r="I91" s="204" t="s">
        <v>593</v>
      </c>
      <c r="J91" s="205" t="s">
        <v>542</v>
      </c>
    </row>
    <row r="92" spans="1:10" ht="16.5" customHeight="1">
      <c r="A92" s="258">
        <v>1</v>
      </c>
      <c r="B92" s="404" t="s">
        <v>434</v>
      </c>
      <c r="C92" s="404"/>
      <c r="D92" s="404"/>
      <c r="E92" s="404"/>
      <c r="F92" s="404"/>
      <c r="G92" s="254"/>
      <c r="H92" s="254">
        <v>14000</v>
      </c>
      <c r="I92" s="246">
        <v>3</v>
      </c>
      <c r="J92" s="246">
        <v>2</v>
      </c>
    </row>
    <row r="93" spans="1:10" ht="16.5" customHeight="1">
      <c r="A93" s="258">
        <v>2</v>
      </c>
      <c r="B93" s="404" t="s">
        <v>435</v>
      </c>
      <c r="C93" s="404"/>
      <c r="D93" s="404"/>
      <c r="E93" s="404"/>
      <c r="F93" s="404"/>
      <c r="G93" s="254"/>
      <c r="H93" s="254">
        <v>15000</v>
      </c>
      <c r="I93" s="246">
        <f>SUM(I94+I96)</f>
        <v>17520.83</v>
      </c>
      <c r="J93" s="246">
        <f>SUM(J94+J96)</f>
        <v>4274.121</v>
      </c>
    </row>
    <row r="94" spans="1:10" ht="16.5" customHeight="1">
      <c r="A94" s="259" t="s">
        <v>355</v>
      </c>
      <c r="B94" s="405" t="s">
        <v>436</v>
      </c>
      <c r="C94" s="405"/>
      <c r="D94" s="405"/>
      <c r="E94" s="405"/>
      <c r="F94" s="405"/>
      <c r="G94" s="254"/>
      <c r="H94" s="251">
        <v>15001</v>
      </c>
      <c r="I94" s="246">
        <f>SUM(I95)</f>
        <v>17520.83</v>
      </c>
      <c r="J94" s="246">
        <v>4274.121</v>
      </c>
    </row>
    <row r="95" spans="1:10" ht="16.5" customHeight="1">
      <c r="A95" s="259"/>
      <c r="B95" s="406" t="s">
        <v>437</v>
      </c>
      <c r="C95" s="406"/>
      <c r="D95" s="406"/>
      <c r="E95" s="406"/>
      <c r="F95" s="406"/>
      <c r="G95" s="254"/>
      <c r="H95" s="251">
        <v>150011</v>
      </c>
      <c r="I95" s="246">
        <f>17483.75+32+5.08</f>
        <v>17520.83</v>
      </c>
      <c r="J95" s="246"/>
    </row>
    <row r="96" spans="1:10" ht="12.75">
      <c r="A96" s="260" t="s">
        <v>364</v>
      </c>
      <c r="B96" s="405" t="s">
        <v>438</v>
      </c>
      <c r="C96" s="405"/>
      <c r="D96" s="405"/>
      <c r="E96" s="405"/>
      <c r="F96" s="405"/>
      <c r="G96" s="254"/>
      <c r="H96" s="251">
        <v>15002</v>
      </c>
      <c r="I96" s="246">
        <v>0</v>
      </c>
      <c r="J96" s="246">
        <v>0</v>
      </c>
    </row>
    <row r="97" spans="1:11" ht="16.5" thickBot="1">
      <c r="A97" s="261"/>
      <c r="B97" s="407" t="s">
        <v>439</v>
      </c>
      <c r="C97" s="407"/>
      <c r="D97" s="407"/>
      <c r="E97" s="407"/>
      <c r="F97" s="407"/>
      <c r="G97" s="262"/>
      <c r="H97" s="263">
        <v>150021</v>
      </c>
      <c r="I97" s="264">
        <v>0</v>
      </c>
      <c r="J97" s="264">
        <v>0</v>
      </c>
      <c r="K97" s="237"/>
    </row>
    <row r="98" spans="1:11" ht="20.25" customHeight="1">
      <c r="A98" s="196"/>
      <c r="B98" s="196"/>
      <c r="C98" s="196"/>
      <c r="D98" s="196"/>
      <c r="E98" s="196"/>
      <c r="F98" s="196"/>
      <c r="G98" s="196"/>
      <c r="H98" s="196"/>
      <c r="I98" s="402" t="s">
        <v>347</v>
      </c>
      <c r="J98" s="402"/>
      <c r="K98" s="238"/>
    </row>
    <row r="99" spans="1:10" ht="23.25" customHeight="1">
      <c r="A99" s="196"/>
      <c r="B99" s="196"/>
      <c r="C99" s="196"/>
      <c r="D99" s="196"/>
      <c r="E99" s="196"/>
      <c r="F99" s="196"/>
      <c r="G99" s="196"/>
      <c r="H99" s="196"/>
      <c r="I99" s="403" t="s">
        <v>532</v>
      </c>
      <c r="J99" s="403"/>
    </row>
    <row r="100" spans="1:10" ht="15.75">
      <c r="A100" s="196"/>
      <c r="B100" s="196"/>
      <c r="C100" s="196"/>
      <c r="D100" s="196"/>
      <c r="E100" s="196"/>
      <c r="F100" s="196"/>
      <c r="G100" s="196"/>
      <c r="H100" s="196"/>
      <c r="I100" s="196"/>
      <c r="J100" s="265"/>
    </row>
    <row r="101" spans="1:10" ht="15.75">
      <c r="A101" s="196"/>
      <c r="B101" s="196"/>
      <c r="C101" s="196"/>
      <c r="D101" s="196"/>
      <c r="E101" s="196"/>
      <c r="F101" s="196"/>
      <c r="G101" s="196"/>
      <c r="H101" s="196"/>
      <c r="I101" s="196"/>
      <c r="J101" s="265"/>
    </row>
    <row r="102" spans="1:10" ht="15.75">
      <c r="A102" s="196"/>
      <c r="B102" s="266"/>
      <c r="C102" s="196"/>
      <c r="D102" s="196"/>
      <c r="E102" s="196"/>
      <c r="F102" s="196"/>
      <c r="G102" s="196"/>
      <c r="H102" s="196"/>
      <c r="I102" s="196"/>
      <c r="J102" s="265"/>
    </row>
    <row r="103" spans="1:10" ht="12.75">
      <c r="A103" s="196"/>
      <c r="B103" s="266"/>
      <c r="C103" s="196"/>
      <c r="D103" s="196"/>
      <c r="E103" s="196"/>
      <c r="F103" s="196"/>
      <c r="G103" s="196"/>
      <c r="H103" s="196"/>
      <c r="I103" s="196"/>
      <c r="J103" s="196"/>
    </row>
    <row r="104" spans="1:10" ht="12.75">
      <c r="A104" s="196"/>
      <c r="B104" s="266"/>
      <c r="C104" s="196"/>
      <c r="D104" s="196"/>
      <c r="E104" s="196"/>
      <c r="F104" s="196"/>
      <c r="G104" s="196"/>
      <c r="H104" s="196"/>
      <c r="I104" s="196"/>
      <c r="J104" s="196"/>
    </row>
    <row r="105" spans="1:10" ht="12.75">
      <c r="A105" s="196"/>
      <c r="B105" s="266"/>
      <c r="C105" s="196"/>
      <c r="D105" s="196"/>
      <c r="E105" s="196"/>
      <c r="F105" s="196"/>
      <c r="G105" s="196"/>
      <c r="H105" s="196"/>
      <c r="I105" s="196"/>
      <c r="J105" s="196"/>
    </row>
    <row r="106" spans="1:10" ht="12.75">
      <c r="A106" s="196"/>
      <c r="B106" s="196"/>
      <c r="C106" s="196"/>
      <c r="D106" s="196"/>
      <c r="E106" s="196"/>
      <c r="F106" s="196"/>
      <c r="G106" s="196"/>
      <c r="H106" s="196"/>
      <c r="I106" s="196"/>
      <c r="J106" s="196"/>
    </row>
    <row r="107" spans="1:10" ht="12.75">
      <c r="A107" s="196"/>
      <c r="B107" s="196"/>
      <c r="C107" s="196"/>
      <c r="D107" s="196"/>
      <c r="E107" s="196"/>
      <c r="F107" s="196"/>
      <c r="G107" s="196"/>
      <c r="H107" s="196"/>
      <c r="I107" s="196"/>
      <c r="J107" s="196"/>
    </row>
    <row r="108" spans="1:10" ht="12.75">
      <c r="A108" s="196"/>
      <c r="B108" s="196"/>
      <c r="C108" s="196"/>
      <c r="D108" s="196"/>
      <c r="E108" s="196"/>
      <c r="F108" s="196"/>
      <c r="G108" s="196"/>
      <c r="H108" s="196"/>
      <c r="I108" s="196"/>
      <c r="J108" s="196"/>
    </row>
    <row r="109" spans="1:10" ht="12.75">
      <c r="A109" s="196"/>
      <c r="B109" s="196"/>
      <c r="C109" s="196"/>
      <c r="D109" s="196"/>
      <c r="E109" s="196"/>
      <c r="F109" s="196"/>
      <c r="G109" s="196"/>
      <c r="H109" s="196"/>
      <c r="I109" s="196"/>
      <c r="J109" s="196"/>
    </row>
    <row r="110" spans="1:10" ht="12.75">
      <c r="A110" s="196"/>
      <c r="B110" s="196"/>
      <c r="C110" s="196"/>
      <c r="D110" s="196"/>
      <c r="E110" s="196"/>
      <c r="F110" s="196"/>
      <c r="G110" s="196"/>
      <c r="H110" s="196"/>
      <c r="I110" s="196"/>
      <c r="J110" s="196"/>
    </row>
    <row r="111" spans="1:10" ht="12.75">
      <c r="A111" s="196"/>
      <c r="B111" s="196"/>
      <c r="C111" s="196"/>
      <c r="D111" s="196"/>
      <c r="E111" s="196"/>
      <c r="F111" s="196"/>
      <c r="G111" s="196"/>
      <c r="H111" s="196"/>
      <c r="I111" s="196"/>
      <c r="J111" s="196"/>
    </row>
    <row r="112" spans="1:10" ht="12.75">
      <c r="A112" s="196"/>
      <c r="B112" s="196"/>
      <c r="C112" s="196"/>
      <c r="D112" s="196"/>
      <c r="E112" s="196"/>
      <c r="F112" s="196"/>
      <c r="G112" s="196"/>
      <c r="H112" s="196"/>
      <c r="I112" s="196"/>
      <c r="J112" s="196"/>
    </row>
    <row r="113" spans="1:10" ht="12.75">
      <c r="A113" s="196"/>
      <c r="B113" s="196"/>
      <c r="C113" s="196"/>
      <c r="D113" s="196"/>
      <c r="E113" s="196"/>
      <c r="F113" s="196"/>
      <c r="G113" s="196"/>
      <c r="H113" s="196"/>
      <c r="I113" s="196"/>
      <c r="J113" s="196"/>
    </row>
    <row r="114" spans="1:10" ht="12.75">
      <c r="A114" s="196"/>
      <c r="B114" s="196"/>
      <c r="C114" s="196"/>
      <c r="D114" s="196"/>
      <c r="E114" s="196"/>
      <c r="F114" s="196"/>
      <c r="G114" s="196"/>
      <c r="H114" s="196"/>
      <c r="I114" s="196"/>
      <c r="J114" s="196"/>
    </row>
    <row r="115" spans="1:10" ht="12.75">
      <c r="A115" s="196"/>
      <c r="B115" s="196"/>
      <c r="C115" s="196"/>
      <c r="D115" s="196"/>
      <c r="E115" s="196"/>
      <c r="F115" s="196"/>
      <c r="G115" s="196"/>
      <c r="H115" s="196"/>
      <c r="I115" s="196"/>
      <c r="J115" s="196"/>
    </row>
    <row r="116" spans="1:10" ht="12.75">
      <c r="A116" s="196"/>
      <c r="B116" s="196"/>
      <c r="C116" s="196"/>
      <c r="D116" s="196"/>
      <c r="E116" s="196"/>
      <c r="F116" s="196"/>
      <c r="G116" s="196"/>
      <c r="H116" s="196"/>
      <c r="I116" s="196"/>
      <c r="J116" s="196"/>
    </row>
    <row r="117" spans="1:10" ht="12.75">
      <c r="A117" s="196"/>
      <c r="B117" s="196"/>
      <c r="C117" s="196"/>
      <c r="D117" s="196"/>
      <c r="E117" s="196"/>
      <c r="F117" s="196"/>
      <c r="G117" s="196"/>
      <c r="H117" s="196"/>
      <c r="I117" s="196"/>
      <c r="J117" s="196"/>
    </row>
    <row r="118" spans="1:10" ht="12.75">
      <c r="A118" s="196"/>
      <c r="B118" s="196"/>
      <c r="C118" s="196"/>
      <c r="D118" s="196"/>
      <c r="E118" s="196"/>
      <c r="F118" s="196"/>
      <c r="G118" s="196"/>
      <c r="H118" s="196"/>
      <c r="I118" s="196"/>
      <c r="J118" s="196"/>
    </row>
    <row r="119" spans="1:10" ht="12.75">
      <c r="A119" s="196"/>
      <c r="B119" s="196"/>
      <c r="C119" s="196"/>
      <c r="D119" s="196"/>
      <c r="E119" s="196"/>
      <c r="F119" s="196"/>
      <c r="G119" s="196"/>
      <c r="H119" s="196"/>
      <c r="I119" s="196"/>
      <c r="J119" s="196"/>
    </row>
    <row r="120" spans="1:10" ht="12.75">
      <c r="A120" s="196"/>
      <c r="B120" s="196"/>
      <c r="C120" s="196"/>
      <c r="D120" s="196"/>
      <c r="E120" s="196"/>
      <c r="F120" s="196"/>
      <c r="G120" s="196"/>
      <c r="H120" s="196"/>
      <c r="I120" s="196"/>
      <c r="J120" s="196"/>
    </row>
    <row r="121" spans="1:10" ht="12.75">
      <c r="A121" s="196"/>
      <c r="B121" s="196"/>
      <c r="C121" s="196"/>
      <c r="D121" s="196"/>
      <c r="E121" s="196"/>
      <c r="F121" s="196"/>
      <c r="G121" s="196"/>
      <c r="H121" s="196"/>
      <c r="I121" s="196"/>
      <c r="J121" s="196"/>
    </row>
    <row r="122" spans="1:10" ht="12.75">
      <c r="A122" s="196"/>
      <c r="B122" s="196"/>
      <c r="C122" s="196"/>
      <c r="D122" s="196"/>
      <c r="E122" s="196"/>
      <c r="F122" s="196"/>
      <c r="G122" s="196"/>
      <c r="H122" s="196"/>
      <c r="I122" s="196"/>
      <c r="J122" s="196"/>
    </row>
    <row r="123" spans="1:10" ht="12.75">
      <c r="A123" s="196"/>
      <c r="B123" s="196"/>
      <c r="C123" s="196"/>
      <c r="D123" s="196"/>
      <c r="E123" s="196"/>
      <c r="F123" s="196"/>
      <c r="G123" s="196"/>
      <c r="H123" s="196"/>
      <c r="I123" s="196"/>
      <c r="J123" s="196"/>
    </row>
    <row r="124" spans="1:10" ht="12.75">
      <c r="A124" s="196"/>
      <c r="B124" s="196"/>
      <c r="C124" s="196"/>
      <c r="D124" s="196"/>
      <c r="E124" s="196"/>
      <c r="F124" s="196"/>
      <c r="G124" s="196"/>
      <c r="H124" s="196"/>
      <c r="I124" s="196"/>
      <c r="J124" s="196"/>
    </row>
    <row r="125" spans="1:10" ht="12.75">
      <c r="A125" s="196"/>
      <c r="B125" s="196"/>
      <c r="C125" s="196"/>
      <c r="D125" s="196"/>
      <c r="E125" s="196"/>
      <c r="F125" s="196"/>
      <c r="G125" s="196"/>
      <c r="H125" s="196"/>
      <c r="I125" s="196"/>
      <c r="J125" s="196"/>
    </row>
    <row r="126" spans="1:10" ht="12.75">
      <c r="A126" s="196"/>
      <c r="B126" s="196"/>
      <c r="C126" s="196"/>
      <c r="D126" s="196"/>
      <c r="E126" s="196"/>
      <c r="F126" s="196"/>
      <c r="G126" s="196"/>
      <c r="H126" s="196"/>
      <c r="I126" s="196"/>
      <c r="J126" s="196"/>
    </row>
    <row r="127" spans="1:10" ht="12.75">
      <c r="A127" s="196"/>
      <c r="B127" s="196"/>
      <c r="C127" s="196"/>
      <c r="D127" s="196"/>
      <c r="E127" s="196"/>
      <c r="F127" s="196"/>
      <c r="G127" s="196"/>
      <c r="H127" s="196"/>
      <c r="I127" s="196"/>
      <c r="J127" s="196"/>
    </row>
    <row r="128" spans="1:10" ht="12.75">
      <c r="A128" s="196"/>
      <c r="B128" s="196"/>
      <c r="C128" s="196"/>
      <c r="D128" s="196"/>
      <c r="E128" s="196"/>
      <c r="F128" s="196"/>
      <c r="G128" s="196"/>
      <c r="H128" s="196"/>
      <c r="I128" s="196"/>
      <c r="J128" s="196"/>
    </row>
    <row r="129" spans="1:10" ht="12.75">
      <c r="A129" s="196"/>
      <c r="B129" s="196"/>
      <c r="C129" s="196"/>
      <c r="D129" s="196"/>
      <c r="E129" s="196"/>
      <c r="F129" s="196"/>
      <c r="G129" s="196"/>
      <c r="H129" s="196"/>
      <c r="I129" s="196"/>
      <c r="J129" s="196"/>
    </row>
    <row r="130" spans="1:10" ht="12.75">
      <c r="A130" s="196"/>
      <c r="B130" s="196"/>
      <c r="C130" s="196"/>
      <c r="D130" s="196"/>
      <c r="E130" s="196"/>
      <c r="F130" s="196"/>
      <c r="G130" s="196"/>
      <c r="H130" s="196"/>
      <c r="I130" s="196"/>
      <c r="J130" s="196"/>
    </row>
    <row r="131" spans="1:10" ht="12.75">
      <c r="A131" s="196"/>
      <c r="B131" s="196"/>
      <c r="C131" s="196"/>
      <c r="D131" s="196"/>
      <c r="E131" s="196"/>
      <c r="F131" s="196"/>
      <c r="G131" s="196"/>
      <c r="H131" s="196"/>
      <c r="I131" s="196"/>
      <c r="J131" s="196"/>
    </row>
    <row r="132" spans="1:10" ht="12.75">
      <c r="A132" s="196"/>
      <c r="B132" s="196"/>
      <c r="C132" s="196"/>
      <c r="D132" s="196"/>
      <c r="E132" s="196"/>
      <c r="F132" s="196"/>
      <c r="G132" s="196"/>
      <c r="H132" s="196"/>
      <c r="I132" s="196"/>
      <c r="J132" s="196"/>
    </row>
    <row r="133" spans="1:10" ht="12.75">
      <c r="A133" s="196"/>
      <c r="B133" s="196"/>
      <c r="C133" s="196"/>
      <c r="D133" s="196"/>
      <c r="E133" s="196"/>
      <c r="F133" s="196"/>
      <c r="G133" s="196"/>
      <c r="H133" s="196"/>
      <c r="I133" s="196"/>
      <c r="J133" s="196"/>
    </row>
    <row r="134" spans="1:10" ht="12.75">
      <c r="A134" s="196"/>
      <c r="B134" s="196"/>
      <c r="C134" s="196"/>
      <c r="D134" s="196"/>
      <c r="E134" s="196"/>
      <c r="F134" s="196"/>
      <c r="G134" s="196"/>
      <c r="H134" s="196"/>
      <c r="I134" s="196"/>
      <c r="J134" s="196"/>
    </row>
    <row r="135" spans="1:10" ht="12.75">
      <c r="A135" s="196"/>
      <c r="B135" s="196"/>
      <c r="C135" s="196"/>
      <c r="D135" s="196"/>
      <c r="E135" s="196"/>
      <c r="F135" s="196"/>
      <c r="G135" s="196"/>
      <c r="H135" s="196"/>
      <c r="I135" s="196"/>
      <c r="J135" s="196"/>
    </row>
    <row r="136" spans="1:10" ht="12.75">
      <c r="A136" s="196"/>
      <c r="B136" s="196"/>
      <c r="C136" s="196"/>
      <c r="D136" s="196"/>
      <c r="E136" s="196"/>
      <c r="F136" s="196"/>
      <c r="G136" s="196"/>
      <c r="H136" s="196"/>
      <c r="I136" s="196"/>
      <c r="J136" s="196"/>
    </row>
    <row r="137" spans="1:10" ht="12.75">
      <c r="A137" s="196"/>
      <c r="B137" s="196"/>
      <c r="C137" s="196"/>
      <c r="D137" s="196"/>
      <c r="E137" s="196"/>
      <c r="F137" s="196"/>
      <c r="G137" s="196"/>
      <c r="H137" s="196"/>
      <c r="I137" s="196"/>
      <c r="J137" s="196"/>
    </row>
    <row r="138" spans="1:10" ht="12.75">
      <c r="A138" s="196"/>
      <c r="B138" s="196"/>
      <c r="C138" s="196"/>
      <c r="D138" s="196"/>
      <c r="E138" s="196"/>
      <c r="F138" s="196"/>
      <c r="G138" s="196"/>
      <c r="H138" s="196"/>
      <c r="I138" s="196"/>
      <c r="J138" s="196"/>
    </row>
    <row r="139" spans="1:10" ht="12.75">
      <c r="A139" s="196"/>
      <c r="B139" s="196"/>
      <c r="C139" s="196"/>
      <c r="D139" s="196"/>
      <c r="E139" s="196"/>
      <c r="F139" s="196"/>
      <c r="G139" s="196"/>
      <c r="H139" s="196"/>
      <c r="I139" s="196"/>
      <c r="J139" s="196"/>
    </row>
    <row r="140" spans="1:10" ht="12.75">
      <c r="A140" s="196"/>
      <c r="B140" s="196"/>
      <c r="C140" s="196"/>
      <c r="D140" s="196"/>
      <c r="E140" s="196"/>
      <c r="F140" s="196"/>
      <c r="G140" s="196"/>
      <c r="H140" s="196"/>
      <c r="I140" s="196"/>
      <c r="J140" s="196"/>
    </row>
    <row r="141" spans="1:10" ht="12.75">
      <c r="A141" s="196"/>
      <c r="B141" s="196"/>
      <c r="C141" s="196"/>
      <c r="D141" s="196"/>
      <c r="E141" s="196"/>
      <c r="F141" s="196"/>
      <c r="G141" s="196"/>
      <c r="H141" s="196"/>
      <c r="I141" s="196"/>
      <c r="J141" s="196"/>
    </row>
    <row r="142" spans="1:10" ht="12.75">
      <c r="A142" s="196"/>
      <c r="B142" s="196"/>
      <c r="C142" s="196"/>
      <c r="D142" s="196"/>
      <c r="E142" s="196"/>
      <c r="F142" s="196"/>
      <c r="G142" s="196"/>
      <c r="H142" s="196"/>
      <c r="I142" s="196"/>
      <c r="J142" s="196"/>
    </row>
    <row r="143" spans="1:10" ht="12.75">
      <c r="A143" s="196"/>
      <c r="B143" s="196"/>
      <c r="C143" s="196"/>
      <c r="D143" s="196"/>
      <c r="E143" s="196"/>
      <c r="F143" s="196"/>
      <c r="G143" s="196"/>
      <c r="H143" s="196"/>
      <c r="I143" s="196"/>
      <c r="J143" s="196"/>
    </row>
    <row r="144" spans="1:10" ht="12.75">
      <c r="A144" s="196"/>
      <c r="B144" s="196"/>
      <c r="C144" s="196"/>
      <c r="D144" s="196"/>
      <c r="E144" s="196"/>
      <c r="F144" s="196"/>
      <c r="G144" s="196"/>
      <c r="H144" s="196"/>
      <c r="I144" s="196"/>
      <c r="J144" s="196"/>
    </row>
    <row r="145" spans="1:10" ht="12.75">
      <c r="A145" s="196"/>
      <c r="B145" s="196"/>
      <c r="C145" s="196"/>
      <c r="D145" s="196"/>
      <c r="E145" s="196"/>
      <c r="F145" s="196"/>
      <c r="G145" s="196"/>
      <c r="H145" s="196"/>
      <c r="I145" s="196"/>
      <c r="J145" s="196"/>
    </row>
    <row r="146" spans="1:10" ht="12.75">
      <c r="A146" s="196"/>
      <c r="B146" s="196"/>
      <c r="C146" s="196"/>
      <c r="D146" s="196"/>
      <c r="E146" s="196"/>
      <c r="F146" s="196"/>
      <c r="G146" s="196"/>
      <c r="H146" s="196"/>
      <c r="I146" s="196"/>
      <c r="J146" s="196"/>
    </row>
    <row r="147" spans="1:10" ht="12.75">
      <c r="A147" s="196"/>
      <c r="B147" s="196"/>
      <c r="C147" s="196"/>
      <c r="D147" s="196"/>
      <c r="E147" s="196"/>
      <c r="F147" s="196"/>
      <c r="G147" s="196"/>
      <c r="H147" s="196"/>
      <c r="I147" s="196"/>
      <c r="J147" s="196"/>
    </row>
    <row r="148" spans="1:10" ht="12.75">
      <c r="A148" s="196"/>
      <c r="B148" s="196"/>
      <c r="C148" s="196"/>
      <c r="D148" s="196"/>
      <c r="E148" s="196"/>
      <c r="F148" s="196"/>
      <c r="G148" s="196"/>
      <c r="H148" s="196"/>
      <c r="I148" s="196"/>
      <c r="J148" s="196"/>
    </row>
    <row r="149" spans="1:10" ht="12.75">
      <c r="A149" s="196"/>
      <c r="B149" s="196"/>
      <c r="C149" s="196"/>
      <c r="D149" s="196"/>
      <c r="E149" s="196"/>
      <c r="F149" s="196"/>
      <c r="G149" s="196"/>
      <c r="H149" s="196"/>
      <c r="I149" s="196"/>
      <c r="J149" s="196"/>
    </row>
    <row r="150" spans="1:10" ht="12.75">
      <c r="A150" s="196"/>
      <c r="B150" s="196"/>
      <c r="C150" s="196"/>
      <c r="D150" s="196"/>
      <c r="E150" s="196"/>
      <c r="F150" s="196"/>
      <c r="G150" s="196"/>
      <c r="H150" s="196"/>
      <c r="I150" s="196"/>
      <c r="J150" s="196"/>
    </row>
    <row r="151" spans="1:10" ht="12.75">
      <c r="A151" s="196"/>
      <c r="B151" s="196"/>
      <c r="C151" s="196"/>
      <c r="D151" s="196"/>
      <c r="E151" s="196"/>
      <c r="F151" s="196"/>
      <c r="G151" s="196"/>
      <c r="H151" s="196"/>
      <c r="I151" s="196"/>
      <c r="J151" s="196"/>
    </row>
    <row r="152" spans="1:10" ht="12.75">
      <c r="A152" s="196"/>
      <c r="B152" s="196"/>
      <c r="C152" s="196"/>
      <c r="D152" s="196"/>
      <c r="E152" s="196"/>
      <c r="F152" s="196"/>
      <c r="G152" s="196"/>
      <c r="H152" s="196"/>
      <c r="I152" s="196"/>
      <c r="J152" s="196"/>
    </row>
    <row r="153" spans="1:10" ht="12.75">
      <c r="A153" s="196"/>
      <c r="B153" s="196"/>
      <c r="C153" s="196"/>
      <c r="D153" s="196"/>
      <c r="E153" s="196"/>
      <c r="F153" s="196"/>
      <c r="G153" s="196"/>
      <c r="H153" s="196"/>
      <c r="I153" s="196"/>
      <c r="J153" s="196"/>
    </row>
    <row r="154" spans="1:10" ht="12.75">
      <c r="A154" s="196"/>
      <c r="B154" s="196"/>
      <c r="C154" s="196"/>
      <c r="D154" s="196"/>
      <c r="E154" s="196"/>
      <c r="F154" s="196"/>
      <c r="G154" s="196"/>
      <c r="H154" s="196"/>
      <c r="I154" s="196"/>
      <c r="J154" s="196"/>
    </row>
    <row r="155" spans="1:10" ht="12.75">
      <c r="A155" s="196"/>
      <c r="B155" s="196"/>
      <c r="C155" s="196"/>
      <c r="D155" s="196"/>
      <c r="E155" s="196"/>
      <c r="F155" s="196"/>
      <c r="G155" s="196"/>
      <c r="H155" s="196"/>
      <c r="I155" s="196"/>
      <c r="J155" s="196"/>
    </row>
    <row r="156" spans="1:10" ht="12.75">
      <c r="A156" s="196"/>
      <c r="B156" s="196"/>
      <c r="C156" s="196"/>
      <c r="D156" s="196"/>
      <c r="E156" s="196"/>
      <c r="F156" s="196"/>
      <c r="G156" s="196"/>
      <c r="H156" s="196"/>
      <c r="I156" s="196"/>
      <c r="J156" s="196"/>
    </row>
    <row r="157" spans="1:10" ht="12.75">
      <c r="A157" s="196"/>
      <c r="B157" s="196"/>
      <c r="C157" s="196"/>
      <c r="D157" s="196"/>
      <c r="E157" s="196"/>
      <c r="F157" s="196"/>
      <c r="G157" s="196"/>
      <c r="H157" s="196"/>
      <c r="I157" s="196"/>
      <c r="J157" s="196"/>
    </row>
    <row r="158" spans="1:10" ht="12.75">
      <c r="A158" s="196"/>
      <c r="B158" s="196"/>
      <c r="C158" s="196"/>
      <c r="D158" s="196"/>
      <c r="E158" s="196"/>
      <c r="F158" s="196"/>
      <c r="G158" s="196"/>
      <c r="H158" s="196"/>
      <c r="I158" s="196"/>
      <c r="J158" s="196"/>
    </row>
    <row r="159" spans="1:10" ht="12.75">
      <c r="A159" s="196"/>
      <c r="B159" s="196"/>
      <c r="C159" s="196"/>
      <c r="D159" s="196"/>
      <c r="E159" s="196"/>
      <c r="F159" s="196"/>
      <c r="G159" s="196"/>
      <c r="H159" s="196"/>
      <c r="I159" s="196"/>
      <c r="J159" s="196"/>
    </row>
    <row r="160" spans="1:10" ht="12.75">
      <c r="A160" s="196"/>
      <c r="B160" s="196"/>
      <c r="C160" s="196"/>
      <c r="D160" s="196"/>
      <c r="E160" s="196"/>
      <c r="F160" s="196"/>
      <c r="G160" s="196"/>
      <c r="H160" s="196"/>
      <c r="I160" s="196"/>
      <c r="J160" s="196"/>
    </row>
    <row r="161" spans="1:10" ht="12.75">
      <c r="A161" s="196"/>
      <c r="B161" s="196"/>
      <c r="C161" s="196"/>
      <c r="D161" s="196"/>
      <c r="E161" s="196"/>
      <c r="F161" s="196"/>
      <c r="G161" s="196"/>
      <c r="H161" s="196"/>
      <c r="I161" s="196"/>
      <c r="J161" s="196"/>
    </row>
    <row r="162" spans="1:10" ht="12.75">
      <c r="A162" s="196"/>
      <c r="B162" s="196"/>
      <c r="C162" s="196"/>
      <c r="D162" s="196"/>
      <c r="E162" s="196"/>
      <c r="F162" s="196"/>
      <c r="G162" s="196"/>
      <c r="H162" s="196"/>
      <c r="I162" s="196"/>
      <c r="J162" s="196"/>
    </row>
    <row r="163" spans="1:10" ht="12.75">
      <c r="A163" s="196"/>
      <c r="B163" s="196"/>
      <c r="C163" s="196"/>
      <c r="D163" s="196"/>
      <c r="E163" s="196"/>
      <c r="F163" s="196"/>
      <c r="G163" s="196"/>
      <c r="H163" s="196"/>
      <c r="I163" s="196"/>
      <c r="J163" s="196"/>
    </row>
    <row r="164" spans="1:10" ht="12.75">
      <c r="A164" s="196"/>
      <c r="B164" s="196"/>
      <c r="C164" s="196"/>
      <c r="D164" s="196"/>
      <c r="E164" s="196"/>
      <c r="F164" s="196"/>
      <c r="G164" s="196"/>
      <c r="H164" s="196"/>
      <c r="I164" s="196"/>
      <c r="J164" s="196"/>
    </row>
    <row r="165" spans="1:10" ht="12.75">
      <c r="A165" s="196"/>
      <c r="B165" s="196"/>
      <c r="C165" s="196"/>
      <c r="D165" s="196"/>
      <c r="E165" s="196"/>
      <c r="F165" s="196"/>
      <c r="G165" s="196"/>
      <c r="H165" s="196"/>
      <c r="I165" s="196"/>
      <c r="J165" s="196"/>
    </row>
    <row r="166" spans="1:10" ht="12.75">
      <c r="A166" s="196"/>
      <c r="B166" s="196"/>
      <c r="C166" s="196"/>
      <c r="D166" s="196"/>
      <c r="E166" s="196"/>
      <c r="F166" s="196"/>
      <c r="G166" s="196"/>
      <c r="H166" s="196"/>
      <c r="I166" s="196"/>
      <c r="J166" s="196"/>
    </row>
    <row r="167" spans="1:10" ht="12.75">
      <c r="A167" s="196"/>
      <c r="B167" s="196"/>
      <c r="C167" s="196"/>
      <c r="D167" s="196"/>
      <c r="E167" s="196"/>
      <c r="F167" s="196"/>
      <c r="G167" s="196"/>
      <c r="H167" s="196"/>
      <c r="I167" s="196"/>
      <c r="J167" s="196"/>
    </row>
    <row r="168" spans="1:10" ht="12.75">
      <c r="A168" s="196"/>
      <c r="B168" s="196"/>
      <c r="C168" s="196"/>
      <c r="D168" s="196"/>
      <c r="E168" s="196"/>
      <c r="F168" s="196"/>
      <c r="G168" s="196"/>
      <c r="H168" s="196"/>
      <c r="I168" s="196"/>
      <c r="J168" s="196"/>
    </row>
    <row r="169" spans="1:10" ht="12.75">
      <c r="A169" s="196"/>
      <c r="B169" s="196"/>
      <c r="C169" s="196"/>
      <c r="D169" s="196"/>
      <c r="E169" s="196"/>
      <c r="F169" s="196"/>
      <c r="G169" s="196"/>
      <c r="H169" s="196"/>
      <c r="I169" s="196"/>
      <c r="J169" s="196"/>
    </row>
    <row r="170" spans="1:10" ht="12.75">
      <c r="A170" s="196"/>
      <c r="B170" s="196"/>
      <c r="C170" s="196"/>
      <c r="D170" s="196"/>
      <c r="E170" s="196"/>
      <c r="F170" s="196"/>
      <c r="G170" s="196"/>
      <c r="H170" s="196"/>
      <c r="I170" s="196"/>
      <c r="J170" s="196"/>
    </row>
    <row r="171" spans="1:10" ht="12.75">
      <c r="A171" s="196"/>
      <c r="B171" s="196"/>
      <c r="C171" s="196"/>
      <c r="D171" s="196"/>
      <c r="E171" s="196"/>
      <c r="F171" s="196"/>
      <c r="G171" s="196"/>
      <c r="H171" s="196"/>
      <c r="I171" s="196"/>
      <c r="J171" s="196"/>
    </row>
    <row r="172" spans="1:10" ht="12.75">
      <c r="A172" s="196"/>
      <c r="B172" s="196"/>
      <c r="C172" s="196"/>
      <c r="D172" s="196"/>
      <c r="E172" s="196"/>
      <c r="F172" s="196"/>
      <c r="G172" s="196"/>
      <c r="H172" s="196"/>
      <c r="I172" s="196"/>
      <c r="J172" s="196"/>
    </row>
    <row r="173" spans="1:10" ht="12.75">
      <c r="A173" s="196"/>
      <c r="B173" s="196"/>
      <c r="C173" s="196"/>
      <c r="D173" s="196"/>
      <c r="E173" s="196"/>
      <c r="F173" s="196"/>
      <c r="G173" s="196"/>
      <c r="H173" s="196"/>
      <c r="I173" s="196"/>
      <c r="J173" s="196"/>
    </row>
    <row r="174" spans="1:10" ht="12.75">
      <c r="A174" s="196"/>
      <c r="B174" s="196"/>
      <c r="C174" s="196"/>
      <c r="D174" s="196"/>
      <c r="E174" s="196"/>
      <c r="F174" s="196"/>
      <c r="G174" s="196"/>
      <c r="H174" s="196"/>
      <c r="I174" s="196"/>
      <c r="J174" s="196"/>
    </row>
    <row r="175" spans="1:10" ht="12.75">
      <c r="A175" s="196"/>
      <c r="B175" s="196"/>
      <c r="C175" s="196"/>
      <c r="D175" s="196"/>
      <c r="E175" s="196"/>
      <c r="F175" s="196"/>
      <c r="G175" s="196"/>
      <c r="H175" s="196"/>
      <c r="I175" s="196"/>
      <c r="J175" s="196"/>
    </row>
    <row r="176" spans="1:10" ht="12.75">
      <c r="A176" s="196"/>
      <c r="B176" s="196"/>
      <c r="C176" s="196"/>
      <c r="D176" s="196"/>
      <c r="E176" s="196"/>
      <c r="F176" s="196"/>
      <c r="G176" s="196"/>
      <c r="H176" s="196"/>
      <c r="I176" s="196"/>
      <c r="J176" s="196"/>
    </row>
    <row r="177" spans="1:10" ht="12.75">
      <c r="A177" s="196"/>
      <c r="B177" s="196"/>
      <c r="C177" s="196"/>
      <c r="D177" s="196"/>
      <c r="E177" s="196"/>
      <c r="F177" s="196"/>
      <c r="G177" s="196"/>
      <c r="H177" s="196"/>
      <c r="I177" s="196"/>
      <c r="J177" s="196"/>
    </row>
    <row r="178" spans="1:10" ht="12.75">
      <c r="A178" s="196"/>
      <c r="B178" s="196"/>
      <c r="C178" s="196"/>
      <c r="D178" s="196"/>
      <c r="E178" s="196"/>
      <c r="F178" s="196"/>
      <c r="G178" s="196"/>
      <c r="H178" s="196"/>
      <c r="I178" s="196"/>
      <c r="J178" s="196"/>
    </row>
    <row r="179" spans="1:10" ht="12.75">
      <c r="A179" s="196"/>
      <c r="B179" s="196"/>
      <c r="C179" s="196"/>
      <c r="D179" s="196"/>
      <c r="E179" s="196"/>
      <c r="F179" s="196"/>
      <c r="G179" s="196"/>
      <c r="H179" s="196"/>
      <c r="I179" s="196"/>
      <c r="J179" s="196"/>
    </row>
    <row r="180" spans="1:10" ht="12.75">
      <c r="A180" s="196"/>
      <c r="B180" s="196"/>
      <c r="C180" s="196"/>
      <c r="D180" s="196"/>
      <c r="E180" s="196"/>
      <c r="F180" s="196"/>
      <c r="G180" s="196"/>
      <c r="H180" s="196"/>
      <c r="I180" s="196"/>
      <c r="J180" s="196"/>
    </row>
    <row r="181" spans="1:10" ht="12.75">
      <c r="A181" s="196"/>
      <c r="B181" s="196"/>
      <c r="C181" s="196"/>
      <c r="D181" s="196"/>
      <c r="E181" s="196"/>
      <c r="F181" s="196"/>
      <c r="G181" s="196"/>
      <c r="H181" s="196"/>
      <c r="I181" s="196"/>
      <c r="J181" s="196"/>
    </row>
    <row r="182" spans="1:10" ht="12.75">
      <c r="A182" s="196"/>
      <c r="B182" s="196"/>
      <c r="C182" s="196"/>
      <c r="D182" s="196"/>
      <c r="E182" s="196"/>
      <c r="F182" s="196"/>
      <c r="G182" s="196"/>
      <c r="H182" s="196"/>
      <c r="I182" s="196"/>
      <c r="J182" s="196"/>
    </row>
    <row r="183" spans="1:10" ht="12.75">
      <c r="A183" s="196"/>
      <c r="B183" s="196"/>
      <c r="C183" s="196"/>
      <c r="D183" s="196"/>
      <c r="E183" s="196"/>
      <c r="F183" s="196"/>
      <c r="G183" s="196"/>
      <c r="H183" s="196"/>
      <c r="I183" s="196"/>
      <c r="J183" s="196"/>
    </row>
    <row r="184" spans="1:10" ht="12.75">
      <c r="A184" s="196"/>
      <c r="B184" s="196"/>
      <c r="C184" s="196"/>
      <c r="D184" s="196"/>
      <c r="E184" s="196"/>
      <c r="F184" s="196"/>
      <c r="G184" s="196"/>
      <c r="H184" s="196"/>
      <c r="I184" s="196"/>
      <c r="J184" s="196"/>
    </row>
    <row r="185" spans="1:10" ht="12.75">
      <c r="A185" s="196"/>
      <c r="B185" s="196"/>
      <c r="C185" s="196"/>
      <c r="D185" s="196"/>
      <c r="E185" s="196"/>
      <c r="F185" s="196"/>
      <c r="G185" s="196"/>
      <c r="H185" s="196"/>
      <c r="I185" s="196"/>
      <c r="J185" s="196"/>
    </row>
    <row r="186" spans="1:10" ht="12.75">
      <c r="A186" s="196"/>
      <c r="B186" s="196"/>
      <c r="C186" s="196"/>
      <c r="D186" s="196"/>
      <c r="E186" s="196"/>
      <c r="F186" s="196"/>
      <c r="G186" s="196"/>
      <c r="H186" s="196"/>
      <c r="I186" s="196"/>
      <c r="J186" s="196"/>
    </row>
    <row r="187" spans="1:10" ht="12.75">
      <c r="A187" s="196"/>
      <c r="B187" s="196"/>
      <c r="C187" s="196"/>
      <c r="D187" s="196"/>
      <c r="E187" s="196"/>
      <c r="F187" s="196"/>
      <c r="G187" s="196"/>
      <c r="H187" s="196"/>
      <c r="I187" s="196"/>
      <c r="J187" s="196"/>
    </row>
    <row r="188" spans="1:10" ht="12.75">
      <c r="A188" s="196"/>
      <c r="B188" s="196"/>
      <c r="C188" s="196"/>
      <c r="D188" s="196"/>
      <c r="E188" s="196"/>
      <c r="F188" s="196"/>
      <c r="G188" s="196"/>
      <c r="H188" s="196"/>
      <c r="I188" s="196"/>
      <c r="J188" s="196"/>
    </row>
    <row r="189" spans="1:10" ht="12.75">
      <c r="A189" s="196"/>
      <c r="B189" s="196"/>
      <c r="C189" s="196"/>
      <c r="D189" s="196"/>
      <c r="E189" s="196"/>
      <c r="F189" s="196"/>
      <c r="G189" s="196"/>
      <c r="H189" s="196"/>
      <c r="I189" s="196"/>
      <c r="J189" s="196"/>
    </row>
  </sheetData>
  <sheetProtection/>
  <mergeCells count="62">
    <mergeCell ref="A6:J6"/>
    <mergeCell ref="B7:F7"/>
    <mergeCell ref="B8:F8"/>
    <mergeCell ref="B9:F9"/>
    <mergeCell ref="B10:F10"/>
    <mergeCell ref="B11:F11"/>
    <mergeCell ref="B23:F23"/>
    <mergeCell ref="B12:F12"/>
    <mergeCell ref="B13:F13"/>
    <mergeCell ref="B14:F14"/>
    <mergeCell ref="B15:F15"/>
    <mergeCell ref="B16:F16"/>
    <mergeCell ref="B17:F17"/>
    <mergeCell ref="B24:F24"/>
    <mergeCell ref="A56:J56"/>
    <mergeCell ref="B57:F57"/>
    <mergeCell ref="B58:F58"/>
    <mergeCell ref="B59:F59"/>
    <mergeCell ref="B18:F18"/>
    <mergeCell ref="B19:F19"/>
    <mergeCell ref="B20:F20"/>
    <mergeCell ref="B21:F21"/>
    <mergeCell ref="B22:F22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90:F90"/>
    <mergeCell ref="B89:F89"/>
    <mergeCell ref="I98:J98"/>
    <mergeCell ref="I99:J99"/>
    <mergeCell ref="B92:F92"/>
    <mergeCell ref="B93:F93"/>
    <mergeCell ref="B94:F94"/>
    <mergeCell ref="B95:F95"/>
    <mergeCell ref="B96:F96"/>
    <mergeCell ref="B97:F97"/>
  </mergeCells>
  <printOptions/>
  <pageMargins left="0.33" right="0.17" top="0.5" bottom="0.35" header="0.24" footer="0.24"/>
  <pageSetup horizontalDpi="600" verticalDpi="600" orientation="portrait" scale="89" r:id="rId1"/>
  <headerFooter alignWithMargins="0"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H1">
      <selection activeCell="P31" sqref="P31"/>
    </sheetView>
  </sheetViews>
  <sheetFormatPr defaultColWidth="9.140625" defaultRowHeight="12.75"/>
  <cols>
    <col min="1" max="1" width="0" style="0" hidden="1" customWidth="1"/>
    <col min="2" max="2" width="32.57421875" style="0" hidden="1" customWidth="1"/>
    <col min="3" max="3" width="17.00390625" style="0" hidden="1" customWidth="1"/>
    <col min="4" max="7" width="0" style="0" hidden="1" customWidth="1"/>
    <col min="8" max="8" width="3.7109375" style="0" customWidth="1"/>
    <col min="9" max="9" width="10.8515625" style="0" customWidth="1"/>
    <col min="10" max="10" width="33.8515625" style="0" customWidth="1"/>
    <col min="11" max="11" width="23.8515625" style="314" customWidth="1"/>
  </cols>
  <sheetData>
    <row r="1" spans="1:9" ht="15.75">
      <c r="A1" s="160" t="s">
        <v>440</v>
      </c>
      <c r="B1" s="160" t="s">
        <v>441</v>
      </c>
      <c r="C1" s="160" t="s">
        <v>442</v>
      </c>
      <c r="I1" s="159" t="s">
        <v>546</v>
      </c>
    </row>
    <row r="2" spans="2:9" ht="12.75">
      <c r="B2" s="160" t="s">
        <v>443</v>
      </c>
      <c r="C2" s="160" t="s">
        <v>443</v>
      </c>
      <c r="I2" s="160" t="s">
        <v>531</v>
      </c>
    </row>
    <row r="3" spans="2:11" ht="12.75">
      <c r="B3" s="160"/>
      <c r="C3" s="160"/>
      <c r="I3" s="161"/>
      <c r="K3" s="318" t="s">
        <v>444</v>
      </c>
    </row>
    <row r="4" spans="2:3" ht="12.75">
      <c r="B4" s="160"/>
      <c r="C4" s="160"/>
    </row>
    <row r="5" spans="2:11" ht="12.75">
      <c r="B5" s="196" t="s">
        <v>445</v>
      </c>
      <c r="C5" s="196" t="s">
        <v>445</v>
      </c>
      <c r="H5" s="267"/>
      <c r="I5" s="267"/>
      <c r="J5" s="176" t="s">
        <v>446</v>
      </c>
      <c r="K5" s="319" t="s">
        <v>447</v>
      </c>
    </row>
    <row r="6" spans="2:11" ht="12.75">
      <c r="B6" s="196" t="s">
        <v>448</v>
      </c>
      <c r="C6" s="196" t="s">
        <v>448</v>
      </c>
      <c r="H6" s="267">
        <v>1</v>
      </c>
      <c r="I6" s="176" t="s">
        <v>443</v>
      </c>
      <c r="J6" s="268" t="s">
        <v>445</v>
      </c>
      <c r="K6" s="316"/>
    </row>
    <row r="7" spans="2:11" ht="12.75">
      <c r="B7" s="196" t="s">
        <v>449</v>
      </c>
      <c r="C7" s="196" t="s">
        <v>449</v>
      </c>
      <c r="H7" s="267">
        <v>2</v>
      </c>
      <c r="I7" s="176" t="s">
        <v>443</v>
      </c>
      <c r="J7" s="268" t="s">
        <v>450</v>
      </c>
      <c r="K7" s="280"/>
    </row>
    <row r="8" spans="2:11" ht="12.75">
      <c r="B8" s="196" t="s">
        <v>451</v>
      </c>
      <c r="C8" s="196" t="s">
        <v>451</v>
      </c>
      <c r="H8" s="267">
        <v>3</v>
      </c>
      <c r="I8" s="176" t="s">
        <v>443</v>
      </c>
      <c r="J8" s="268" t="s">
        <v>452</v>
      </c>
      <c r="K8" s="280"/>
    </row>
    <row r="9" spans="2:11" ht="12.75">
      <c r="B9" s="196" t="s">
        <v>453</v>
      </c>
      <c r="C9" s="196" t="s">
        <v>453</v>
      </c>
      <c r="H9" s="267">
        <v>4</v>
      </c>
      <c r="I9" s="176" t="s">
        <v>443</v>
      </c>
      <c r="J9" s="268" t="s">
        <v>451</v>
      </c>
      <c r="K9" s="280"/>
    </row>
    <row r="10" spans="2:11" ht="12.75">
      <c r="B10" s="196" t="s">
        <v>454</v>
      </c>
      <c r="C10" s="196" t="s">
        <v>454</v>
      </c>
      <c r="H10" s="267">
        <v>5</v>
      </c>
      <c r="I10" s="176" t="s">
        <v>443</v>
      </c>
      <c r="J10" s="268" t="s">
        <v>453</v>
      </c>
      <c r="K10" s="280"/>
    </row>
    <row r="11" spans="2:11" ht="12.75">
      <c r="B11" s="196" t="s">
        <v>455</v>
      </c>
      <c r="C11" s="196" t="s">
        <v>455</v>
      </c>
      <c r="H11" s="267">
        <v>6</v>
      </c>
      <c r="I11" s="176" t="s">
        <v>443</v>
      </c>
      <c r="J11" s="268" t="s">
        <v>454</v>
      </c>
      <c r="K11" s="280"/>
    </row>
    <row r="12" spans="2:11" ht="12.75">
      <c r="B12" s="196" t="s">
        <v>456</v>
      </c>
      <c r="C12" s="196" t="s">
        <v>456</v>
      </c>
      <c r="H12" s="267">
        <v>7</v>
      </c>
      <c r="I12" s="176" t="s">
        <v>443</v>
      </c>
      <c r="J12" s="268" t="s">
        <v>457</v>
      </c>
      <c r="K12" s="280"/>
    </row>
    <row r="13" spans="2:11" ht="12.75">
      <c r="B13" s="160" t="s">
        <v>458</v>
      </c>
      <c r="C13" s="160" t="s">
        <v>458</v>
      </c>
      <c r="H13" s="267">
        <v>8</v>
      </c>
      <c r="I13" s="176" t="s">
        <v>443</v>
      </c>
      <c r="J13" s="268" t="s">
        <v>456</v>
      </c>
      <c r="K13" s="280">
        <v>34786555</v>
      </c>
    </row>
    <row r="14" spans="2:11" ht="12.75">
      <c r="B14" s="160"/>
      <c r="C14" s="160"/>
      <c r="H14" s="176" t="s">
        <v>2</v>
      </c>
      <c r="I14" s="176"/>
      <c r="J14" s="176" t="s">
        <v>459</v>
      </c>
      <c r="K14" s="319">
        <f>SUM(K6:K13)</f>
        <v>34786555</v>
      </c>
    </row>
    <row r="15" spans="2:11" ht="12.75">
      <c r="B15" s="196" t="s">
        <v>460</v>
      </c>
      <c r="C15" s="196" t="s">
        <v>460</v>
      </c>
      <c r="H15" s="267">
        <v>9</v>
      </c>
      <c r="I15" s="176" t="s">
        <v>458</v>
      </c>
      <c r="J15" s="268" t="s">
        <v>461</v>
      </c>
      <c r="K15" s="280"/>
    </row>
    <row r="16" spans="2:11" ht="12.75">
      <c r="B16" s="196" t="s">
        <v>462</v>
      </c>
      <c r="C16" s="196" t="s">
        <v>462</v>
      </c>
      <c r="H16" s="267">
        <v>10</v>
      </c>
      <c r="I16" s="176" t="s">
        <v>458</v>
      </c>
      <c r="J16" s="268" t="s">
        <v>462</v>
      </c>
      <c r="K16" s="316"/>
    </row>
    <row r="17" spans="2:11" ht="12.75">
      <c r="B17" s="196" t="s">
        <v>463</v>
      </c>
      <c r="C17" s="196" t="s">
        <v>463</v>
      </c>
      <c r="H17" s="267">
        <v>11</v>
      </c>
      <c r="I17" s="176" t="s">
        <v>458</v>
      </c>
      <c r="J17" s="268" t="s">
        <v>463</v>
      </c>
      <c r="K17" s="280"/>
    </row>
    <row r="18" spans="2:11" ht="12.75">
      <c r="B18" s="196"/>
      <c r="C18" s="196"/>
      <c r="H18" s="176" t="s">
        <v>20</v>
      </c>
      <c r="I18" s="176"/>
      <c r="J18" s="176" t="s">
        <v>464</v>
      </c>
      <c r="K18" s="319">
        <v>0</v>
      </c>
    </row>
    <row r="19" spans="2:11" ht="12.75">
      <c r="B19" s="160" t="s">
        <v>465</v>
      </c>
      <c r="C19" s="160" t="s">
        <v>465</v>
      </c>
      <c r="H19" s="267">
        <v>12</v>
      </c>
      <c r="I19" s="176" t="s">
        <v>465</v>
      </c>
      <c r="J19" s="268" t="s">
        <v>466</v>
      </c>
      <c r="K19" s="280"/>
    </row>
    <row r="20" spans="2:11" ht="12.75">
      <c r="B20" s="196" t="s">
        <v>455</v>
      </c>
      <c r="C20" s="196" t="s">
        <v>455</v>
      </c>
      <c r="H20" s="267">
        <v>13</v>
      </c>
      <c r="I20" s="176" t="s">
        <v>465</v>
      </c>
      <c r="J20" s="176" t="s">
        <v>467</v>
      </c>
      <c r="K20" s="280"/>
    </row>
    <row r="21" spans="2:11" ht="12.75">
      <c r="B21" s="196" t="s">
        <v>468</v>
      </c>
      <c r="C21" s="196" t="s">
        <v>468</v>
      </c>
      <c r="H21" s="267">
        <v>14</v>
      </c>
      <c r="I21" s="176" t="s">
        <v>465</v>
      </c>
      <c r="J21" s="268" t="s">
        <v>469</v>
      </c>
      <c r="K21" s="280"/>
    </row>
    <row r="22" spans="2:11" ht="12.75">
      <c r="B22" s="196" t="s">
        <v>469</v>
      </c>
      <c r="C22" s="196" t="s">
        <v>469</v>
      </c>
      <c r="H22" s="267">
        <v>15</v>
      </c>
      <c r="I22" s="176" t="s">
        <v>465</v>
      </c>
      <c r="J22" s="268" t="s">
        <v>470</v>
      </c>
      <c r="K22" s="280"/>
    </row>
    <row r="23" spans="2:11" ht="12.75">
      <c r="B23" s="196" t="s">
        <v>470</v>
      </c>
      <c r="C23" s="196" t="s">
        <v>470</v>
      </c>
      <c r="H23" s="267">
        <v>16</v>
      </c>
      <c r="I23" s="176" t="s">
        <v>465</v>
      </c>
      <c r="J23" s="268" t="s">
        <v>471</v>
      </c>
      <c r="K23" s="280"/>
    </row>
    <row r="24" spans="2:11" ht="12.75">
      <c r="B24" s="196" t="s">
        <v>472</v>
      </c>
      <c r="C24" s="196" t="s">
        <v>472</v>
      </c>
      <c r="H24" s="267">
        <v>17</v>
      </c>
      <c r="I24" s="176" t="s">
        <v>465</v>
      </c>
      <c r="J24" s="268" t="s">
        <v>473</v>
      </c>
      <c r="K24" s="280"/>
    </row>
    <row r="25" spans="2:11" ht="12.75">
      <c r="B25" s="196" t="s">
        <v>473</v>
      </c>
      <c r="C25" s="196" t="s">
        <v>473</v>
      </c>
      <c r="H25" s="267">
        <v>18</v>
      </c>
      <c r="I25" s="176" t="s">
        <v>465</v>
      </c>
      <c r="J25" s="268" t="s">
        <v>474</v>
      </c>
      <c r="K25" s="280"/>
    </row>
    <row r="26" spans="2:11" ht="12.75">
      <c r="B26" s="196" t="s">
        <v>475</v>
      </c>
      <c r="C26" s="196" t="s">
        <v>475</v>
      </c>
      <c r="H26" s="267">
        <v>19</v>
      </c>
      <c r="I26" s="176" t="s">
        <v>465</v>
      </c>
      <c r="J26" s="268" t="s">
        <v>476</v>
      </c>
      <c r="K26" s="280"/>
    </row>
    <row r="27" spans="2:11" ht="12.75">
      <c r="B27" s="196"/>
      <c r="C27" s="196"/>
      <c r="H27" s="176" t="s">
        <v>82</v>
      </c>
      <c r="I27" s="176"/>
      <c r="J27" s="176" t="s">
        <v>477</v>
      </c>
      <c r="K27" s="280">
        <v>0</v>
      </c>
    </row>
    <row r="28" spans="2:11" ht="12.75">
      <c r="B28" s="196" t="s">
        <v>476</v>
      </c>
      <c r="C28" s="196" t="s">
        <v>476</v>
      </c>
      <c r="H28" s="267">
        <v>20</v>
      </c>
      <c r="I28" s="176" t="s">
        <v>478</v>
      </c>
      <c r="J28" s="268" t="s">
        <v>479</v>
      </c>
      <c r="K28" s="280"/>
    </row>
    <row r="29" spans="2:11" ht="12.75">
      <c r="B29" s="160" t="s">
        <v>478</v>
      </c>
      <c r="C29" s="160" t="s">
        <v>478</v>
      </c>
      <c r="H29" s="267">
        <v>21</v>
      </c>
      <c r="I29" s="176" t="s">
        <v>478</v>
      </c>
      <c r="J29" s="268" t="s">
        <v>480</v>
      </c>
      <c r="K29" s="316"/>
    </row>
    <row r="30" spans="2:11" ht="12.75">
      <c r="B30" s="196" t="s">
        <v>481</v>
      </c>
      <c r="C30" s="196" t="s">
        <v>481</v>
      </c>
      <c r="H30" s="267">
        <v>22</v>
      </c>
      <c r="I30" s="176" t="s">
        <v>478</v>
      </c>
      <c r="J30" s="268" t="s">
        <v>482</v>
      </c>
      <c r="K30" s="316"/>
    </row>
    <row r="31" spans="2:11" ht="12.75">
      <c r="B31" s="196" t="s">
        <v>480</v>
      </c>
      <c r="C31" s="196" t="s">
        <v>480</v>
      </c>
      <c r="H31" s="267">
        <v>23</v>
      </c>
      <c r="I31" s="176" t="s">
        <v>478</v>
      </c>
      <c r="J31" s="268" t="s">
        <v>483</v>
      </c>
      <c r="K31" s="280"/>
    </row>
    <row r="32" spans="2:11" ht="12.75">
      <c r="B32" s="196"/>
      <c r="C32" s="196"/>
      <c r="H32" s="176" t="s">
        <v>283</v>
      </c>
      <c r="I32" s="176"/>
      <c r="J32" s="176" t="s">
        <v>484</v>
      </c>
      <c r="K32" s="280">
        <v>0</v>
      </c>
    </row>
    <row r="33" spans="2:11" ht="12.75">
      <c r="B33" s="196" t="s">
        <v>482</v>
      </c>
      <c r="C33" s="196" t="s">
        <v>482</v>
      </c>
      <c r="H33" s="267">
        <v>24</v>
      </c>
      <c r="I33" s="176" t="s">
        <v>485</v>
      </c>
      <c r="J33" s="268" t="s">
        <v>486</v>
      </c>
      <c r="K33" s="280"/>
    </row>
    <row r="34" spans="2:11" ht="12.75">
      <c r="B34" s="196" t="s">
        <v>483</v>
      </c>
      <c r="C34" s="196" t="s">
        <v>483</v>
      </c>
      <c r="H34" s="267">
        <v>25</v>
      </c>
      <c r="I34" s="176" t="s">
        <v>485</v>
      </c>
      <c r="J34" s="268" t="s">
        <v>487</v>
      </c>
      <c r="K34" s="280"/>
    </row>
    <row r="35" spans="8:11" ht="12.75">
      <c r="H35" s="267">
        <v>26</v>
      </c>
      <c r="I35" s="176" t="s">
        <v>485</v>
      </c>
      <c r="J35" s="268" t="s">
        <v>488</v>
      </c>
      <c r="K35" s="280"/>
    </row>
    <row r="36" spans="2:11" ht="12.75">
      <c r="B36" s="160" t="s">
        <v>485</v>
      </c>
      <c r="C36" s="160" t="s">
        <v>485</v>
      </c>
      <c r="H36" s="267">
        <v>27</v>
      </c>
      <c r="I36" s="176" t="s">
        <v>485</v>
      </c>
      <c r="J36" s="268" t="s">
        <v>489</v>
      </c>
      <c r="K36" s="280"/>
    </row>
    <row r="37" spans="2:11" ht="12.75">
      <c r="B37" s="196" t="s">
        <v>486</v>
      </c>
      <c r="C37" s="196" t="s">
        <v>486</v>
      </c>
      <c r="H37" s="267">
        <v>28</v>
      </c>
      <c r="I37" s="176" t="s">
        <v>485</v>
      </c>
      <c r="J37" s="268" t="s">
        <v>490</v>
      </c>
      <c r="K37" s="316"/>
    </row>
    <row r="38" spans="2:11" ht="12.75">
      <c r="B38" s="196" t="s">
        <v>487</v>
      </c>
      <c r="C38" s="196" t="s">
        <v>487</v>
      </c>
      <c r="H38" s="267">
        <v>29</v>
      </c>
      <c r="I38" s="176" t="s">
        <v>485</v>
      </c>
      <c r="J38" s="269" t="s">
        <v>491</v>
      </c>
      <c r="K38" s="280"/>
    </row>
    <row r="39" spans="2:11" ht="12.75">
      <c r="B39" s="196" t="s">
        <v>488</v>
      </c>
      <c r="C39" s="196" t="s">
        <v>488</v>
      </c>
      <c r="H39" s="267">
        <v>30</v>
      </c>
      <c r="I39" s="176" t="s">
        <v>485</v>
      </c>
      <c r="J39" s="268" t="s">
        <v>492</v>
      </c>
      <c r="K39" s="280"/>
    </row>
    <row r="40" spans="2:11" ht="12.75">
      <c r="B40" s="196" t="s">
        <v>489</v>
      </c>
      <c r="C40" s="196" t="s">
        <v>489</v>
      </c>
      <c r="H40" s="267">
        <v>31</v>
      </c>
      <c r="I40" s="176" t="s">
        <v>485</v>
      </c>
      <c r="J40" s="268" t="s">
        <v>493</v>
      </c>
      <c r="K40" s="280"/>
    </row>
    <row r="41" spans="2:11" ht="12.75">
      <c r="B41" s="196"/>
      <c r="C41" s="196"/>
      <c r="H41" s="267">
        <v>32</v>
      </c>
      <c r="I41" s="176" t="s">
        <v>485</v>
      </c>
      <c r="J41" s="268" t="s">
        <v>494</v>
      </c>
      <c r="K41" s="280"/>
    </row>
    <row r="42" spans="2:11" ht="12.75">
      <c r="B42" s="196" t="s">
        <v>490</v>
      </c>
      <c r="C42" s="196" t="s">
        <v>490</v>
      </c>
      <c r="H42" s="267">
        <v>33</v>
      </c>
      <c r="I42" s="176" t="s">
        <v>485</v>
      </c>
      <c r="J42" s="268" t="s">
        <v>495</v>
      </c>
      <c r="K42" s="280"/>
    </row>
    <row r="43" spans="2:11" ht="12.75">
      <c r="B43" s="196" t="s">
        <v>491</v>
      </c>
      <c r="C43" s="196" t="s">
        <v>491</v>
      </c>
      <c r="H43" s="270">
        <v>34</v>
      </c>
      <c r="I43" s="176" t="s">
        <v>485</v>
      </c>
      <c r="J43" s="268" t="s">
        <v>496</v>
      </c>
      <c r="K43" s="280"/>
    </row>
    <row r="44" spans="2:11" ht="12.75">
      <c r="B44" s="196" t="s">
        <v>492</v>
      </c>
      <c r="C44" s="196" t="s">
        <v>492</v>
      </c>
      <c r="H44" s="176" t="s">
        <v>284</v>
      </c>
      <c r="I44" s="267"/>
      <c r="J44" s="176" t="s">
        <v>497</v>
      </c>
      <c r="K44" s="319">
        <f>SUM(K33:K43)</f>
        <v>0</v>
      </c>
    </row>
    <row r="45" spans="2:11" ht="12.75">
      <c r="B45" s="196" t="s">
        <v>493</v>
      </c>
      <c r="C45" s="196" t="s">
        <v>493</v>
      </c>
      <c r="H45" s="267"/>
      <c r="I45" s="267"/>
      <c r="J45" s="176" t="s">
        <v>498</v>
      </c>
      <c r="K45" s="319">
        <f>K44+K32+K27+K18+K14</f>
        <v>34786555</v>
      </c>
    </row>
    <row r="46" spans="2:3" ht="12.75">
      <c r="B46" s="196" t="s">
        <v>496</v>
      </c>
      <c r="C46" s="196" t="s">
        <v>496</v>
      </c>
    </row>
    <row r="48" spans="9:11" ht="12.75">
      <c r="I48" s="271" t="s">
        <v>499</v>
      </c>
      <c r="J48" s="272"/>
      <c r="K48" s="319" t="s">
        <v>500</v>
      </c>
    </row>
    <row r="49" spans="9:11" ht="12.75">
      <c r="I49" s="273"/>
      <c r="J49" s="274"/>
      <c r="K49" s="320">
        <v>0</v>
      </c>
    </row>
    <row r="50" spans="9:11" ht="12.75">
      <c r="I50" s="275" t="s">
        <v>501</v>
      </c>
      <c r="J50" s="275"/>
      <c r="K50" s="320">
        <v>0</v>
      </c>
    </row>
    <row r="51" spans="9:11" ht="12.75">
      <c r="I51" s="267" t="s">
        <v>502</v>
      </c>
      <c r="J51" s="267"/>
      <c r="K51" s="280">
        <v>3</v>
      </c>
    </row>
    <row r="52" spans="9:11" ht="12.75">
      <c r="I52" s="267" t="s">
        <v>503</v>
      </c>
      <c r="J52" s="267"/>
      <c r="K52" s="280">
        <v>1</v>
      </c>
    </row>
    <row r="53" spans="9:11" ht="12.75">
      <c r="I53" s="267" t="s">
        <v>504</v>
      </c>
      <c r="J53" s="267"/>
      <c r="K53" s="280">
        <v>0</v>
      </c>
    </row>
    <row r="54" spans="9:11" ht="12.75">
      <c r="I54" s="276" t="s">
        <v>505</v>
      </c>
      <c r="J54" s="272"/>
      <c r="K54" s="280">
        <v>0</v>
      </c>
    </row>
    <row r="55" spans="9:11" ht="12.75">
      <c r="I55" s="277"/>
      <c r="J55" s="278" t="s">
        <v>26</v>
      </c>
      <c r="K55" s="321">
        <f>SUM(K49:K54)</f>
        <v>4</v>
      </c>
    </row>
    <row r="57" spans="11:13" ht="15.75">
      <c r="K57" s="322" t="s">
        <v>347</v>
      </c>
      <c r="L57" s="237"/>
      <c r="M57" s="237"/>
    </row>
    <row r="58" spans="11:13" ht="12.75">
      <c r="K58" s="323" t="s">
        <v>532</v>
      </c>
      <c r="L58" s="238"/>
      <c r="M58" s="238"/>
    </row>
    <row r="59" ht="12.75">
      <c r="I59" s="160" t="s">
        <v>506</v>
      </c>
    </row>
    <row r="61" ht="12.75">
      <c r="I61" s="160"/>
    </row>
    <row r="62" spans="8:15" ht="12.75">
      <c r="H62" s="160"/>
      <c r="I62" s="160"/>
      <c r="J62" s="160"/>
      <c r="K62" s="318"/>
      <c r="L62" s="160"/>
      <c r="M62" s="160"/>
      <c r="N62" s="160"/>
      <c r="O62" s="160"/>
    </row>
    <row r="63" spans="8:15" ht="12.75">
      <c r="H63" s="160"/>
      <c r="I63" s="160"/>
      <c r="J63" s="160"/>
      <c r="K63" s="318"/>
      <c r="L63" s="160"/>
      <c r="M63" s="160"/>
      <c r="N63" s="160"/>
      <c r="O63" s="160"/>
    </row>
    <row r="64" spans="9:15" ht="12.75">
      <c r="I64" s="160"/>
      <c r="J64" s="160"/>
      <c r="K64" s="318"/>
      <c r="L64" s="160"/>
      <c r="M64" s="160"/>
      <c r="N64" s="160"/>
      <c r="O64" s="160"/>
    </row>
    <row r="65" spans="9:15" ht="12.75">
      <c r="I65" s="160"/>
      <c r="J65" s="160"/>
      <c r="K65" s="318"/>
      <c r="L65" s="160"/>
      <c r="M65" s="160"/>
      <c r="N65" s="160"/>
      <c r="O65" s="160"/>
    </row>
    <row r="66" spans="8:9" ht="12.75">
      <c r="H66" s="160"/>
      <c r="I66" s="160"/>
    </row>
  </sheetData>
  <sheetProtection/>
  <printOptions/>
  <pageMargins left="0.69" right="0.47" top="0.25" bottom="0.24" header="0.17" footer="0.16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94"/>
  <sheetViews>
    <sheetView showGridLines="0" zoomScale="115" zoomScaleNormal="115" zoomScalePageLayoutView="0" workbookViewId="0" topLeftCell="A169">
      <selection activeCell="F33" sqref="F33:F34"/>
    </sheetView>
  </sheetViews>
  <sheetFormatPr defaultColWidth="9.140625" defaultRowHeight="12.75" outlineLevelRow="2"/>
  <cols>
    <col min="1" max="1" width="6.140625" style="1" customWidth="1"/>
    <col min="2" max="2" width="5.140625" style="1" customWidth="1"/>
    <col min="3" max="3" width="46.421875" style="1" customWidth="1"/>
    <col min="4" max="4" width="3.00390625" style="1" customWidth="1"/>
    <col min="5" max="5" width="8.421875" style="1" bestFit="1" customWidth="1"/>
    <col min="6" max="6" width="13.7109375" style="1" customWidth="1"/>
    <col min="7" max="7" width="14.00390625" style="1" bestFit="1" customWidth="1"/>
    <col min="8" max="8" width="9.421875" style="1" hidden="1" customWidth="1"/>
    <col min="9" max="9" width="16.00390625" style="1" bestFit="1" customWidth="1"/>
    <col min="10" max="10" width="9.140625" style="1" customWidth="1"/>
    <col min="11" max="11" width="15.8515625" style="1" bestFit="1" customWidth="1"/>
    <col min="12" max="16384" width="9.140625" style="1" customWidth="1"/>
  </cols>
  <sheetData>
    <row r="2" spans="2:6" ht="18.75">
      <c r="B2" s="342" t="s">
        <v>525</v>
      </c>
      <c r="C2" s="342"/>
      <c r="D2" s="148"/>
      <c r="E2" s="148"/>
      <c r="F2" s="148"/>
    </row>
    <row r="3" spans="2:8" ht="12.75">
      <c r="B3" s="364" t="s">
        <v>279</v>
      </c>
      <c r="C3" s="364"/>
      <c r="D3" s="364"/>
      <c r="E3" s="364"/>
      <c r="F3" s="364"/>
      <c r="G3" s="364"/>
      <c r="H3" s="364"/>
    </row>
    <row r="4" spans="2:8" ht="12.75">
      <c r="B4" s="364" t="s">
        <v>585</v>
      </c>
      <c r="C4" s="364"/>
      <c r="D4" s="364"/>
      <c r="E4" s="364"/>
      <c r="F4" s="364"/>
      <c r="G4" s="364"/>
      <c r="H4" s="364"/>
    </row>
    <row r="5" spans="2:8" ht="12.75">
      <c r="B5" s="361" t="s">
        <v>280</v>
      </c>
      <c r="C5" s="361"/>
      <c r="D5" s="85"/>
      <c r="E5" s="85"/>
      <c r="F5" s="50"/>
      <c r="G5" s="50"/>
      <c r="H5" s="50"/>
    </row>
    <row r="6" ht="5.25" customHeight="1"/>
    <row r="7" spans="2:8" s="4" customFormat="1" ht="38.25">
      <c r="B7" s="357" t="s">
        <v>41</v>
      </c>
      <c r="C7" s="358"/>
      <c r="D7" s="86"/>
      <c r="E7" s="86" t="s">
        <v>287</v>
      </c>
      <c r="F7" s="2" t="s">
        <v>583</v>
      </c>
      <c r="G7" s="2" t="s">
        <v>584</v>
      </c>
      <c r="H7" s="66" t="s">
        <v>42</v>
      </c>
    </row>
    <row r="8" spans="2:8" ht="13.5">
      <c r="B8" s="5" t="s">
        <v>0</v>
      </c>
      <c r="C8" s="6" t="s">
        <v>1</v>
      </c>
      <c r="D8" s="6"/>
      <c r="E8" s="6"/>
      <c r="F8" s="7"/>
      <c r="G8" s="7"/>
      <c r="H8" s="8"/>
    </row>
    <row r="9" spans="2:8" ht="12.75">
      <c r="B9" s="9" t="s">
        <v>2</v>
      </c>
      <c r="C9" s="10" t="s">
        <v>3</v>
      </c>
      <c r="D9" s="10"/>
      <c r="E9" s="10"/>
      <c r="F9" s="7"/>
      <c r="G9" s="7"/>
      <c r="H9" s="8"/>
    </row>
    <row r="10" spans="2:8" ht="12.75">
      <c r="B10" s="5">
        <v>1</v>
      </c>
      <c r="C10" s="79" t="s">
        <v>243</v>
      </c>
      <c r="D10" s="79"/>
      <c r="E10" s="79"/>
      <c r="F10" s="51">
        <f>F11+F14+F17+F20</f>
        <v>176768</v>
      </c>
      <c r="G10" s="51">
        <f>G11+G14+G17+G20</f>
        <v>359997</v>
      </c>
      <c r="H10" s="55">
        <f>SUM(H11,H14,H17,H20)</f>
        <v>-183229</v>
      </c>
    </row>
    <row r="11" spans="2:8" ht="12.75" outlineLevel="1">
      <c r="B11" s="5"/>
      <c r="C11" s="80" t="s">
        <v>209</v>
      </c>
      <c r="D11" s="80"/>
      <c r="E11" s="80"/>
      <c r="F11" s="57">
        <f>SUM(F12:F13)</f>
        <v>81820</v>
      </c>
      <c r="G11" s="57">
        <f>SUM(G12:G13)</f>
        <v>48188</v>
      </c>
      <c r="H11" s="58">
        <f>SUM(H12:H13)</f>
        <v>33632</v>
      </c>
    </row>
    <row r="12" spans="2:8" ht="12.75" outlineLevel="2">
      <c r="B12" s="5"/>
      <c r="C12" s="36" t="s">
        <v>190</v>
      </c>
      <c r="D12" s="36"/>
      <c r="E12" s="36"/>
      <c r="F12" s="57"/>
      <c r="G12" s="57"/>
      <c r="H12" s="58">
        <f aca="true" t="shared" si="0" ref="H12:H32">F12-G12</f>
        <v>0</v>
      </c>
    </row>
    <row r="13" spans="2:8" ht="12.75" outlineLevel="2">
      <c r="B13" s="5"/>
      <c r="C13" s="36" t="s">
        <v>191</v>
      </c>
      <c r="D13" s="36"/>
      <c r="E13" s="36"/>
      <c r="F13" s="57">
        <f>9303+692+70772+2399+280-1626</f>
        <v>81820</v>
      </c>
      <c r="G13" s="57">
        <f>15205+6789+23478+2716</f>
        <v>48188</v>
      </c>
      <c r="H13" s="58">
        <f t="shared" si="0"/>
        <v>33632</v>
      </c>
    </row>
    <row r="14" spans="2:8" ht="12.75" outlineLevel="1">
      <c r="B14" s="5"/>
      <c r="C14" s="80" t="s">
        <v>192</v>
      </c>
      <c r="D14" s="80"/>
      <c r="E14" s="80"/>
      <c r="F14" s="57">
        <f>SUM(F15:F16)</f>
        <v>94948</v>
      </c>
      <c r="G14" s="57">
        <f>SUM(G15:G16)</f>
        <v>311809</v>
      </c>
      <c r="H14" s="58">
        <f>SUM(H15:H16)</f>
        <v>-216861</v>
      </c>
    </row>
    <row r="15" spans="2:8" ht="12.75" outlineLevel="2">
      <c r="B15" s="5"/>
      <c r="C15" s="36" t="s">
        <v>193</v>
      </c>
      <c r="D15" s="36"/>
      <c r="E15" s="36"/>
      <c r="F15" s="57"/>
      <c r="G15" s="57">
        <v>311809</v>
      </c>
      <c r="H15" s="58">
        <f t="shared" si="0"/>
        <v>-311809</v>
      </c>
    </row>
    <row r="16" spans="2:8" ht="12.75" outlineLevel="2">
      <c r="B16" s="5"/>
      <c r="C16" s="36" t="s">
        <v>194</v>
      </c>
      <c r="D16" s="36"/>
      <c r="E16" s="36"/>
      <c r="F16" s="57">
        <v>94948</v>
      </c>
      <c r="G16" s="57"/>
      <c r="H16" s="58">
        <f t="shared" si="0"/>
        <v>94948</v>
      </c>
    </row>
    <row r="17" spans="2:8" ht="12.75" outlineLevel="1">
      <c r="B17" s="5"/>
      <c r="C17" s="80" t="s">
        <v>195</v>
      </c>
      <c r="D17" s="80"/>
      <c r="E17" s="80"/>
      <c r="F17" s="57">
        <v>0</v>
      </c>
      <c r="G17" s="57">
        <v>0</v>
      </c>
      <c r="H17" s="58">
        <f>SUM(H18:H19)</f>
        <v>0</v>
      </c>
    </row>
    <row r="18" spans="2:8" ht="12.75" outlineLevel="2">
      <c r="B18" s="5"/>
      <c r="C18" s="36" t="s">
        <v>196</v>
      </c>
      <c r="D18" s="36"/>
      <c r="E18" s="36"/>
      <c r="F18" s="57"/>
      <c r="G18" s="57"/>
      <c r="H18" s="58">
        <f t="shared" si="0"/>
        <v>0</v>
      </c>
    </row>
    <row r="19" spans="2:8" ht="25.5" outlineLevel="2">
      <c r="B19" s="5"/>
      <c r="C19" s="36" t="s">
        <v>197</v>
      </c>
      <c r="D19" s="36"/>
      <c r="E19" s="36"/>
      <c r="F19" s="57"/>
      <c r="G19" s="57"/>
      <c r="H19" s="58">
        <f t="shared" si="0"/>
        <v>0</v>
      </c>
    </row>
    <row r="20" spans="2:8" ht="12.75" outlineLevel="1">
      <c r="B20" s="5"/>
      <c r="C20" s="80" t="s">
        <v>198</v>
      </c>
      <c r="D20" s="80"/>
      <c r="E20" s="80"/>
      <c r="F20" s="57">
        <v>0</v>
      </c>
      <c r="G20" s="57">
        <v>0</v>
      </c>
      <c r="H20" s="58">
        <f>SUM(H21:H22)</f>
        <v>0</v>
      </c>
    </row>
    <row r="21" spans="2:8" ht="12.75" outlineLevel="2">
      <c r="B21" s="5"/>
      <c r="C21" s="11" t="s">
        <v>200</v>
      </c>
      <c r="D21" s="11"/>
      <c r="E21" s="11"/>
      <c r="F21" s="52"/>
      <c r="G21" s="52"/>
      <c r="H21" s="53">
        <f t="shared" si="0"/>
        <v>0</v>
      </c>
    </row>
    <row r="22" spans="2:8" ht="12.75" outlineLevel="2">
      <c r="B22" s="5"/>
      <c r="C22" s="11" t="s">
        <v>199</v>
      </c>
      <c r="D22" s="11"/>
      <c r="E22" s="11"/>
      <c r="F22" s="52"/>
      <c r="G22" s="52"/>
      <c r="H22" s="53">
        <f t="shared" si="0"/>
        <v>0</v>
      </c>
    </row>
    <row r="23" spans="2:8" ht="12.75">
      <c r="B23" s="5">
        <v>2</v>
      </c>
      <c r="C23" s="79" t="s">
        <v>4</v>
      </c>
      <c r="D23" s="79"/>
      <c r="E23" s="79"/>
      <c r="F23" s="51">
        <v>0</v>
      </c>
      <c r="G23" s="51">
        <v>0</v>
      </c>
      <c r="H23" s="55">
        <f>SUM(H24,H28)</f>
        <v>0</v>
      </c>
    </row>
    <row r="24" spans="2:8" ht="12.75" outlineLevel="1">
      <c r="B24" s="5"/>
      <c r="C24" s="80" t="s">
        <v>201</v>
      </c>
      <c r="D24" s="80"/>
      <c r="E24" s="80"/>
      <c r="F24" s="57">
        <v>0</v>
      </c>
      <c r="G24" s="57">
        <v>0</v>
      </c>
      <c r="H24" s="58">
        <f>SUM(H25:H27)</f>
        <v>0</v>
      </c>
    </row>
    <row r="25" spans="2:8" ht="12.75" outlineLevel="2">
      <c r="B25" s="5"/>
      <c r="C25" s="36" t="s">
        <v>202</v>
      </c>
      <c r="D25" s="36"/>
      <c r="E25" s="36"/>
      <c r="F25" s="81"/>
      <c r="G25" s="81"/>
      <c r="H25" s="58">
        <f t="shared" si="0"/>
        <v>0</v>
      </c>
    </row>
    <row r="26" spans="2:8" ht="12.75" outlineLevel="2">
      <c r="B26" s="5"/>
      <c r="C26" s="36" t="s">
        <v>203</v>
      </c>
      <c r="D26" s="36"/>
      <c r="E26" s="36"/>
      <c r="F26" s="81"/>
      <c r="G26" s="81"/>
      <c r="H26" s="58">
        <f t="shared" si="0"/>
        <v>0</v>
      </c>
    </row>
    <row r="27" spans="2:8" ht="12.75" outlineLevel="2">
      <c r="B27" s="5"/>
      <c r="C27" s="36" t="s">
        <v>204</v>
      </c>
      <c r="D27" s="36"/>
      <c r="E27" s="36"/>
      <c r="F27" s="81"/>
      <c r="G27" s="81"/>
      <c r="H27" s="58">
        <f t="shared" si="0"/>
        <v>0</v>
      </c>
    </row>
    <row r="28" spans="2:8" ht="12.75" outlineLevel="1">
      <c r="B28" s="12"/>
      <c r="C28" s="80" t="s">
        <v>172</v>
      </c>
      <c r="D28" s="80"/>
      <c r="E28" s="80"/>
      <c r="F28" s="57">
        <v>0</v>
      </c>
      <c r="G28" s="57">
        <v>0</v>
      </c>
      <c r="H28" s="58">
        <f>SUM(H29:H32)</f>
        <v>0</v>
      </c>
    </row>
    <row r="29" spans="2:8" ht="12.75" outlineLevel="2">
      <c r="B29" s="12"/>
      <c r="C29" s="11" t="s">
        <v>205</v>
      </c>
      <c r="D29" s="11"/>
      <c r="E29" s="11"/>
      <c r="F29" s="52"/>
      <c r="G29" s="52"/>
      <c r="H29" s="53">
        <f t="shared" si="0"/>
        <v>0</v>
      </c>
    </row>
    <row r="30" spans="2:8" ht="12.75" outlineLevel="2">
      <c r="B30" s="12"/>
      <c r="C30" s="11" t="s">
        <v>206</v>
      </c>
      <c r="D30" s="11"/>
      <c r="E30" s="11"/>
      <c r="F30" s="52"/>
      <c r="G30" s="52"/>
      <c r="H30" s="53">
        <f t="shared" si="0"/>
        <v>0</v>
      </c>
    </row>
    <row r="31" spans="2:8" ht="12.75" outlineLevel="2">
      <c r="B31" s="12"/>
      <c r="C31" s="11" t="s">
        <v>207</v>
      </c>
      <c r="D31" s="11"/>
      <c r="E31" s="11"/>
      <c r="F31" s="52"/>
      <c r="G31" s="52"/>
      <c r="H31" s="53">
        <f t="shared" si="0"/>
        <v>0</v>
      </c>
    </row>
    <row r="32" spans="2:8" ht="12.75" outlineLevel="2">
      <c r="B32" s="12"/>
      <c r="C32" s="11" t="s">
        <v>208</v>
      </c>
      <c r="D32" s="11"/>
      <c r="E32" s="11"/>
      <c r="F32" s="52"/>
      <c r="G32" s="52"/>
      <c r="H32" s="53">
        <f t="shared" si="0"/>
        <v>0</v>
      </c>
    </row>
    <row r="33" spans="2:8" ht="13.5">
      <c r="B33" s="345" t="s">
        <v>5</v>
      </c>
      <c r="C33" s="346"/>
      <c r="D33" s="83"/>
      <c r="E33" s="83"/>
      <c r="F33" s="54">
        <f>F10+F23</f>
        <v>176768</v>
      </c>
      <c r="G33" s="54">
        <f>G10+G23</f>
        <v>359997</v>
      </c>
      <c r="H33" s="59">
        <f>SUM(H10,H23)</f>
        <v>-183229</v>
      </c>
    </row>
    <row r="34" spans="2:11" ht="12.75">
      <c r="B34" s="5">
        <v>3</v>
      </c>
      <c r="C34" s="14" t="s">
        <v>6</v>
      </c>
      <c r="D34" s="14"/>
      <c r="E34" s="14"/>
      <c r="F34" s="51">
        <f>F35+F38+F46+F48</f>
        <v>13485283</v>
      </c>
      <c r="G34" s="51">
        <f>G35+G38+G46+G48</f>
        <v>9343514</v>
      </c>
      <c r="H34" s="55"/>
      <c r="K34" s="15"/>
    </row>
    <row r="35" spans="2:11" ht="12.75">
      <c r="B35" s="12"/>
      <c r="C35" s="13" t="s">
        <v>244</v>
      </c>
      <c r="D35" s="13"/>
      <c r="E35" s="13"/>
      <c r="F35" s="56">
        <f>SUM(F36:F37)</f>
        <v>7613556</v>
      </c>
      <c r="G35" s="56">
        <f>SUM(G36:G37)</f>
        <v>4658087</v>
      </c>
      <c r="H35" s="62">
        <f>SUM(H36:H37)</f>
        <v>2955469</v>
      </c>
      <c r="K35" s="15"/>
    </row>
    <row r="36" spans="2:11" ht="12.75" outlineLevel="1">
      <c r="B36" s="12"/>
      <c r="C36" s="11" t="s">
        <v>211</v>
      </c>
      <c r="D36" s="11"/>
      <c r="E36" s="11"/>
      <c r="F36" s="57">
        <v>7613556</v>
      </c>
      <c r="G36" s="57">
        <v>4658087</v>
      </c>
      <c r="H36" s="58">
        <f>+F36-G36</f>
        <v>2955469</v>
      </c>
      <c r="K36" s="15"/>
    </row>
    <row r="37" spans="2:11" ht="12.75" outlineLevel="1">
      <c r="B37" s="12"/>
      <c r="C37" s="11" t="s">
        <v>210</v>
      </c>
      <c r="D37" s="11"/>
      <c r="E37" s="11"/>
      <c r="F37" s="57"/>
      <c r="G37" s="57"/>
      <c r="H37" s="58">
        <f>+F37-G37</f>
        <v>0</v>
      </c>
      <c r="K37" s="15"/>
    </row>
    <row r="38" spans="2:8" ht="12.75">
      <c r="B38" s="12"/>
      <c r="C38" s="13" t="s">
        <v>242</v>
      </c>
      <c r="D38" s="13"/>
      <c r="E38" s="13"/>
      <c r="F38" s="56">
        <f>SUM(F39:F45)</f>
        <v>5871727</v>
      </c>
      <c r="G38" s="56">
        <f>SUM(G39:G45)</f>
        <v>4685427</v>
      </c>
      <c r="H38" s="62">
        <f>SUM(H39:H45)</f>
        <v>1186300</v>
      </c>
    </row>
    <row r="39" spans="2:8" ht="12.75" outlineLevel="1">
      <c r="B39" s="12"/>
      <c r="C39" s="11" t="s">
        <v>214</v>
      </c>
      <c r="D39" s="11"/>
      <c r="E39" s="11"/>
      <c r="F39" s="52"/>
      <c r="G39" s="52"/>
      <c r="H39" s="53">
        <f aca="true" t="shared" si="1" ref="H39:H45">F39-G39</f>
        <v>0</v>
      </c>
    </row>
    <row r="40" spans="2:8" ht="12.75" outlineLevel="1">
      <c r="B40" s="12"/>
      <c r="C40" s="11" t="s">
        <v>215</v>
      </c>
      <c r="D40" s="11"/>
      <c r="E40" s="11"/>
      <c r="F40" s="52"/>
      <c r="G40" s="52"/>
      <c r="H40" s="53">
        <f t="shared" si="1"/>
        <v>0</v>
      </c>
    </row>
    <row r="41" spans="2:8" ht="12.75" outlineLevel="1">
      <c r="B41" s="12"/>
      <c r="C41" s="11" t="s">
        <v>216</v>
      </c>
      <c r="D41" s="11"/>
      <c r="E41" s="11"/>
      <c r="F41" s="52">
        <v>5871727</v>
      </c>
      <c r="G41" s="52">
        <v>4685427</v>
      </c>
      <c r="H41" s="53">
        <f t="shared" si="1"/>
        <v>1186300</v>
      </c>
    </row>
    <row r="42" spans="2:8" ht="12.75" outlineLevel="1">
      <c r="B42" s="12"/>
      <c r="C42" s="11" t="s">
        <v>217</v>
      </c>
      <c r="D42" s="11"/>
      <c r="E42" s="11"/>
      <c r="F42" s="52"/>
      <c r="G42" s="52"/>
      <c r="H42" s="53">
        <f t="shared" si="1"/>
        <v>0</v>
      </c>
    </row>
    <row r="43" spans="2:8" ht="25.5" outlineLevel="1">
      <c r="B43" s="12"/>
      <c r="C43" s="11" t="s">
        <v>218</v>
      </c>
      <c r="D43" s="11"/>
      <c r="E43" s="11"/>
      <c r="F43" s="52"/>
      <c r="G43" s="52"/>
      <c r="H43" s="53">
        <f t="shared" si="1"/>
        <v>0</v>
      </c>
    </row>
    <row r="44" spans="2:8" ht="12.75" outlineLevel="1">
      <c r="B44" s="12"/>
      <c r="C44" s="11" t="s">
        <v>219</v>
      </c>
      <c r="D44" s="11"/>
      <c r="E44" s="11"/>
      <c r="F44" s="52"/>
      <c r="G44" s="52"/>
      <c r="H44" s="53">
        <f t="shared" si="1"/>
        <v>0</v>
      </c>
    </row>
    <row r="45" spans="2:8" ht="25.5" outlineLevel="1">
      <c r="B45" s="12"/>
      <c r="C45" s="11" t="s">
        <v>212</v>
      </c>
      <c r="D45" s="11"/>
      <c r="E45" s="11"/>
      <c r="F45" s="52"/>
      <c r="G45" s="52"/>
      <c r="H45" s="53">
        <f t="shared" si="1"/>
        <v>0</v>
      </c>
    </row>
    <row r="46" spans="2:8" ht="12.75">
      <c r="B46" s="12"/>
      <c r="C46" s="13" t="s">
        <v>7</v>
      </c>
      <c r="D46" s="13"/>
      <c r="E46" s="13"/>
      <c r="F46" s="52">
        <f>SUM(F47)</f>
        <v>0</v>
      </c>
      <c r="G46" s="52">
        <f>SUM(G47)</f>
        <v>0</v>
      </c>
      <c r="H46" s="53">
        <f>SUM(H47)</f>
        <v>0</v>
      </c>
    </row>
    <row r="47" spans="2:8" ht="12.75" outlineLevel="1">
      <c r="B47" s="12"/>
      <c r="C47" s="11" t="s">
        <v>213</v>
      </c>
      <c r="D47" s="11"/>
      <c r="E47" s="11"/>
      <c r="F47" s="52"/>
      <c r="G47" s="52"/>
      <c r="H47" s="53">
        <f>F47-G47</f>
        <v>0</v>
      </c>
    </row>
    <row r="48" spans="2:8" ht="12.75">
      <c r="B48" s="12"/>
      <c r="C48" s="13" t="s">
        <v>8</v>
      </c>
      <c r="D48" s="13"/>
      <c r="E48" s="13"/>
      <c r="F48" s="52">
        <f>SUM(F49)</f>
        <v>0</v>
      </c>
      <c r="G48" s="52">
        <f>SUM(G49)</f>
        <v>0</v>
      </c>
      <c r="H48" s="53">
        <f>SUM(H49)</f>
        <v>0</v>
      </c>
    </row>
    <row r="49" spans="2:8" ht="25.5" outlineLevel="1">
      <c r="B49" s="12"/>
      <c r="C49" s="11" t="s">
        <v>220</v>
      </c>
      <c r="D49" s="11"/>
      <c r="E49" s="11"/>
      <c r="F49" s="52"/>
      <c r="G49" s="52"/>
      <c r="H49" s="53">
        <f>F49-G49</f>
        <v>0</v>
      </c>
    </row>
    <row r="50" spans="2:8" ht="13.5">
      <c r="B50" s="345" t="s">
        <v>5</v>
      </c>
      <c r="C50" s="346"/>
      <c r="D50" s="83"/>
      <c r="E50" s="83"/>
      <c r="F50" s="54">
        <f>F34</f>
        <v>13485283</v>
      </c>
      <c r="G50" s="54">
        <f>G34</f>
        <v>9343514</v>
      </c>
      <c r="H50" s="59">
        <f>SUM(H35,H38,H46,H48)</f>
        <v>4141769</v>
      </c>
    </row>
    <row r="51" spans="2:8" ht="12.75">
      <c r="B51" s="5">
        <v>4</v>
      </c>
      <c r="C51" s="14" t="s">
        <v>9</v>
      </c>
      <c r="D51" s="14"/>
      <c r="E51" s="14"/>
      <c r="F51" s="51">
        <f>SUM(F52:F57)</f>
        <v>37172131</v>
      </c>
      <c r="G51" s="51">
        <f>SUM(G52:G57)</f>
        <v>27842017</v>
      </c>
      <c r="H51" s="55"/>
    </row>
    <row r="52" spans="2:8" ht="12.75">
      <c r="B52" s="12"/>
      <c r="C52" s="13" t="s">
        <v>10</v>
      </c>
      <c r="D52" s="13"/>
      <c r="E52" s="13"/>
      <c r="F52" s="52">
        <v>0</v>
      </c>
      <c r="G52" s="52">
        <v>0</v>
      </c>
      <c r="H52" s="53">
        <f aca="true" t="shared" si="2" ref="H52:H57">F52-G52</f>
        <v>0</v>
      </c>
    </row>
    <row r="53" spans="2:8" ht="12.75">
      <c r="B53" s="12"/>
      <c r="C53" s="13" t="s">
        <v>11</v>
      </c>
      <c r="D53" s="13"/>
      <c r="E53" s="13"/>
      <c r="F53" s="52">
        <v>0</v>
      </c>
      <c r="G53" s="52">
        <v>0</v>
      </c>
      <c r="H53" s="53">
        <f t="shared" si="2"/>
        <v>0</v>
      </c>
    </row>
    <row r="54" spans="2:8" ht="12.75">
      <c r="B54" s="12"/>
      <c r="C54" s="13" t="s">
        <v>12</v>
      </c>
      <c r="D54" s="13"/>
      <c r="E54" s="13"/>
      <c r="F54" s="52">
        <v>0</v>
      </c>
      <c r="G54" s="52">
        <v>0</v>
      </c>
      <c r="H54" s="53">
        <f t="shared" si="2"/>
        <v>0</v>
      </c>
    </row>
    <row r="55" spans="2:8" ht="12.75">
      <c r="B55" s="12"/>
      <c r="C55" s="13" t="s">
        <v>13</v>
      </c>
      <c r="D55" s="13"/>
      <c r="E55" s="13"/>
      <c r="F55" s="52">
        <v>37172131</v>
      </c>
      <c r="G55" s="52">
        <v>27842017</v>
      </c>
      <c r="H55" s="53">
        <f t="shared" si="2"/>
        <v>9330114</v>
      </c>
    </row>
    <row r="56" spans="2:8" ht="12.75">
      <c r="B56" s="12"/>
      <c r="C56" s="13" t="s">
        <v>14</v>
      </c>
      <c r="D56" s="13"/>
      <c r="E56" s="13"/>
      <c r="F56" s="52">
        <v>0</v>
      </c>
      <c r="G56" s="52">
        <v>0</v>
      </c>
      <c r="H56" s="53">
        <f t="shared" si="2"/>
        <v>0</v>
      </c>
    </row>
    <row r="57" spans="2:8" ht="12.75">
      <c r="B57" s="12"/>
      <c r="C57" s="13" t="s">
        <v>221</v>
      </c>
      <c r="D57" s="13"/>
      <c r="E57" s="13"/>
      <c r="F57" s="52">
        <v>0</v>
      </c>
      <c r="G57" s="52">
        <v>0</v>
      </c>
      <c r="H57" s="53">
        <f t="shared" si="2"/>
        <v>0</v>
      </c>
    </row>
    <row r="58" spans="2:8" ht="13.5">
      <c r="B58" s="345" t="s">
        <v>15</v>
      </c>
      <c r="C58" s="346"/>
      <c r="D58" s="83"/>
      <c r="E58" s="83"/>
      <c r="F58" s="54">
        <f>SUM(F52:F57)</f>
        <v>37172131</v>
      </c>
      <c r="G58" s="54">
        <f>SUM(G52:G57)</f>
        <v>27842017</v>
      </c>
      <c r="H58" s="59">
        <f>SUM(H52:H57)</f>
        <v>9330114</v>
      </c>
    </row>
    <row r="59" spans="2:8" ht="12.75">
      <c r="B59" s="5">
        <v>5</v>
      </c>
      <c r="C59" s="14" t="s">
        <v>16</v>
      </c>
      <c r="D59" s="14"/>
      <c r="E59" s="14"/>
      <c r="F59" s="51">
        <v>0</v>
      </c>
      <c r="G59" s="51">
        <v>0</v>
      </c>
      <c r="H59" s="55">
        <f>F59-G59</f>
        <v>0</v>
      </c>
    </row>
    <row r="60" spans="2:8" ht="12.75">
      <c r="B60" s="5">
        <v>6</v>
      </c>
      <c r="C60" s="14" t="s">
        <v>17</v>
      </c>
      <c r="D60" s="14"/>
      <c r="E60" s="14"/>
      <c r="F60" s="51">
        <v>0</v>
      </c>
      <c r="G60" s="51">
        <v>0</v>
      </c>
      <c r="H60" s="55">
        <f>SUM(H61:H62)</f>
        <v>0</v>
      </c>
    </row>
    <row r="61" spans="2:8" ht="12.75" outlineLevel="1">
      <c r="B61" s="5"/>
      <c r="C61" s="11" t="s">
        <v>223</v>
      </c>
      <c r="D61" s="11"/>
      <c r="E61" s="11"/>
      <c r="F61" s="51"/>
      <c r="G61" s="51"/>
      <c r="H61" s="53">
        <f>F61-G61</f>
        <v>0</v>
      </c>
    </row>
    <row r="62" spans="2:8" ht="12.75" outlineLevel="1">
      <c r="B62" s="5"/>
      <c r="C62" s="11" t="s">
        <v>222</v>
      </c>
      <c r="D62" s="11"/>
      <c r="E62" s="11"/>
      <c r="F62" s="51"/>
      <c r="G62" s="51"/>
      <c r="H62" s="53">
        <f>F62-G62</f>
        <v>0</v>
      </c>
    </row>
    <row r="63" spans="2:8" ht="12.75">
      <c r="B63" s="5">
        <v>7</v>
      </c>
      <c r="C63" s="14" t="s">
        <v>18</v>
      </c>
      <c r="D63" s="14"/>
      <c r="E63" s="14"/>
      <c r="F63" s="51">
        <v>0</v>
      </c>
      <c r="G63" s="51">
        <v>0</v>
      </c>
      <c r="H63" s="55">
        <f>SUM(H64:H67)</f>
        <v>0</v>
      </c>
    </row>
    <row r="64" spans="2:8" ht="12.75" outlineLevel="1">
      <c r="B64" s="5"/>
      <c r="C64" s="13" t="s">
        <v>173</v>
      </c>
      <c r="D64" s="13"/>
      <c r="E64" s="13"/>
      <c r="F64" s="52"/>
      <c r="G64" s="52"/>
      <c r="H64" s="53">
        <f>F64-G64</f>
        <v>0</v>
      </c>
    </row>
    <row r="65" spans="2:8" ht="12.75" outlineLevel="1">
      <c r="B65" s="5"/>
      <c r="C65" s="13" t="s">
        <v>174</v>
      </c>
      <c r="D65" s="13"/>
      <c r="E65" s="13"/>
      <c r="F65" s="52"/>
      <c r="G65" s="52"/>
      <c r="H65" s="53">
        <f>F65-G65</f>
        <v>0</v>
      </c>
    </row>
    <row r="66" spans="2:8" ht="12.75" outlineLevel="1">
      <c r="B66" s="5"/>
      <c r="C66" s="13" t="s">
        <v>175</v>
      </c>
      <c r="D66" s="13"/>
      <c r="E66" s="13"/>
      <c r="F66" s="52"/>
      <c r="G66" s="52"/>
      <c r="H66" s="53">
        <f>F66-G66</f>
        <v>0</v>
      </c>
    </row>
    <row r="67" spans="2:8" ht="12.75" outlineLevel="1">
      <c r="B67" s="5"/>
      <c r="C67" s="13" t="s">
        <v>176</v>
      </c>
      <c r="D67" s="13"/>
      <c r="E67" s="13"/>
      <c r="F67" s="52"/>
      <c r="G67" s="52"/>
      <c r="H67" s="53">
        <f>F67-G67</f>
        <v>0</v>
      </c>
    </row>
    <row r="68" spans="2:8" ht="13.5">
      <c r="B68" s="359" t="s">
        <v>19</v>
      </c>
      <c r="C68" s="360"/>
      <c r="D68" s="87"/>
      <c r="E68" s="87"/>
      <c r="F68" s="75">
        <f>F63+F60+F58+F50+F33</f>
        <v>50834182</v>
      </c>
      <c r="G68" s="75">
        <f>G63+G60+G58+G50+G33</f>
        <v>37545528</v>
      </c>
      <c r="H68" s="76">
        <f>SUM(H33,H50,H58,H59,H60,H63)</f>
        <v>13288654</v>
      </c>
    </row>
    <row r="69" spans="2:8" ht="12.75">
      <c r="B69" s="9" t="s">
        <v>20</v>
      </c>
      <c r="C69" s="10" t="s">
        <v>21</v>
      </c>
      <c r="D69" s="10"/>
      <c r="E69" s="10"/>
      <c r="F69" s="51"/>
      <c r="G69" s="51"/>
      <c r="H69" s="55"/>
    </row>
    <row r="70" spans="2:8" ht="12.75">
      <c r="B70" s="5">
        <v>1</v>
      </c>
      <c r="C70" s="14" t="s">
        <v>22</v>
      </c>
      <c r="D70" s="14"/>
      <c r="E70" s="14"/>
      <c r="F70" s="51"/>
      <c r="G70" s="51"/>
      <c r="H70" s="55"/>
    </row>
    <row r="71" spans="2:8" ht="51">
      <c r="B71" s="12"/>
      <c r="C71" s="16" t="s">
        <v>23</v>
      </c>
      <c r="D71" s="16"/>
      <c r="E71" s="16"/>
      <c r="F71" s="52">
        <v>0</v>
      </c>
      <c r="G71" s="52">
        <v>0</v>
      </c>
      <c r="H71" s="53">
        <f>F71-G71</f>
        <v>0</v>
      </c>
    </row>
    <row r="72" spans="2:8" ht="12.75">
      <c r="B72" s="12"/>
      <c r="C72" s="16" t="s">
        <v>224</v>
      </c>
      <c r="D72" s="16"/>
      <c r="E72" s="16"/>
      <c r="F72" s="52">
        <v>0</v>
      </c>
      <c r="G72" s="52">
        <v>0</v>
      </c>
      <c r="H72" s="53">
        <f>F72-G72</f>
        <v>0</v>
      </c>
    </row>
    <row r="73" spans="2:8" ht="12.75">
      <c r="B73" s="12"/>
      <c r="C73" s="16" t="s">
        <v>24</v>
      </c>
      <c r="D73" s="16"/>
      <c r="E73" s="16"/>
      <c r="F73" s="52">
        <v>0</v>
      </c>
      <c r="G73" s="52">
        <v>0</v>
      </c>
      <c r="H73" s="53">
        <f>F73-G73</f>
        <v>0</v>
      </c>
    </row>
    <row r="74" spans="2:8" ht="12.75">
      <c r="B74" s="12"/>
      <c r="C74" s="16" t="s">
        <v>25</v>
      </c>
      <c r="D74" s="16"/>
      <c r="E74" s="16"/>
      <c r="F74" s="52">
        <v>0</v>
      </c>
      <c r="G74" s="52">
        <v>0</v>
      </c>
      <c r="H74" s="53">
        <f>SUM(H75:H77)</f>
        <v>0</v>
      </c>
    </row>
    <row r="75" spans="2:8" ht="25.5" outlineLevel="1">
      <c r="B75" s="12"/>
      <c r="C75" s="11" t="s">
        <v>227</v>
      </c>
      <c r="D75" s="11"/>
      <c r="E75" s="11"/>
      <c r="F75" s="52"/>
      <c r="G75" s="52"/>
      <c r="H75" s="53">
        <f>F75-G75</f>
        <v>0</v>
      </c>
    </row>
    <row r="76" spans="2:8" ht="12.75" outlineLevel="1">
      <c r="B76" s="12"/>
      <c r="C76" s="11" t="s">
        <v>225</v>
      </c>
      <c r="D76" s="11"/>
      <c r="E76" s="11"/>
      <c r="F76" s="52"/>
      <c r="G76" s="52"/>
      <c r="H76" s="53">
        <f>F76-G76</f>
        <v>0</v>
      </c>
    </row>
    <row r="77" spans="2:8" ht="12.75" outlineLevel="1">
      <c r="B77" s="12"/>
      <c r="C77" s="11" t="s">
        <v>226</v>
      </c>
      <c r="D77" s="11"/>
      <c r="E77" s="11"/>
      <c r="F77" s="52"/>
      <c r="G77" s="52"/>
      <c r="H77" s="53">
        <f>F77-G77</f>
        <v>0</v>
      </c>
    </row>
    <row r="78" spans="2:8" ht="13.5">
      <c r="B78" s="345" t="s">
        <v>26</v>
      </c>
      <c r="C78" s="346"/>
      <c r="D78" s="83"/>
      <c r="E78" s="83"/>
      <c r="F78" s="54">
        <v>0</v>
      </c>
      <c r="G78" s="54">
        <v>0</v>
      </c>
      <c r="H78" s="59">
        <f>SUM(H71,H72,H73,H74)</f>
        <v>0</v>
      </c>
    </row>
    <row r="79" spans="2:8" ht="12.75">
      <c r="B79" s="5">
        <v>2</v>
      </c>
      <c r="C79" s="16" t="s">
        <v>27</v>
      </c>
      <c r="D79" s="16"/>
      <c r="E79" s="16"/>
      <c r="F79" s="51">
        <f>F83+F87+F91</f>
        <v>22246588</v>
      </c>
      <c r="G79" s="51">
        <f>G83+G87+G91</f>
        <v>4860363</v>
      </c>
      <c r="H79" s="55"/>
    </row>
    <row r="80" spans="2:8" ht="12.75">
      <c r="B80" s="12"/>
      <c r="C80" s="16" t="s">
        <v>28</v>
      </c>
      <c r="D80" s="16"/>
      <c r="E80" s="16"/>
      <c r="F80" s="56">
        <v>0</v>
      </c>
      <c r="G80" s="56">
        <v>0</v>
      </c>
      <c r="H80" s="62">
        <f>SUM(H81:H82)</f>
        <v>0</v>
      </c>
    </row>
    <row r="81" spans="2:8" ht="12.75" outlineLevel="1">
      <c r="B81" s="12"/>
      <c r="C81" s="11" t="s">
        <v>229</v>
      </c>
      <c r="D81" s="11"/>
      <c r="E81" s="11"/>
      <c r="F81" s="56"/>
      <c r="G81" s="56"/>
      <c r="H81" s="53">
        <f>F81-G81</f>
        <v>0</v>
      </c>
    </row>
    <row r="82" spans="2:8" ht="12.75" outlineLevel="1">
      <c r="B82" s="12"/>
      <c r="C82" s="11" t="s">
        <v>228</v>
      </c>
      <c r="D82" s="11"/>
      <c r="E82" s="11"/>
      <c r="F82" s="56"/>
      <c r="G82" s="56"/>
      <c r="H82" s="53">
        <f>F82-G82</f>
        <v>0</v>
      </c>
    </row>
    <row r="83" spans="2:8" ht="12.75">
      <c r="B83" s="12"/>
      <c r="C83" s="16" t="s">
        <v>29</v>
      </c>
      <c r="D83" s="16"/>
      <c r="E83" s="16"/>
      <c r="F83" s="56">
        <f>SUM(F84:F85)</f>
        <v>17935566</v>
      </c>
      <c r="G83" s="56">
        <f>SUM(G84:G85)</f>
        <v>475595</v>
      </c>
      <c r="H83" s="62">
        <f>SUM(H84:H86)</f>
        <v>17459971</v>
      </c>
    </row>
    <row r="84" spans="2:8" ht="12.75" outlineLevel="1">
      <c r="B84" s="12"/>
      <c r="C84" s="11" t="s">
        <v>229</v>
      </c>
      <c r="D84" s="11"/>
      <c r="E84" s="11"/>
      <c r="F84" s="52">
        <f>511852+17483750</f>
        <v>17995602</v>
      </c>
      <c r="G84" s="52">
        <v>511852</v>
      </c>
      <c r="H84" s="53">
        <f>+F84-G84</f>
        <v>17483750</v>
      </c>
    </row>
    <row r="85" spans="2:8" ht="12.75" outlineLevel="1">
      <c r="B85" s="12"/>
      <c r="C85" s="11" t="s">
        <v>241</v>
      </c>
      <c r="D85" s="11"/>
      <c r="E85" s="11"/>
      <c r="F85" s="52">
        <f>-60036</f>
        <v>-60036</v>
      </c>
      <c r="G85" s="52">
        <v>-36257</v>
      </c>
      <c r="H85" s="53">
        <f>+F85-G85</f>
        <v>-23779</v>
      </c>
    </row>
    <row r="86" spans="2:8" ht="12.75" outlineLevel="1">
      <c r="B86" s="12"/>
      <c r="C86" s="11" t="s">
        <v>230</v>
      </c>
      <c r="D86" s="11"/>
      <c r="E86" s="11"/>
      <c r="F86" s="52"/>
      <c r="G86" s="52"/>
      <c r="H86" s="53">
        <f>+F86-G86</f>
        <v>0</v>
      </c>
    </row>
    <row r="87" spans="2:8" ht="12.75">
      <c r="B87" s="12"/>
      <c r="C87" s="16" t="s">
        <v>30</v>
      </c>
      <c r="D87" s="16"/>
      <c r="E87" s="16"/>
      <c r="F87" s="56">
        <f>SUM(F88:F90)</f>
        <v>4217520</v>
      </c>
      <c r="G87" s="56">
        <f>SUM(G88:G90)</f>
        <v>4313461</v>
      </c>
      <c r="H87" s="62">
        <f>SUM(H88:H90)</f>
        <v>-95941</v>
      </c>
    </row>
    <row r="88" spans="2:8" ht="12.75" outlineLevel="1">
      <c r="B88" s="12"/>
      <c r="C88" s="11" t="s">
        <v>229</v>
      </c>
      <c r="D88" s="11"/>
      <c r="E88" s="11"/>
      <c r="F88" s="52">
        <f>4295121+36580</f>
        <v>4331701</v>
      </c>
      <c r="G88" s="52">
        <f>31500+4295121</f>
        <v>4326621</v>
      </c>
      <c r="H88" s="53">
        <f>+F88-G88</f>
        <v>5080</v>
      </c>
    </row>
    <row r="89" spans="2:8" ht="12.75" outlineLevel="1">
      <c r="B89" s="12"/>
      <c r="C89" s="11" t="s">
        <v>241</v>
      </c>
      <c r="D89" s="11"/>
      <c r="E89" s="11"/>
      <c r="F89" s="52">
        <f>-10753-103428</f>
        <v>-114181</v>
      </c>
      <c r="G89" s="52">
        <f>-8400-4760</f>
        <v>-13160</v>
      </c>
      <c r="H89" s="53">
        <f>+F89-G89</f>
        <v>-101021</v>
      </c>
    </row>
    <row r="90" spans="2:8" ht="12.75" outlineLevel="1">
      <c r="B90" s="12"/>
      <c r="C90" s="11" t="s">
        <v>231</v>
      </c>
      <c r="D90" s="11"/>
      <c r="E90" s="11"/>
      <c r="F90" s="52"/>
      <c r="G90" s="52"/>
      <c r="H90" s="53">
        <f>+F90-G90</f>
        <v>0</v>
      </c>
    </row>
    <row r="91" spans="2:8" ht="12.75">
      <c r="B91" s="12"/>
      <c r="C91" s="16" t="s">
        <v>31</v>
      </c>
      <c r="D91" s="16"/>
      <c r="E91" s="16"/>
      <c r="F91" s="56">
        <f>SUM(F92:F94)</f>
        <v>93502</v>
      </c>
      <c r="G91" s="56">
        <f>SUM(G92:G94)</f>
        <v>71307</v>
      </c>
      <c r="H91" s="62">
        <f>SUM(H92:H94)</f>
        <v>22195</v>
      </c>
    </row>
    <row r="92" spans="2:8" ht="12.75" outlineLevel="1">
      <c r="B92" s="12"/>
      <c r="C92" s="11" t="s">
        <v>229</v>
      </c>
      <c r="D92" s="11"/>
      <c r="E92" s="11"/>
      <c r="F92" s="52">
        <v>132407</v>
      </c>
      <c r="G92" s="52">
        <v>100407</v>
      </c>
      <c r="H92" s="53">
        <f>+F92-G92</f>
        <v>32000</v>
      </c>
    </row>
    <row r="93" spans="2:8" ht="12.75" outlineLevel="1">
      <c r="B93" s="12"/>
      <c r="C93" s="11" t="s">
        <v>241</v>
      </c>
      <c r="D93" s="11"/>
      <c r="E93" s="11"/>
      <c r="F93" s="52">
        <f>-38905</f>
        <v>-38905</v>
      </c>
      <c r="G93" s="52">
        <v>-29100</v>
      </c>
      <c r="H93" s="53">
        <f>+F93-G93</f>
        <v>-9805</v>
      </c>
    </row>
    <row r="94" spans="2:8" ht="12.75" outlineLevel="1">
      <c r="B94" s="12"/>
      <c r="C94" s="11" t="s">
        <v>232</v>
      </c>
      <c r="D94" s="11"/>
      <c r="E94" s="11"/>
      <c r="F94" s="52"/>
      <c r="G94" s="52"/>
      <c r="H94" s="53">
        <f>+F94-G94</f>
        <v>0</v>
      </c>
    </row>
    <row r="95" spans="2:8" ht="13.5">
      <c r="B95" s="345" t="s">
        <v>285</v>
      </c>
      <c r="C95" s="346"/>
      <c r="D95" s="83"/>
      <c r="E95" s="83"/>
      <c r="F95" s="54">
        <f>F79</f>
        <v>22246588</v>
      </c>
      <c r="G95" s="54">
        <f>G79</f>
        <v>4860363</v>
      </c>
      <c r="H95" s="59">
        <f>SUM(H80,H83,H87,H91)</f>
        <v>17386225</v>
      </c>
    </row>
    <row r="96" spans="2:8" ht="13.5">
      <c r="B96" s="5">
        <v>3</v>
      </c>
      <c r="C96" s="14" t="s">
        <v>32</v>
      </c>
      <c r="D96" s="14"/>
      <c r="E96" s="14"/>
      <c r="F96" s="60">
        <v>0</v>
      </c>
      <c r="G96" s="60">
        <v>0</v>
      </c>
      <c r="H96" s="61">
        <f>SUM(H97:H99)</f>
        <v>0</v>
      </c>
    </row>
    <row r="97" spans="2:8" ht="12.75" outlineLevel="1">
      <c r="B97" s="5"/>
      <c r="C97" s="11" t="s">
        <v>229</v>
      </c>
      <c r="D97" s="11"/>
      <c r="E97" s="11"/>
      <c r="F97" s="52"/>
      <c r="G97" s="52"/>
      <c r="H97" s="53">
        <f>+F97-G97</f>
        <v>0</v>
      </c>
    </row>
    <row r="98" spans="2:8" ht="12.75" outlineLevel="1">
      <c r="B98" s="5"/>
      <c r="C98" s="11" t="s">
        <v>240</v>
      </c>
      <c r="D98" s="11"/>
      <c r="E98" s="11"/>
      <c r="F98" s="52"/>
      <c r="G98" s="52"/>
      <c r="H98" s="53">
        <f>+F98-G98</f>
        <v>0</v>
      </c>
    </row>
    <row r="99" spans="2:8" ht="12.75" outlineLevel="1">
      <c r="B99" s="5"/>
      <c r="C99" s="11" t="s">
        <v>233</v>
      </c>
      <c r="D99" s="11"/>
      <c r="E99" s="11"/>
      <c r="F99" s="52"/>
      <c r="G99" s="52"/>
      <c r="H99" s="53">
        <f>+F99-G99</f>
        <v>0</v>
      </c>
    </row>
    <row r="100" spans="2:8" ht="13.5">
      <c r="B100" s="5">
        <v>4</v>
      </c>
      <c r="C100" s="14" t="s">
        <v>33</v>
      </c>
      <c r="D100" s="14"/>
      <c r="E100" s="14"/>
      <c r="F100" s="60">
        <f>F101+F105+F109</f>
        <v>0</v>
      </c>
      <c r="G100" s="60">
        <f>G101+G105+G109</f>
        <v>0</v>
      </c>
      <c r="H100" s="61"/>
    </row>
    <row r="101" spans="2:8" ht="12.75">
      <c r="B101" s="12"/>
      <c r="C101" s="16" t="s">
        <v>34</v>
      </c>
      <c r="D101" s="16"/>
      <c r="E101" s="16"/>
      <c r="F101" s="56">
        <v>0</v>
      </c>
      <c r="G101" s="56">
        <v>0</v>
      </c>
      <c r="H101" s="62">
        <f>SUM(H102:H104)</f>
        <v>0</v>
      </c>
    </row>
    <row r="102" spans="2:8" ht="12.75" outlineLevel="1">
      <c r="B102" s="12"/>
      <c r="C102" s="11" t="s">
        <v>229</v>
      </c>
      <c r="D102" s="11"/>
      <c r="E102" s="11"/>
      <c r="F102" s="52"/>
      <c r="G102" s="52"/>
      <c r="H102" s="53">
        <f>+F102-G102</f>
        <v>0</v>
      </c>
    </row>
    <row r="103" spans="2:8" ht="12.75" outlineLevel="1">
      <c r="B103" s="12"/>
      <c r="C103" s="11" t="s">
        <v>239</v>
      </c>
      <c r="D103" s="11"/>
      <c r="E103" s="11"/>
      <c r="F103" s="52"/>
      <c r="G103" s="52"/>
      <c r="H103" s="53">
        <f>+F103-G103</f>
        <v>0</v>
      </c>
    </row>
    <row r="104" spans="2:8" ht="12.75" outlineLevel="1">
      <c r="B104" s="12"/>
      <c r="C104" s="11" t="s">
        <v>234</v>
      </c>
      <c r="D104" s="11"/>
      <c r="E104" s="11"/>
      <c r="F104" s="52"/>
      <c r="G104" s="52"/>
      <c r="H104" s="53">
        <f>+F104-G104</f>
        <v>0</v>
      </c>
    </row>
    <row r="105" spans="2:8" ht="12.75">
      <c r="B105" s="12"/>
      <c r="C105" s="16" t="s">
        <v>35</v>
      </c>
      <c r="D105" s="16"/>
      <c r="E105" s="16"/>
      <c r="F105" s="56">
        <v>0</v>
      </c>
      <c r="G105" s="56">
        <v>0</v>
      </c>
      <c r="H105" s="62">
        <f>SUM(H106:H108)</f>
        <v>0</v>
      </c>
    </row>
    <row r="106" spans="2:8" ht="12.75" outlineLevel="1">
      <c r="B106" s="12"/>
      <c r="C106" s="11" t="s">
        <v>229</v>
      </c>
      <c r="D106" s="11"/>
      <c r="E106" s="11"/>
      <c r="F106" s="52"/>
      <c r="G106" s="52"/>
      <c r="H106" s="53">
        <f>+F106-G106</f>
        <v>0</v>
      </c>
    </row>
    <row r="107" spans="2:8" ht="12.75" outlineLevel="1">
      <c r="B107" s="12"/>
      <c r="C107" s="11" t="s">
        <v>237</v>
      </c>
      <c r="D107" s="11"/>
      <c r="E107" s="11"/>
      <c r="F107" s="52"/>
      <c r="G107" s="52"/>
      <c r="H107" s="53">
        <f>+F107-G107</f>
        <v>0</v>
      </c>
    </row>
    <row r="108" spans="2:8" ht="12.75" outlineLevel="1">
      <c r="B108" s="12"/>
      <c r="C108" s="11" t="s">
        <v>235</v>
      </c>
      <c r="D108" s="11"/>
      <c r="E108" s="11"/>
      <c r="F108" s="52"/>
      <c r="G108" s="52"/>
      <c r="H108" s="53">
        <f>+F108-G108</f>
        <v>0</v>
      </c>
    </row>
    <row r="109" spans="2:8" ht="12.75">
      <c r="B109" s="12"/>
      <c r="C109" s="16" t="s">
        <v>36</v>
      </c>
      <c r="D109" s="16"/>
      <c r="E109" s="16"/>
      <c r="F109" s="56">
        <v>0</v>
      </c>
      <c r="G109" s="56">
        <v>0</v>
      </c>
      <c r="H109" s="62">
        <f>SUM(H110:H112)</f>
        <v>0</v>
      </c>
    </row>
    <row r="110" spans="2:8" ht="12.75" outlineLevel="1">
      <c r="B110" s="12"/>
      <c r="C110" s="11" t="s">
        <v>229</v>
      </c>
      <c r="D110" s="11"/>
      <c r="E110" s="11"/>
      <c r="F110" s="52"/>
      <c r="G110" s="52"/>
      <c r="H110" s="53">
        <f>+F110-G110</f>
        <v>0</v>
      </c>
    </row>
    <row r="111" spans="2:8" ht="12.75" outlineLevel="1">
      <c r="B111" s="12"/>
      <c r="C111" s="11" t="s">
        <v>238</v>
      </c>
      <c r="D111" s="11"/>
      <c r="E111" s="11"/>
      <c r="F111" s="52"/>
      <c r="G111" s="52"/>
      <c r="H111" s="53">
        <f>+F111-G111</f>
        <v>0</v>
      </c>
    </row>
    <row r="112" spans="2:8" ht="12.75" outlineLevel="1">
      <c r="B112" s="12"/>
      <c r="C112" s="11" t="s">
        <v>236</v>
      </c>
      <c r="D112" s="11"/>
      <c r="E112" s="11"/>
      <c r="F112" s="52"/>
      <c r="G112" s="52"/>
      <c r="H112" s="53">
        <f>+F112-G112</f>
        <v>0</v>
      </c>
    </row>
    <row r="113" spans="2:8" ht="13.5">
      <c r="B113" s="345" t="s">
        <v>285</v>
      </c>
      <c r="C113" s="346"/>
      <c r="D113" s="83"/>
      <c r="E113" s="83"/>
      <c r="F113" s="54">
        <f>F100+F96</f>
        <v>0</v>
      </c>
      <c r="G113" s="54">
        <f>G100+G96</f>
        <v>0</v>
      </c>
      <c r="H113" s="59">
        <f>SUM(H96,H100)</f>
        <v>0</v>
      </c>
    </row>
    <row r="114" spans="2:8" ht="12.75">
      <c r="B114" s="5">
        <v>5</v>
      </c>
      <c r="C114" s="14" t="s">
        <v>37</v>
      </c>
      <c r="D114" s="14"/>
      <c r="E114" s="14"/>
      <c r="F114" s="51">
        <v>0</v>
      </c>
      <c r="G114" s="51">
        <v>0</v>
      </c>
      <c r="H114" s="53">
        <f>F114-G114</f>
        <v>0</v>
      </c>
    </row>
    <row r="115" spans="2:8" ht="12.75">
      <c r="B115" s="5">
        <v>6</v>
      </c>
      <c r="C115" s="14" t="s">
        <v>38</v>
      </c>
      <c r="D115" s="14"/>
      <c r="E115" s="14"/>
      <c r="F115" s="51">
        <v>0</v>
      </c>
      <c r="G115" s="51">
        <v>0</v>
      </c>
      <c r="H115" s="55">
        <f>F115-G115</f>
        <v>0</v>
      </c>
    </row>
    <row r="116" spans="2:8" ht="13.5">
      <c r="B116" s="359" t="s">
        <v>39</v>
      </c>
      <c r="C116" s="360"/>
      <c r="D116" s="87"/>
      <c r="E116" s="87"/>
      <c r="F116" s="63">
        <f>F115+F114+F113+F95+F78+F70</f>
        <v>22246588</v>
      </c>
      <c r="G116" s="63">
        <f>G115+G114+G113+G95+G78+G70</f>
        <v>4860363</v>
      </c>
      <c r="H116" s="68">
        <f>SUM(H78,H95,H113,H114,H115)</f>
        <v>17386225</v>
      </c>
    </row>
    <row r="117" spans="2:8" ht="13.5">
      <c r="B117" s="362" t="s">
        <v>40</v>
      </c>
      <c r="C117" s="363"/>
      <c r="D117" s="89"/>
      <c r="E117" s="89"/>
      <c r="F117" s="64">
        <f>F116+F68</f>
        <v>73080770</v>
      </c>
      <c r="G117" s="64">
        <f>G116+G68</f>
        <v>42405891</v>
      </c>
      <c r="H117" s="65">
        <f>SUM(H116,H68)</f>
        <v>30674879</v>
      </c>
    </row>
    <row r="119" spans="2:8" ht="15.75">
      <c r="B119" s="342" t="s">
        <v>525</v>
      </c>
      <c r="C119" s="342"/>
      <c r="D119" s="84"/>
      <c r="E119" s="84"/>
      <c r="F119" s="50"/>
      <c r="G119" s="50"/>
      <c r="H119" s="50"/>
    </row>
    <row r="120" spans="2:8" ht="12.75">
      <c r="B120" s="364" t="s">
        <v>279</v>
      </c>
      <c r="C120" s="364"/>
      <c r="D120" s="364"/>
      <c r="E120" s="364"/>
      <c r="F120" s="364"/>
      <c r="G120" s="364"/>
      <c r="H120" s="364"/>
    </row>
    <row r="121" spans="2:8" ht="12.75">
      <c r="B121" s="364" t="s">
        <v>585</v>
      </c>
      <c r="C121" s="364"/>
      <c r="D121" s="364"/>
      <c r="E121" s="364"/>
      <c r="F121" s="364"/>
      <c r="G121" s="364"/>
      <c r="H121" s="364"/>
    </row>
    <row r="122" spans="2:8" ht="12.75">
      <c r="B122" s="361" t="s">
        <v>280</v>
      </c>
      <c r="C122" s="361"/>
      <c r="D122" s="85"/>
      <c r="E122" s="85"/>
      <c r="F122" s="50"/>
      <c r="G122" s="50"/>
      <c r="H122" s="50"/>
    </row>
    <row r="123" ht="18" customHeight="1"/>
    <row r="124" spans="2:8" ht="31.5" customHeight="1">
      <c r="B124" s="357" t="s">
        <v>41</v>
      </c>
      <c r="C124" s="358"/>
      <c r="D124" s="86"/>
      <c r="E124" s="86" t="s">
        <v>287</v>
      </c>
      <c r="F124" s="2" t="s">
        <v>583</v>
      </c>
      <c r="G124" s="2" t="s">
        <v>584</v>
      </c>
      <c r="H124" s="17" t="s">
        <v>42</v>
      </c>
    </row>
    <row r="125" spans="2:8" ht="13.5">
      <c r="B125" s="5" t="s">
        <v>43</v>
      </c>
      <c r="C125" s="6" t="s">
        <v>44</v>
      </c>
      <c r="D125" s="6"/>
      <c r="E125" s="6"/>
      <c r="F125" s="52"/>
      <c r="G125" s="52"/>
      <c r="H125" s="53"/>
    </row>
    <row r="126" spans="2:8" ht="12.75">
      <c r="B126" s="5" t="s">
        <v>2</v>
      </c>
      <c r="C126" s="10" t="s">
        <v>45</v>
      </c>
      <c r="D126" s="10"/>
      <c r="E126" s="10"/>
      <c r="F126" s="51"/>
      <c r="G126" s="51"/>
      <c r="H126" s="55"/>
    </row>
    <row r="127" spans="2:8" ht="12.75">
      <c r="B127" s="18">
        <v>1</v>
      </c>
      <c r="C127" s="14" t="s">
        <v>46</v>
      </c>
      <c r="D127" s="14"/>
      <c r="E127" s="14"/>
      <c r="F127" s="51">
        <v>0</v>
      </c>
      <c r="G127" s="51">
        <v>0</v>
      </c>
      <c r="H127" s="55">
        <f>F127-G127</f>
        <v>0</v>
      </c>
    </row>
    <row r="128" spans="2:8" ht="12.75">
      <c r="B128" s="18">
        <v>2</v>
      </c>
      <c r="C128" s="14" t="s">
        <v>47</v>
      </c>
      <c r="D128" s="14"/>
      <c r="E128" s="14"/>
      <c r="F128" s="51">
        <f>SUM(F129:F131)</f>
        <v>16873712</v>
      </c>
      <c r="G128" s="51">
        <f>SUM(G129:G131)</f>
        <v>21717970</v>
      </c>
      <c r="H128" s="55">
        <f>F128-G128</f>
        <v>-4844258</v>
      </c>
    </row>
    <row r="129" spans="2:8" ht="12.75">
      <c r="B129" s="19"/>
      <c r="C129" s="13" t="s">
        <v>48</v>
      </c>
      <c r="D129" s="13"/>
      <c r="E129" s="13"/>
      <c r="F129" s="52">
        <f>16790119+83593</f>
        <v>16873712</v>
      </c>
      <c r="G129" s="52">
        <f>21717969+1</f>
        <v>21717970</v>
      </c>
      <c r="H129" s="53">
        <f>F129-G129</f>
        <v>-4844258</v>
      </c>
    </row>
    <row r="130" spans="2:8" ht="12.75">
      <c r="B130" s="19"/>
      <c r="C130" s="13" t="s">
        <v>49</v>
      </c>
      <c r="D130" s="13"/>
      <c r="E130" s="13"/>
      <c r="F130" s="52"/>
      <c r="G130" s="52">
        <v>0</v>
      </c>
      <c r="H130" s="53">
        <f>F130-G130</f>
        <v>0</v>
      </c>
    </row>
    <row r="131" spans="2:8" ht="12.75">
      <c r="B131" s="19"/>
      <c r="C131" s="13" t="s">
        <v>50</v>
      </c>
      <c r="D131" s="13"/>
      <c r="E131" s="13"/>
      <c r="F131" s="52">
        <v>0</v>
      </c>
      <c r="G131" s="52">
        <v>0</v>
      </c>
      <c r="H131" s="53">
        <f>F131-G131</f>
        <v>0</v>
      </c>
    </row>
    <row r="132" spans="2:8" ht="13.5">
      <c r="B132" s="345" t="s">
        <v>26</v>
      </c>
      <c r="C132" s="346"/>
      <c r="D132" s="83"/>
      <c r="E132" s="83"/>
      <c r="F132" s="54">
        <f>SUM(F129:F131)</f>
        <v>16873712</v>
      </c>
      <c r="G132" s="54">
        <f>SUM(G129:G131)</f>
        <v>21717970</v>
      </c>
      <c r="H132" s="59">
        <f>SUM(H127,H128)</f>
        <v>-4844258</v>
      </c>
    </row>
    <row r="133" spans="2:8" ht="12.75">
      <c r="B133" s="18">
        <v>3</v>
      </c>
      <c r="C133" s="14" t="s">
        <v>51</v>
      </c>
      <c r="D133" s="14"/>
      <c r="E133" s="14"/>
      <c r="F133" s="51">
        <f>F134+F139+F143+F149+F154</f>
        <v>12185991</v>
      </c>
      <c r="G133" s="51">
        <f>G134+G139+G143+G149+G154</f>
        <v>14791014</v>
      </c>
      <c r="H133" s="55"/>
    </row>
    <row r="134" spans="2:8" ht="12.75">
      <c r="B134" s="12"/>
      <c r="C134" s="13" t="s">
        <v>52</v>
      </c>
      <c r="D134" s="13"/>
      <c r="E134" s="13"/>
      <c r="F134" s="56">
        <f>SUM(F135:F138)</f>
        <v>11944167</v>
      </c>
      <c r="G134" s="56">
        <f>SUM(G135:G138)</f>
        <v>13772245</v>
      </c>
      <c r="H134" s="62">
        <f>SUM(H135:H138)</f>
        <v>-1828078</v>
      </c>
    </row>
    <row r="135" spans="2:8" ht="12.75" outlineLevel="1">
      <c r="B135" s="12"/>
      <c r="C135" s="11" t="s">
        <v>53</v>
      </c>
      <c r="D135" s="11"/>
      <c r="E135" s="11"/>
      <c r="F135" s="52">
        <f>11569903+434620-60356</f>
        <v>11944167</v>
      </c>
      <c r="G135" s="52">
        <v>13772245</v>
      </c>
      <c r="H135" s="53">
        <f>+F135-G135</f>
        <v>-1828078</v>
      </c>
    </row>
    <row r="136" spans="2:8" ht="12.75" outlineLevel="1">
      <c r="B136" s="12"/>
      <c r="C136" s="11" t="s">
        <v>54</v>
      </c>
      <c r="D136" s="11"/>
      <c r="E136" s="11"/>
      <c r="F136" s="52"/>
      <c r="G136" s="52"/>
      <c r="H136" s="53">
        <f>+F136-G136</f>
        <v>0</v>
      </c>
    </row>
    <row r="137" spans="2:8" ht="12.75" outlineLevel="1">
      <c r="B137" s="12"/>
      <c r="C137" s="36" t="s">
        <v>55</v>
      </c>
      <c r="D137" s="36"/>
      <c r="E137" s="36"/>
      <c r="F137" s="57"/>
      <c r="G137" s="57"/>
      <c r="H137" s="58">
        <f>+F137-G137</f>
        <v>0</v>
      </c>
    </row>
    <row r="138" spans="2:8" ht="12.75" outlineLevel="1">
      <c r="B138" s="12"/>
      <c r="C138" s="36" t="s">
        <v>56</v>
      </c>
      <c r="D138" s="36"/>
      <c r="E138" s="36"/>
      <c r="F138" s="57"/>
      <c r="G138" s="57"/>
      <c r="H138" s="58">
        <f>+F138-G138</f>
        <v>0</v>
      </c>
    </row>
    <row r="139" spans="2:8" ht="12.75">
      <c r="B139" s="12"/>
      <c r="C139" s="13" t="s">
        <v>57</v>
      </c>
      <c r="D139" s="13"/>
      <c r="E139" s="13"/>
      <c r="F139" s="56">
        <f>SUM(F140:F142)</f>
        <v>98008</v>
      </c>
      <c r="G139" s="56">
        <f>SUM(G140:G142)</f>
        <v>864665</v>
      </c>
      <c r="H139" s="62">
        <f>SUM(H140:H142)</f>
        <v>-766657</v>
      </c>
    </row>
    <row r="140" spans="2:8" ht="12.75" outlineLevel="1">
      <c r="B140" s="12"/>
      <c r="C140" s="11" t="s">
        <v>58</v>
      </c>
      <c r="D140" s="11"/>
      <c r="E140" s="11"/>
      <c r="F140" s="52">
        <v>98008</v>
      </c>
      <c r="G140" s="52">
        <v>864665</v>
      </c>
      <c r="H140" s="53">
        <f>+F140-G140</f>
        <v>-766657</v>
      </c>
    </row>
    <row r="141" spans="2:8" ht="12.75" outlineLevel="1">
      <c r="B141" s="12"/>
      <c r="C141" s="11" t="s">
        <v>59</v>
      </c>
      <c r="D141" s="11"/>
      <c r="E141" s="11"/>
      <c r="F141" s="52"/>
      <c r="G141" s="52"/>
      <c r="H141" s="53">
        <f>+F141-G141</f>
        <v>0</v>
      </c>
    </row>
    <row r="142" spans="2:8" ht="12.75" outlineLevel="1">
      <c r="B142" s="12"/>
      <c r="C142" s="11" t="s">
        <v>60</v>
      </c>
      <c r="D142" s="11"/>
      <c r="E142" s="11"/>
      <c r="F142" s="52"/>
      <c r="G142" s="52"/>
      <c r="H142" s="53">
        <f>+F142-G142</f>
        <v>0</v>
      </c>
    </row>
    <row r="143" spans="2:8" ht="12.75">
      <c r="B143" s="12"/>
      <c r="C143" s="13" t="s">
        <v>61</v>
      </c>
      <c r="D143" s="13"/>
      <c r="E143" s="13"/>
      <c r="F143" s="56">
        <f>SUM(F144:F148)</f>
        <v>143816</v>
      </c>
      <c r="G143" s="56">
        <f>SUM(G144:G148)</f>
        <v>154104</v>
      </c>
      <c r="H143" s="62">
        <f>SUM(H144:H148)</f>
        <v>-10288</v>
      </c>
    </row>
    <row r="144" spans="2:8" ht="12.75" outlineLevel="1">
      <c r="B144" s="12"/>
      <c r="C144" s="11" t="s">
        <v>62</v>
      </c>
      <c r="D144" s="11"/>
      <c r="E144" s="11"/>
      <c r="F144" s="52">
        <v>32265</v>
      </c>
      <c r="G144" s="52">
        <v>25569</v>
      </c>
      <c r="H144" s="53">
        <f>+F144-G144</f>
        <v>6696</v>
      </c>
    </row>
    <row r="145" spans="2:8" ht="12.75" outlineLevel="1">
      <c r="B145" s="12"/>
      <c r="C145" s="11" t="s">
        <v>177</v>
      </c>
      <c r="D145" s="11"/>
      <c r="E145" s="11"/>
      <c r="F145" s="52">
        <v>5000</v>
      </c>
      <c r="G145" s="52">
        <v>7200</v>
      </c>
      <c r="H145" s="53">
        <f>+F145-G145</f>
        <v>-2200</v>
      </c>
    </row>
    <row r="146" spans="2:8" ht="12.75" outlineLevel="1">
      <c r="B146" s="12"/>
      <c r="C146" s="11" t="s">
        <v>63</v>
      </c>
      <c r="D146" s="11"/>
      <c r="E146" s="11"/>
      <c r="F146" s="52">
        <v>106551</v>
      </c>
      <c r="G146" s="52">
        <v>121335</v>
      </c>
      <c r="H146" s="53">
        <f>+F146-G146</f>
        <v>-14784</v>
      </c>
    </row>
    <row r="147" spans="2:9" ht="12.75" outlineLevel="1">
      <c r="B147" s="12"/>
      <c r="C147" s="11" t="s">
        <v>64</v>
      </c>
      <c r="D147" s="11"/>
      <c r="E147" s="11"/>
      <c r="F147" s="52"/>
      <c r="G147" s="52"/>
      <c r="H147" s="53">
        <f>+F147-G147</f>
        <v>0</v>
      </c>
      <c r="I147" s="82"/>
    </row>
    <row r="148" spans="2:8" ht="12.75" outlineLevel="1">
      <c r="B148" s="12"/>
      <c r="C148" s="11" t="s">
        <v>65</v>
      </c>
      <c r="D148" s="11"/>
      <c r="E148" s="11"/>
      <c r="F148" s="52"/>
      <c r="G148" s="52"/>
      <c r="H148" s="53">
        <f>+F148-G148</f>
        <v>0</v>
      </c>
    </row>
    <row r="149" spans="2:9" ht="12.75">
      <c r="B149" s="12"/>
      <c r="C149" s="13" t="s">
        <v>66</v>
      </c>
      <c r="D149" s="13"/>
      <c r="E149" s="13"/>
      <c r="F149" s="56">
        <f>SUM(F150:F153)</f>
        <v>0</v>
      </c>
      <c r="G149" s="56">
        <f>SUM(G150:G153)</f>
        <v>0</v>
      </c>
      <c r="H149" s="62">
        <f>SUM(H150:H153)</f>
        <v>0</v>
      </c>
      <c r="I149" s="82"/>
    </row>
    <row r="150" spans="2:8" ht="25.5" outlineLevel="1">
      <c r="B150" s="12"/>
      <c r="C150" s="11" t="s">
        <v>178</v>
      </c>
      <c r="D150" s="11"/>
      <c r="E150" s="11"/>
      <c r="F150" s="52"/>
      <c r="G150" s="52"/>
      <c r="H150" s="53">
        <f>+F150-G150</f>
        <v>0</v>
      </c>
    </row>
    <row r="151" spans="2:8" ht="12.75" outlineLevel="1">
      <c r="B151" s="12"/>
      <c r="C151" s="11" t="s">
        <v>183</v>
      </c>
      <c r="D151" s="11"/>
      <c r="E151" s="11"/>
      <c r="F151" s="52"/>
      <c r="G151" s="52"/>
      <c r="H151" s="53">
        <f>+F151-G151</f>
        <v>0</v>
      </c>
    </row>
    <row r="152" spans="2:8" ht="12.75" outlineLevel="1">
      <c r="B152" s="12"/>
      <c r="C152" s="11" t="s">
        <v>179</v>
      </c>
      <c r="D152" s="11"/>
      <c r="E152" s="11"/>
      <c r="F152" s="52"/>
      <c r="G152" s="52"/>
      <c r="H152" s="53">
        <f>+F152-G152</f>
        <v>0</v>
      </c>
    </row>
    <row r="153" spans="2:8" ht="25.5" outlineLevel="1">
      <c r="B153" s="12"/>
      <c r="C153" s="11" t="s">
        <v>180</v>
      </c>
      <c r="D153" s="11"/>
      <c r="E153" s="11"/>
      <c r="F153" s="52"/>
      <c r="G153" s="52">
        <v>0</v>
      </c>
      <c r="H153" s="53">
        <f>+F153-G153</f>
        <v>0</v>
      </c>
    </row>
    <row r="154" spans="2:8" ht="12.75">
      <c r="B154" s="12"/>
      <c r="C154" s="13" t="s">
        <v>67</v>
      </c>
      <c r="D154" s="13"/>
      <c r="E154" s="13"/>
      <c r="F154" s="56">
        <f>SUM(F155)</f>
        <v>0</v>
      </c>
      <c r="G154" s="56">
        <f>SUM(G155)</f>
        <v>0</v>
      </c>
      <c r="H154" s="62">
        <f>SUM(H155)</f>
        <v>0</v>
      </c>
    </row>
    <row r="155" spans="2:8" ht="12.75" outlineLevel="1">
      <c r="B155" s="12"/>
      <c r="C155" s="11" t="s">
        <v>184</v>
      </c>
      <c r="D155" s="11"/>
      <c r="E155" s="11"/>
      <c r="F155" s="52">
        <v>0</v>
      </c>
      <c r="G155" s="52">
        <v>0</v>
      </c>
      <c r="H155" s="53">
        <f>+F155-G155</f>
        <v>0</v>
      </c>
    </row>
    <row r="156" spans="2:8" ht="13.5">
      <c r="B156" s="345" t="s">
        <v>26</v>
      </c>
      <c r="C156" s="346"/>
      <c r="D156" s="83"/>
      <c r="E156" s="83"/>
      <c r="F156" s="54">
        <f>F133</f>
        <v>12185991</v>
      </c>
      <c r="G156" s="54">
        <f>G133</f>
        <v>14791014</v>
      </c>
      <c r="H156" s="59">
        <f>SUM(H134,H139,H143,H149,H154)</f>
        <v>-2605023</v>
      </c>
    </row>
    <row r="157" spans="2:8" ht="12.75">
      <c r="B157" s="18">
        <v>4</v>
      </c>
      <c r="C157" s="14" t="s">
        <v>68</v>
      </c>
      <c r="D157" s="14"/>
      <c r="E157" s="14"/>
      <c r="F157" s="51">
        <v>0</v>
      </c>
      <c r="G157" s="51">
        <v>0</v>
      </c>
      <c r="H157" s="55">
        <f>F157-G157</f>
        <v>0</v>
      </c>
    </row>
    <row r="158" spans="2:8" ht="12.75">
      <c r="B158" s="18">
        <v>5</v>
      </c>
      <c r="C158" s="14" t="s">
        <v>69</v>
      </c>
      <c r="D158" s="14"/>
      <c r="E158" s="14"/>
      <c r="F158" s="51">
        <v>0</v>
      </c>
      <c r="G158" s="51">
        <v>0</v>
      </c>
      <c r="H158" s="55">
        <f>F158-G158</f>
        <v>0</v>
      </c>
    </row>
    <row r="159" spans="2:8" ht="12.75">
      <c r="B159" s="355" t="s">
        <v>70</v>
      </c>
      <c r="C159" s="356"/>
      <c r="D159" s="88"/>
      <c r="E159" s="88"/>
      <c r="F159" s="63">
        <f>F156+F132</f>
        <v>29059703</v>
      </c>
      <c r="G159" s="63">
        <f>G156+G132</f>
        <v>36508984</v>
      </c>
      <c r="H159" s="68">
        <f>SUM(H132,H156,H157,H158)</f>
        <v>-7449281</v>
      </c>
    </row>
    <row r="160" spans="2:8" ht="12.75">
      <c r="B160" s="5" t="s">
        <v>20</v>
      </c>
      <c r="C160" s="10" t="s">
        <v>71</v>
      </c>
      <c r="D160" s="10"/>
      <c r="E160" s="10"/>
      <c r="F160" s="51"/>
      <c r="G160" s="51"/>
      <c r="H160" s="55"/>
    </row>
    <row r="161" spans="2:8" ht="13.5">
      <c r="B161" s="18">
        <v>1</v>
      </c>
      <c r="C161" s="14" t="s">
        <v>72</v>
      </c>
      <c r="D161" s="14"/>
      <c r="E161" s="14"/>
      <c r="F161" s="60">
        <f>F162+F167</f>
        <v>36849509</v>
      </c>
      <c r="G161" s="60">
        <f>G162+G167</f>
        <v>0</v>
      </c>
      <c r="H161" s="61"/>
    </row>
    <row r="162" spans="2:8" ht="12.75">
      <c r="B162" s="12"/>
      <c r="C162" s="13" t="s">
        <v>73</v>
      </c>
      <c r="D162" s="13"/>
      <c r="E162" s="13"/>
      <c r="F162" s="56">
        <f>SUM(F163:F166)</f>
        <v>36849509</v>
      </c>
      <c r="G162" s="56">
        <f>SUM(G163:G166)</f>
        <v>0</v>
      </c>
      <c r="H162" s="62">
        <f>SUM(H163:H166)</f>
        <v>36849509</v>
      </c>
    </row>
    <row r="163" spans="2:8" ht="12.75" outlineLevel="1">
      <c r="B163" s="12"/>
      <c r="C163" s="11" t="s">
        <v>74</v>
      </c>
      <c r="D163" s="11"/>
      <c r="E163" s="11"/>
      <c r="F163" s="52">
        <v>0</v>
      </c>
      <c r="G163" s="52">
        <v>0</v>
      </c>
      <c r="H163" s="53">
        <f>+F163-G163</f>
        <v>0</v>
      </c>
    </row>
    <row r="164" spans="2:8" ht="12.75" outlineLevel="1">
      <c r="B164" s="12"/>
      <c r="C164" s="11" t="s">
        <v>182</v>
      </c>
      <c r="D164" s="11"/>
      <c r="E164" s="11"/>
      <c r="F164" s="52"/>
      <c r="G164" s="52"/>
      <c r="H164" s="53">
        <f>+F164-G164</f>
        <v>0</v>
      </c>
    </row>
    <row r="165" spans="2:8" ht="12.75" outlineLevel="1">
      <c r="B165" s="12"/>
      <c r="C165" s="11" t="s">
        <v>181</v>
      </c>
      <c r="D165" s="11"/>
      <c r="E165" s="11"/>
      <c r="F165" s="52">
        <v>36849509</v>
      </c>
      <c r="G165" s="52"/>
      <c r="H165" s="53">
        <f>+F165-G165</f>
        <v>36849509</v>
      </c>
    </row>
    <row r="166" spans="2:8" ht="12.75" outlineLevel="1">
      <c r="B166" s="12"/>
      <c r="C166" s="11" t="s">
        <v>75</v>
      </c>
      <c r="D166" s="11"/>
      <c r="E166" s="11"/>
      <c r="F166" s="52"/>
      <c r="G166" s="52"/>
      <c r="H166" s="53">
        <f>+F166-G166</f>
        <v>0</v>
      </c>
    </row>
    <row r="167" spans="2:8" ht="12.75">
      <c r="B167" s="12"/>
      <c r="C167" s="13" t="s">
        <v>76</v>
      </c>
      <c r="D167" s="13"/>
      <c r="E167" s="13"/>
      <c r="F167" s="52">
        <v>0</v>
      </c>
      <c r="G167" s="52">
        <v>0</v>
      </c>
      <c r="H167" s="53">
        <f>F167-G167</f>
        <v>0</v>
      </c>
    </row>
    <row r="168" spans="2:8" ht="13.5">
      <c r="B168" s="345" t="s">
        <v>26</v>
      </c>
      <c r="C168" s="346"/>
      <c r="D168" s="83"/>
      <c r="E168" s="83"/>
      <c r="F168" s="54">
        <v>0</v>
      </c>
      <c r="G168" s="54">
        <v>0</v>
      </c>
      <c r="H168" s="59">
        <f>SUM(H162,H167)</f>
        <v>36849509</v>
      </c>
    </row>
    <row r="169" spans="2:8" ht="12.75">
      <c r="B169" s="18">
        <v>2</v>
      </c>
      <c r="C169" s="14" t="s">
        <v>77</v>
      </c>
      <c r="D169" s="14"/>
      <c r="E169" s="14"/>
      <c r="F169" s="56">
        <f>SUM(F170:F174)</f>
        <v>0</v>
      </c>
      <c r="G169" s="56">
        <f>SUM(G170:G174)</f>
        <v>0</v>
      </c>
      <c r="H169" s="62">
        <f>SUM(H170:H174)</f>
        <v>0</v>
      </c>
    </row>
    <row r="170" spans="2:8" ht="12.75" outlineLevel="1">
      <c r="B170" s="18"/>
      <c r="C170" s="13" t="s">
        <v>185</v>
      </c>
      <c r="D170" s="13"/>
      <c r="E170" s="13"/>
      <c r="F170" s="56">
        <v>0</v>
      </c>
      <c r="G170" s="56">
        <v>0</v>
      </c>
      <c r="H170" s="53">
        <f>+F170-G170</f>
        <v>0</v>
      </c>
    </row>
    <row r="171" spans="2:8" ht="12.75" outlineLevel="1">
      <c r="B171" s="18"/>
      <c r="C171" s="13" t="s">
        <v>186</v>
      </c>
      <c r="D171" s="13"/>
      <c r="E171" s="13"/>
      <c r="F171" s="56"/>
      <c r="G171" s="56"/>
      <c r="H171" s="53">
        <f>+F171-G171</f>
        <v>0</v>
      </c>
    </row>
    <row r="172" spans="2:8" ht="12.75" outlineLevel="1">
      <c r="B172" s="18"/>
      <c r="C172" s="13" t="s">
        <v>187</v>
      </c>
      <c r="D172" s="13"/>
      <c r="E172" s="13"/>
      <c r="F172" s="56"/>
      <c r="G172" s="56"/>
      <c r="H172" s="53">
        <f>+F172-G172</f>
        <v>0</v>
      </c>
    </row>
    <row r="173" spans="2:8" ht="12.75" outlineLevel="1">
      <c r="B173" s="18"/>
      <c r="C173" s="13" t="s">
        <v>188</v>
      </c>
      <c r="D173" s="13"/>
      <c r="E173" s="13"/>
      <c r="F173" s="56">
        <v>0</v>
      </c>
      <c r="G173" s="56">
        <v>0</v>
      </c>
      <c r="H173" s="53">
        <f>+F173-G173</f>
        <v>0</v>
      </c>
    </row>
    <row r="174" spans="2:8" ht="12.75" outlineLevel="1">
      <c r="B174" s="18"/>
      <c r="C174" s="13" t="s">
        <v>189</v>
      </c>
      <c r="D174" s="13"/>
      <c r="E174" s="13"/>
      <c r="F174" s="52"/>
      <c r="G174" s="52"/>
      <c r="H174" s="53">
        <f>+F174-G174</f>
        <v>0</v>
      </c>
    </row>
    <row r="175" spans="2:8" ht="12.75">
      <c r="B175" s="18">
        <v>3</v>
      </c>
      <c r="C175" s="14" t="s">
        <v>78</v>
      </c>
      <c r="D175" s="14"/>
      <c r="E175" s="14"/>
      <c r="F175" s="56">
        <v>0</v>
      </c>
      <c r="G175" s="56">
        <v>0</v>
      </c>
      <c r="H175" s="62">
        <f aca="true" t="shared" si="3" ref="H175:H191">F175-G175</f>
        <v>0</v>
      </c>
    </row>
    <row r="176" spans="2:8" ht="12.75">
      <c r="B176" s="18">
        <v>4</v>
      </c>
      <c r="C176" s="14" t="s">
        <v>79</v>
      </c>
      <c r="D176" s="14"/>
      <c r="E176" s="14"/>
      <c r="F176" s="52">
        <v>0</v>
      </c>
      <c r="G176" s="52">
        <v>0</v>
      </c>
      <c r="H176" s="53">
        <f t="shared" si="3"/>
        <v>0</v>
      </c>
    </row>
    <row r="177" spans="2:8" ht="12.75">
      <c r="B177" s="349" t="s">
        <v>80</v>
      </c>
      <c r="C177" s="350"/>
      <c r="D177" s="91"/>
      <c r="E177" s="91"/>
      <c r="F177" s="63">
        <f>F176+F175+F169+F161</f>
        <v>36849509</v>
      </c>
      <c r="G177" s="63">
        <f>G176+G175+G169+G161</f>
        <v>0</v>
      </c>
      <c r="H177" s="68">
        <f>SUM(H168,H169,H175,H176)</f>
        <v>36849509</v>
      </c>
    </row>
    <row r="178" spans="2:8" ht="12.75">
      <c r="B178" s="351" t="s">
        <v>81</v>
      </c>
      <c r="C178" s="352"/>
      <c r="D178" s="92"/>
      <c r="E178" s="92"/>
      <c r="F178" s="69">
        <f>F177+F159</f>
        <v>65909212</v>
      </c>
      <c r="G178" s="69">
        <f>G177+G159</f>
        <v>36508984</v>
      </c>
      <c r="H178" s="70">
        <f t="shared" si="3"/>
        <v>29400228</v>
      </c>
    </row>
    <row r="179" spans="2:8" ht="12.75">
      <c r="B179" s="5" t="s">
        <v>82</v>
      </c>
      <c r="C179" s="14" t="s">
        <v>83</v>
      </c>
      <c r="D179" s="14"/>
      <c r="E179" s="14"/>
      <c r="F179" s="51">
        <f>SUM(F180:F189)</f>
        <v>7171558</v>
      </c>
      <c r="G179" s="51">
        <f>SUM(G180:G189)</f>
        <v>5896907</v>
      </c>
      <c r="H179" s="55">
        <f t="shared" si="3"/>
        <v>1274651</v>
      </c>
    </row>
    <row r="180" spans="2:8" ht="12.75">
      <c r="B180" s="9">
        <v>1</v>
      </c>
      <c r="C180" s="14" t="s">
        <v>84</v>
      </c>
      <c r="D180" s="14"/>
      <c r="E180" s="14"/>
      <c r="F180" s="52">
        <v>0</v>
      </c>
      <c r="G180" s="52">
        <v>0</v>
      </c>
      <c r="H180" s="53">
        <f t="shared" si="3"/>
        <v>0</v>
      </c>
    </row>
    <row r="181" spans="2:8" ht="12.75">
      <c r="B181" s="9">
        <v>2</v>
      </c>
      <c r="C181" s="14" t="s">
        <v>85</v>
      </c>
      <c r="D181" s="14"/>
      <c r="E181" s="14"/>
      <c r="F181" s="52">
        <v>0</v>
      </c>
      <c r="G181" s="52">
        <v>0</v>
      </c>
      <c r="H181" s="53">
        <f t="shared" si="3"/>
        <v>0</v>
      </c>
    </row>
    <row r="182" spans="2:8" ht="12.75">
      <c r="B182" s="9">
        <v>3</v>
      </c>
      <c r="C182" s="14" t="s">
        <v>86</v>
      </c>
      <c r="D182" s="14"/>
      <c r="E182" s="14"/>
      <c r="F182" s="52">
        <v>3500000</v>
      </c>
      <c r="G182" s="52">
        <v>3500000</v>
      </c>
      <c r="H182" s="53">
        <f t="shared" si="3"/>
        <v>0</v>
      </c>
    </row>
    <row r="183" spans="2:8" ht="12.75">
      <c r="B183" s="9">
        <v>4</v>
      </c>
      <c r="C183" s="14" t="s">
        <v>87</v>
      </c>
      <c r="D183" s="14"/>
      <c r="E183" s="14"/>
      <c r="F183" s="52">
        <v>0</v>
      </c>
      <c r="G183" s="52">
        <v>0</v>
      </c>
      <c r="H183" s="53">
        <f t="shared" si="3"/>
        <v>0</v>
      </c>
    </row>
    <row r="184" spans="2:8" ht="12.75">
      <c r="B184" s="9">
        <v>5</v>
      </c>
      <c r="C184" s="14" t="s">
        <v>88</v>
      </c>
      <c r="D184" s="14"/>
      <c r="E184" s="14"/>
      <c r="F184" s="52">
        <v>0</v>
      </c>
      <c r="G184" s="52">
        <v>0</v>
      </c>
      <c r="H184" s="53">
        <f t="shared" si="3"/>
        <v>0</v>
      </c>
    </row>
    <row r="185" spans="2:8" ht="12.75">
      <c r="B185" s="9">
        <v>6</v>
      </c>
      <c r="C185" s="14" t="s">
        <v>89</v>
      </c>
      <c r="D185" s="14"/>
      <c r="E185" s="14"/>
      <c r="F185" s="52">
        <v>0</v>
      </c>
      <c r="G185" s="52">
        <v>0</v>
      </c>
      <c r="H185" s="53">
        <f t="shared" si="3"/>
        <v>0</v>
      </c>
    </row>
    <row r="186" spans="2:8" ht="12.75">
      <c r="B186" s="9">
        <v>7</v>
      </c>
      <c r="C186" s="14" t="s">
        <v>282</v>
      </c>
      <c r="D186" s="14"/>
      <c r="E186" s="14"/>
      <c r="F186" s="52">
        <v>0</v>
      </c>
      <c r="G186" s="52">
        <v>0</v>
      </c>
      <c r="H186" s="53"/>
    </row>
    <row r="187" spans="2:8" ht="12.75">
      <c r="B187" s="9">
        <v>8</v>
      </c>
      <c r="C187" s="14" t="s">
        <v>90</v>
      </c>
      <c r="D187" s="14"/>
      <c r="E187" s="14"/>
      <c r="F187" s="52">
        <f>G187+G189</f>
        <v>2396907</v>
      </c>
      <c r="G187" s="52">
        <v>674897</v>
      </c>
      <c r="H187" s="53">
        <f t="shared" si="3"/>
        <v>1722010</v>
      </c>
    </row>
    <row r="188" spans="2:8" ht="12.75">
      <c r="B188" s="9">
        <v>9</v>
      </c>
      <c r="C188" s="14" t="s">
        <v>91</v>
      </c>
      <c r="D188" s="14"/>
      <c r="E188" s="14"/>
      <c r="F188" s="52">
        <v>0</v>
      </c>
      <c r="G188" s="52">
        <v>0</v>
      </c>
      <c r="H188" s="53">
        <f t="shared" si="3"/>
        <v>0</v>
      </c>
    </row>
    <row r="189" spans="2:8" ht="12.75">
      <c r="B189" s="9">
        <v>10</v>
      </c>
      <c r="C189" s="14" t="s">
        <v>92</v>
      </c>
      <c r="D189" s="14"/>
      <c r="E189" s="14"/>
      <c r="F189" s="52">
        <f>'Sh_T Standard'!D57</f>
        <v>1274651</v>
      </c>
      <c r="G189" s="52">
        <f>'Sh_T Standard'!E57</f>
        <v>1722010</v>
      </c>
      <c r="H189" s="53">
        <f t="shared" si="3"/>
        <v>-447359</v>
      </c>
    </row>
    <row r="190" spans="2:8" ht="12.75">
      <c r="B190" s="353" t="s">
        <v>93</v>
      </c>
      <c r="C190" s="354"/>
      <c r="D190" s="93"/>
      <c r="E190" s="93"/>
      <c r="F190" s="51">
        <f>SUM(F180:F189)</f>
        <v>7171558</v>
      </c>
      <c r="G190" s="51">
        <f>SUM(G180:G189)</f>
        <v>5896907</v>
      </c>
      <c r="H190" s="55">
        <f t="shared" si="3"/>
        <v>1274651</v>
      </c>
    </row>
    <row r="191" spans="2:8" ht="12.75">
      <c r="B191" s="347" t="s">
        <v>94</v>
      </c>
      <c r="C191" s="348"/>
      <c r="D191" s="90"/>
      <c r="E191" s="90"/>
      <c r="F191" s="64">
        <f>F190+F178</f>
        <v>73080770</v>
      </c>
      <c r="G191" s="64">
        <f>G190+G178</f>
        <v>42405891</v>
      </c>
      <c r="H191" s="65">
        <f t="shared" si="3"/>
        <v>30674879</v>
      </c>
    </row>
    <row r="193" spans="6:7" ht="12.75">
      <c r="F193" s="82">
        <f>F117-F191</f>
        <v>0</v>
      </c>
      <c r="G193" s="82">
        <f>G117-G191</f>
        <v>0</v>
      </c>
    </row>
    <row r="194" ht="12.75">
      <c r="G194" s="21"/>
    </row>
  </sheetData>
  <sheetProtection selectLockedCells="1"/>
  <mergeCells count="27">
    <mergeCell ref="B2:C2"/>
    <mergeCell ref="B4:H4"/>
    <mergeCell ref="B120:H120"/>
    <mergeCell ref="B121:H121"/>
    <mergeCell ref="B50:C50"/>
    <mergeCell ref="B58:C58"/>
    <mergeCell ref="B5:C5"/>
    <mergeCell ref="B119:C119"/>
    <mergeCell ref="B3:H3"/>
    <mergeCell ref="B116:C116"/>
    <mergeCell ref="B7:C7"/>
    <mergeCell ref="B33:C33"/>
    <mergeCell ref="B68:C68"/>
    <mergeCell ref="B78:C78"/>
    <mergeCell ref="B122:C122"/>
    <mergeCell ref="B124:C124"/>
    <mergeCell ref="B95:C95"/>
    <mergeCell ref="B113:C113"/>
    <mergeCell ref="B117:C117"/>
    <mergeCell ref="B156:C156"/>
    <mergeCell ref="B132:C132"/>
    <mergeCell ref="B191:C191"/>
    <mergeCell ref="B168:C168"/>
    <mergeCell ref="B177:C177"/>
    <mergeCell ref="B178:C178"/>
    <mergeCell ref="B190:C190"/>
    <mergeCell ref="B159:C159"/>
  </mergeCells>
  <printOptions horizontalCentered="1" verticalCentered="1"/>
  <pageMargins left="0.15" right="0" top="0.38" bottom="0.44" header="0.17" footer="0.25"/>
  <pageSetup horizontalDpi="600" verticalDpi="600" orientation="portrait" paperSize="9" scale="91" r:id="rId1"/>
  <rowBreaks count="1" manualBreakCount="1">
    <brk id="117" max="7" man="1"/>
  </rowBreaks>
  <ignoredErrors>
    <ignoredError sqref="H139:H148 H74 H46:H48 H14 H17:H20 H28 H87:H91 H60:H63 H177 H149:H154 H5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H62"/>
  <sheetViews>
    <sheetView showGridLines="0" tabSelected="1" zoomScalePageLayoutView="0" workbookViewId="0" topLeftCell="A1">
      <selection activeCell="M36" sqref="M35:M36"/>
    </sheetView>
  </sheetViews>
  <sheetFormatPr defaultColWidth="9.140625" defaultRowHeight="12.75" outlineLevelRow="2"/>
  <cols>
    <col min="1" max="1" width="2.57421875" style="1" customWidth="1"/>
    <col min="2" max="2" width="4.140625" style="1" customWidth="1"/>
    <col min="3" max="3" width="49.7109375" style="1" customWidth="1"/>
    <col min="4" max="4" width="13.00390625" style="1" customWidth="1"/>
    <col min="5" max="5" width="14.00390625" style="1" customWidth="1"/>
    <col min="6" max="6" width="13.28125" style="1" hidden="1" customWidth="1"/>
    <col min="7" max="7" width="11.7109375" style="1" bestFit="1" customWidth="1"/>
    <col min="8" max="8" width="14.28125" style="1" customWidth="1"/>
    <col min="9" max="16384" width="9.140625" style="1" customWidth="1"/>
  </cols>
  <sheetData>
    <row r="2" spans="2:5" ht="18.75">
      <c r="B2" s="365" t="s">
        <v>525</v>
      </c>
      <c r="C2" s="365"/>
      <c r="D2" s="148"/>
      <c r="E2" s="148"/>
    </row>
    <row r="4" spans="2:6" ht="15.75">
      <c r="B4" s="372" t="s">
        <v>288</v>
      </c>
      <c r="C4" s="372"/>
      <c r="D4" s="372"/>
      <c r="E4" s="372"/>
      <c r="F4" s="94"/>
    </row>
    <row r="5" spans="2:6" ht="15.75">
      <c r="B5" s="364" t="s">
        <v>585</v>
      </c>
      <c r="C5" s="364"/>
      <c r="D5" s="364"/>
      <c r="E5" s="364"/>
      <c r="F5" s="94"/>
    </row>
    <row r="6" spans="2:6" ht="15.75">
      <c r="B6" s="361" t="s">
        <v>280</v>
      </c>
      <c r="C6" s="361"/>
      <c r="D6" s="94"/>
      <c r="E6" s="94"/>
      <c r="F6" s="94"/>
    </row>
    <row r="7" ht="17.25" customHeight="1"/>
    <row r="8" spans="2:6" ht="38.25">
      <c r="B8" s="22" t="s">
        <v>95</v>
      </c>
      <c r="C8" s="2" t="s">
        <v>96</v>
      </c>
      <c r="D8" s="2" t="s">
        <v>540</v>
      </c>
      <c r="E8" s="2" t="s">
        <v>541</v>
      </c>
      <c r="F8" s="3" t="s">
        <v>97</v>
      </c>
    </row>
    <row r="9" spans="2:6" ht="12.75">
      <c r="B9" s="19">
        <v>1</v>
      </c>
      <c r="C9" s="14" t="s">
        <v>98</v>
      </c>
      <c r="D9" s="52">
        <f>33000+27627209+7126346</f>
        <v>34786555</v>
      </c>
      <c r="E9" s="52">
        <v>47765712</v>
      </c>
      <c r="F9" s="23" t="s">
        <v>99</v>
      </c>
    </row>
    <row r="10" spans="2:7" ht="12.75">
      <c r="B10" s="19">
        <v>2</v>
      </c>
      <c r="C10" s="14" t="s">
        <v>100</v>
      </c>
      <c r="D10" s="56">
        <f>SUM(D11:D15)</f>
        <v>32000</v>
      </c>
      <c r="E10" s="56">
        <v>0</v>
      </c>
      <c r="F10" s="23" t="s">
        <v>101</v>
      </c>
      <c r="G10" s="20"/>
    </row>
    <row r="11" spans="2:6" ht="12.75" hidden="1" outlineLevel="1">
      <c r="B11" s="19"/>
      <c r="C11" s="24" t="s">
        <v>102</v>
      </c>
      <c r="D11" s="52">
        <v>0</v>
      </c>
      <c r="E11" s="52">
        <v>0</v>
      </c>
      <c r="F11" s="23" t="s">
        <v>103</v>
      </c>
    </row>
    <row r="12" spans="2:6" ht="12.75" hidden="1" outlineLevel="1">
      <c r="B12" s="19"/>
      <c r="C12" s="24" t="s">
        <v>104</v>
      </c>
      <c r="D12" s="52">
        <v>0</v>
      </c>
      <c r="E12" s="52">
        <v>0</v>
      </c>
      <c r="F12" s="23"/>
    </row>
    <row r="13" spans="2:6" ht="12.75" hidden="1" outlineLevel="1">
      <c r="B13" s="19"/>
      <c r="C13" s="24" t="s">
        <v>105</v>
      </c>
      <c r="D13" s="52">
        <v>32000</v>
      </c>
      <c r="E13" s="52">
        <v>0</v>
      </c>
      <c r="F13" s="23" t="s">
        <v>106</v>
      </c>
    </row>
    <row r="14" spans="2:6" ht="12.75" hidden="1" outlineLevel="1">
      <c r="B14" s="19"/>
      <c r="C14" s="24" t="s">
        <v>107</v>
      </c>
      <c r="D14" s="52">
        <v>0</v>
      </c>
      <c r="E14" s="52">
        <v>0</v>
      </c>
      <c r="F14" s="23" t="s">
        <v>108</v>
      </c>
    </row>
    <row r="15" spans="2:6" ht="12.75" hidden="1" outlineLevel="1">
      <c r="B15" s="19"/>
      <c r="C15" s="24" t="s">
        <v>109</v>
      </c>
      <c r="D15" s="52">
        <v>0</v>
      </c>
      <c r="E15" s="52">
        <v>0</v>
      </c>
      <c r="F15" s="23" t="s">
        <v>110</v>
      </c>
    </row>
    <row r="16" spans="2:6" ht="12.75" collapsed="1">
      <c r="B16" s="19">
        <v>3</v>
      </c>
      <c r="C16" s="14" t="s">
        <v>111</v>
      </c>
      <c r="D16" s="52">
        <v>0</v>
      </c>
      <c r="E16" s="52">
        <v>0</v>
      </c>
      <c r="F16" s="23" t="s">
        <v>112</v>
      </c>
    </row>
    <row r="17" spans="2:6" ht="25.5">
      <c r="B17" s="19">
        <v>4</v>
      </c>
      <c r="C17" s="25" t="s">
        <v>113</v>
      </c>
      <c r="D17" s="52">
        <v>0</v>
      </c>
      <c r="E17" s="52">
        <v>0</v>
      </c>
      <c r="F17" s="23" t="s">
        <v>114</v>
      </c>
    </row>
    <row r="18" spans="2:6" ht="12.75">
      <c r="B18" s="19">
        <v>5</v>
      </c>
      <c r="C18" s="14" t="s">
        <v>115</v>
      </c>
      <c r="D18" s="56">
        <f>D19+D22+D25</f>
        <v>-30858745</v>
      </c>
      <c r="E18" s="56">
        <f>E19+E22+E25</f>
        <v>-43777121</v>
      </c>
      <c r="F18" s="23" t="s">
        <v>116</v>
      </c>
    </row>
    <row r="19" spans="2:6" ht="12.75" hidden="1" outlineLevel="1">
      <c r="B19" s="19"/>
      <c r="C19" s="24" t="s">
        <v>117</v>
      </c>
      <c r="D19" s="56">
        <f>SUM(D20:D21)</f>
        <v>-4975</v>
      </c>
      <c r="E19" s="56">
        <f>SUM(E20:E21)</f>
        <v>-16366</v>
      </c>
      <c r="F19" s="23" t="s">
        <v>118</v>
      </c>
    </row>
    <row r="20" spans="2:6" ht="12.75" hidden="1" outlineLevel="2">
      <c r="B20" s="19"/>
      <c r="C20" s="26" t="s">
        <v>119</v>
      </c>
      <c r="D20" s="52">
        <v>-4975</v>
      </c>
      <c r="E20" s="52">
        <f>-6167-10199</f>
        <v>-16366</v>
      </c>
      <c r="F20" s="23"/>
    </row>
    <row r="21" spans="2:6" ht="12.75" hidden="1" outlineLevel="2">
      <c r="B21" s="19"/>
      <c r="C21" s="26" t="s">
        <v>120</v>
      </c>
      <c r="D21" s="52"/>
      <c r="E21" s="52"/>
      <c r="F21" s="23"/>
    </row>
    <row r="22" spans="2:8" ht="12.75" hidden="1" outlineLevel="1">
      <c r="B22" s="19"/>
      <c r="C22" s="24" t="s">
        <v>121</v>
      </c>
      <c r="D22" s="56">
        <f>SUM(D23:D24)</f>
        <v>-199309</v>
      </c>
      <c r="E22" s="56">
        <f>SUM(E23:E24)</f>
        <v>-294412</v>
      </c>
      <c r="F22" s="23" t="s">
        <v>122</v>
      </c>
      <c r="H22" s="15"/>
    </row>
    <row r="23" spans="2:8" ht="12.75" hidden="1" outlineLevel="2">
      <c r="B23" s="19"/>
      <c r="C23" s="26" t="s">
        <v>119</v>
      </c>
      <c r="D23" s="52">
        <v>-199309</v>
      </c>
      <c r="E23" s="52">
        <f>-2292-292120</f>
        <v>-294412</v>
      </c>
      <c r="F23" s="23"/>
      <c r="H23" s="15"/>
    </row>
    <row r="24" spans="2:8" ht="12.75" hidden="1" outlineLevel="2">
      <c r="B24" s="19"/>
      <c r="C24" s="26" t="s">
        <v>120</v>
      </c>
      <c r="D24" s="52"/>
      <c r="E24" s="52"/>
      <c r="F24" s="23"/>
      <c r="H24" s="15"/>
    </row>
    <row r="25" spans="2:8" ht="12.75" hidden="1" outlineLevel="1">
      <c r="B25" s="19"/>
      <c r="C25" s="24" t="s">
        <v>123</v>
      </c>
      <c r="D25" s="56">
        <f>SUM(D26:D27)</f>
        <v>-30654461</v>
      </c>
      <c r="E25" s="56">
        <f>SUM(E26:E27)</f>
        <v>-43466343</v>
      </c>
      <c r="F25" s="23" t="s">
        <v>124</v>
      </c>
      <c r="H25" s="15"/>
    </row>
    <row r="26" spans="2:8" ht="12.75" hidden="1" outlineLevel="2">
      <c r="B26" s="19"/>
      <c r="C26" s="26" t="s">
        <v>119</v>
      </c>
      <c r="D26" s="52">
        <f>-24346627-6307835-9330114+1</f>
        <v>-39984575</v>
      </c>
      <c r="E26" s="52">
        <f>-122249-16747791-26596302-1</f>
        <v>-43466343</v>
      </c>
      <c r="F26" s="23"/>
      <c r="H26" s="15"/>
    </row>
    <row r="27" spans="2:8" ht="12.75" hidden="1" outlineLevel="2">
      <c r="B27" s="19"/>
      <c r="C27" s="26" t="s">
        <v>120</v>
      </c>
      <c r="D27" s="52">
        <f>37172131-27842017</f>
        <v>9330114</v>
      </c>
      <c r="E27" s="52"/>
      <c r="F27" s="23"/>
      <c r="H27" s="15"/>
    </row>
    <row r="28" spans="2:8" ht="12.75" collapsed="1">
      <c r="B28" s="19">
        <v>6</v>
      </c>
      <c r="C28" s="27" t="s">
        <v>125</v>
      </c>
      <c r="D28" s="71">
        <f>SUM(D29:D34)</f>
        <v>-1095841</v>
      </c>
      <c r="E28" s="71">
        <f>SUM(E29:E34)</f>
        <v>-595975</v>
      </c>
      <c r="F28" s="28" t="s">
        <v>126</v>
      </c>
      <c r="H28" s="15"/>
    </row>
    <row r="29" spans="2:8" ht="12.75" hidden="1" outlineLevel="1">
      <c r="B29" s="19"/>
      <c r="C29" s="24" t="s">
        <v>127</v>
      </c>
      <c r="D29" s="52">
        <f>-5833-200000-115000-18767-244330-99514-167370</f>
        <v>-850814</v>
      </c>
      <c r="E29" s="52">
        <f>-87632-249508-43333-7800-3500-38317</f>
        <v>-430090</v>
      </c>
      <c r="F29" s="28" t="s">
        <v>128</v>
      </c>
      <c r="H29" s="15"/>
    </row>
    <row r="30" spans="2:8" ht="12.75" hidden="1" outlineLevel="1">
      <c r="B30" s="19"/>
      <c r="C30" s="24" t="s">
        <v>129</v>
      </c>
      <c r="D30" s="52">
        <f>-108120-20000-43333</f>
        <v>-171453</v>
      </c>
      <c r="E30" s="52">
        <f>-99120-100-66665</f>
        <v>-165885</v>
      </c>
      <c r="F30" s="28" t="s">
        <v>130</v>
      </c>
      <c r="H30" s="15"/>
    </row>
    <row r="31" spans="2:8" ht="12.75" hidden="1" outlineLevel="1">
      <c r="B31" s="19"/>
      <c r="C31" s="24" t="s">
        <v>131</v>
      </c>
      <c r="D31" s="52">
        <f>-73574</f>
        <v>-73574</v>
      </c>
      <c r="E31" s="52"/>
      <c r="F31" s="28" t="s">
        <v>132</v>
      </c>
      <c r="H31" s="15"/>
    </row>
    <row r="32" spans="2:8" ht="12.75" hidden="1" outlineLevel="1">
      <c r="B32" s="19"/>
      <c r="C32" s="24" t="s">
        <v>133</v>
      </c>
      <c r="D32" s="52"/>
      <c r="E32" s="52"/>
      <c r="F32" s="28" t="s">
        <v>134</v>
      </c>
      <c r="H32" s="15"/>
    </row>
    <row r="33" spans="2:8" ht="12.75" hidden="1" outlineLevel="1">
      <c r="B33" s="19"/>
      <c r="C33" s="24" t="s">
        <v>135</v>
      </c>
      <c r="D33" s="52"/>
      <c r="E33" s="52"/>
      <c r="F33" s="28" t="s">
        <v>136</v>
      </c>
      <c r="H33" s="15"/>
    </row>
    <row r="34" spans="2:8" ht="12.75" hidden="1" outlineLevel="1">
      <c r="B34" s="19"/>
      <c r="C34" s="24" t="s">
        <v>137</v>
      </c>
      <c r="D34" s="52"/>
      <c r="E34" s="52"/>
      <c r="F34" s="28"/>
      <c r="H34" s="15"/>
    </row>
    <row r="35" spans="2:8" ht="13.5" collapsed="1">
      <c r="B35" s="29">
        <v>7</v>
      </c>
      <c r="C35" s="14" t="s">
        <v>138</v>
      </c>
      <c r="D35" s="56">
        <f>SUM(D36:D38)</f>
        <v>-1339716</v>
      </c>
      <c r="E35" s="56">
        <f>SUM(E36:E38)</f>
        <v>-1257390</v>
      </c>
      <c r="F35" s="30"/>
      <c r="H35" s="15"/>
    </row>
    <row r="36" spans="2:8" ht="12.75">
      <c r="B36" s="19"/>
      <c r="C36" s="13" t="s">
        <v>139</v>
      </c>
      <c r="D36" s="52">
        <v>-1148000</v>
      </c>
      <c r="E36" s="52">
        <v>-1077455</v>
      </c>
      <c r="F36" s="23" t="s">
        <v>140</v>
      </c>
      <c r="H36" s="21"/>
    </row>
    <row r="37" spans="2:8" ht="12.75">
      <c r="B37" s="19"/>
      <c r="C37" s="13" t="s">
        <v>141</v>
      </c>
      <c r="D37" s="52">
        <f>-191716</f>
        <v>-191716</v>
      </c>
      <c r="E37" s="52">
        <v>-179935</v>
      </c>
      <c r="F37" s="23" t="s">
        <v>142</v>
      </c>
      <c r="H37" s="15"/>
    </row>
    <row r="38" spans="2:8" ht="12.75">
      <c r="B38" s="19"/>
      <c r="C38" s="13" t="s">
        <v>143</v>
      </c>
      <c r="D38" s="52"/>
      <c r="E38" s="52"/>
      <c r="F38" s="23" t="s">
        <v>144</v>
      </c>
      <c r="H38" s="15"/>
    </row>
    <row r="39" spans="2:8" ht="12.75">
      <c r="B39" s="19">
        <v>8</v>
      </c>
      <c r="C39" s="14" t="s">
        <v>145</v>
      </c>
      <c r="D39" s="56">
        <f>SUM(D40:D41)</f>
        <v>-134606</v>
      </c>
      <c r="E39" s="56">
        <f>SUM(E40:E41)</f>
        <v>-56308</v>
      </c>
      <c r="F39" s="23" t="s">
        <v>146</v>
      </c>
      <c r="H39" s="15"/>
    </row>
    <row r="40" spans="2:8" ht="12.75" hidden="1" outlineLevel="1">
      <c r="B40" s="19"/>
      <c r="C40" s="24" t="s">
        <v>147</v>
      </c>
      <c r="D40" s="52">
        <f>-23780-2353-98668-9805</f>
        <v>-134606</v>
      </c>
      <c r="E40" s="52">
        <v>-56308</v>
      </c>
      <c r="F40" s="23"/>
      <c r="H40" s="15"/>
    </row>
    <row r="41" spans="2:8" ht="12.75" hidden="1" outlineLevel="1">
      <c r="B41" s="19"/>
      <c r="C41" s="24" t="s">
        <v>148</v>
      </c>
      <c r="D41" s="52">
        <v>0</v>
      </c>
      <c r="E41" s="52">
        <v>0</v>
      </c>
      <c r="F41" s="23"/>
      <c r="H41" s="15"/>
    </row>
    <row r="42" spans="2:8" ht="13.5" collapsed="1">
      <c r="B42" s="359" t="s">
        <v>149</v>
      </c>
      <c r="C42" s="360"/>
      <c r="D42" s="325">
        <f>D9+D10+D16+D17+D18+D28+D35+D39</f>
        <v>1389647</v>
      </c>
      <c r="E42" s="75">
        <f>E9+E16+E17+E18+E28+E35+E39</f>
        <v>2078918</v>
      </c>
      <c r="F42" s="77"/>
      <c r="H42" s="15"/>
    </row>
    <row r="43" spans="2:8" ht="12.75">
      <c r="B43" s="19">
        <v>1</v>
      </c>
      <c r="C43" s="14" t="s">
        <v>150</v>
      </c>
      <c r="D43" s="52">
        <v>0</v>
      </c>
      <c r="E43" s="52">
        <v>0</v>
      </c>
      <c r="F43" s="23"/>
      <c r="H43" s="15"/>
    </row>
    <row r="44" spans="2:8" ht="12.75">
      <c r="B44" s="19">
        <v>2</v>
      </c>
      <c r="C44" s="14" t="s">
        <v>151</v>
      </c>
      <c r="D44" s="52">
        <v>0</v>
      </c>
      <c r="E44" s="52">
        <v>0</v>
      </c>
      <c r="F44" s="23"/>
      <c r="H44" s="15"/>
    </row>
    <row r="45" spans="2:8" ht="12.75">
      <c r="B45" s="19">
        <v>3</v>
      </c>
      <c r="C45" s="14" t="s">
        <v>152</v>
      </c>
      <c r="D45" s="52">
        <f>D46+D47+D50+D53</f>
        <v>34807</v>
      </c>
      <c r="E45" s="52">
        <f>E46+E47+E50+E53</f>
        <v>-165573</v>
      </c>
      <c r="F45" s="23"/>
      <c r="H45" s="15"/>
    </row>
    <row r="46" spans="2:8" ht="25.5">
      <c r="B46" s="12"/>
      <c r="C46" s="16" t="s">
        <v>153</v>
      </c>
      <c r="D46" s="52">
        <v>0</v>
      </c>
      <c r="E46" s="52">
        <v>0</v>
      </c>
      <c r="F46" s="23"/>
      <c r="H46" s="15"/>
    </row>
    <row r="47" spans="2:8" ht="12.75">
      <c r="B47" s="12"/>
      <c r="C47" s="13" t="s">
        <v>154</v>
      </c>
      <c r="D47" s="56">
        <f>SUM(D48:D49)</f>
        <v>-368819</v>
      </c>
      <c r="E47" s="56">
        <f>SUM(E48:E49)</f>
        <v>-262722</v>
      </c>
      <c r="F47" s="23" t="s">
        <v>155</v>
      </c>
      <c r="H47" s="15"/>
    </row>
    <row r="48" spans="2:8" ht="12.75" hidden="1" outlineLevel="1">
      <c r="B48" s="12"/>
      <c r="C48" s="24" t="s">
        <v>156</v>
      </c>
      <c r="D48" s="52">
        <f>-100441-268378</f>
        <v>-368819</v>
      </c>
      <c r="E48" s="52">
        <v>-262722</v>
      </c>
      <c r="F48" s="23" t="s">
        <v>157</v>
      </c>
      <c r="H48" s="15"/>
    </row>
    <row r="49" spans="2:8" ht="12.75" hidden="1" outlineLevel="1">
      <c r="B49" s="12"/>
      <c r="C49" s="24" t="s">
        <v>158</v>
      </c>
      <c r="D49" s="52">
        <v>0</v>
      </c>
      <c r="E49" s="52">
        <v>0</v>
      </c>
      <c r="F49" s="23" t="s">
        <v>159</v>
      </c>
      <c r="H49" s="15"/>
    </row>
    <row r="50" spans="2:8" ht="12.75" collapsed="1">
      <c r="B50" s="12"/>
      <c r="C50" s="13" t="s">
        <v>160</v>
      </c>
      <c r="D50" s="56">
        <f>SUM(D51:D52)</f>
        <v>78822</v>
      </c>
      <c r="E50" s="56">
        <f>SUM(E51:E52)</f>
        <v>96049</v>
      </c>
      <c r="F50" s="23" t="s">
        <v>161</v>
      </c>
      <c r="H50" s="15"/>
    </row>
    <row r="51" spans="2:8" ht="12.75" hidden="1" outlineLevel="1">
      <c r="B51" s="12"/>
      <c r="C51" s="24" t="s">
        <v>162</v>
      </c>
      <c r="D51" s="52">
        <v>-12698</v>
      </c>
      <c r="E51" s="52">
        <v>-62013</v>
      </c>
      <c r="F51" s="23"/>
      <c r="H51" s="15"/>
    </row>
    <row r="52" spans="2:8" ht="12.75" hidden="1" outlineLevel="1">
      <c r="B52" s="12"/>
      <c r="C52" s="24" t="s">
        <v>104</v>
      </c>
      <c r="D52" s="52">
        <f>91520</f>
        <v>91520</v>
      </c>
      <c r="E52" s="52">
        <v>158062</v>
      </c>
      <c r="F52" s="23"/>
      <c r="H52" s="15"/>
    </row>
    <row r="53" spans="2:8" ht="12.75" collapsed="1">
      <c r="B53" s="12"/>
      <c r="C53" s="13" t="s">
        <v>163</v>
      </c>
      <c r="D53" s="52">
        <f>325353-549</f>
        <v>324804</v>
      </c>
      <c r="E53" s="52">
        <f>-76+1176</f>
        <v>1100</v>
      </c>
      <c r="F53" s="23" t="s">
        <v>164</v>
      </c>
      <c r="H53" s="15"/>
    </row>
    <row r="54" spans="2:8" ht="13.5">
      <c r="B54" s="368" t="s">
        <v>165</v>
      </c>
      <c r="C54" s="369"/>
      <c r="D54" s="72">
        <f>D43+D44+D45</f>
        <v>34807</v>
      </c>
      <c r="E54" s="72">
        <f>E43+E44+E45</f>
        <v>-165573</v>
      </c>
      <c r="F54" s="31"/>
      <c r="H54" s="15"/>
    </row>
    <row r="55" spans="2:8" ht="13.5">
      <c r="B55" s="370" t="s">
        <v>166</v>
      </c>
      <c r="C55" s="371"/>
      <c r="D55" s="73">
        <f>D42+D54</f>
        <v>1424454</v>
      </c>
      <c r="E55" s="73">
        <f>E42+E54</f>
        <v>1913345</v>
      </c>
      <c r="F55" s="32"/>
      <c r="H55" s="15"/>
    </row>
    <row r="56" spans="2:8" ht="12.75">
      <c r="B56" s="12"/>
      <c r="C56" s="14" t="s">
        <v>167</v>
      </c>
      <c r="D56" s="52">
        <v>149803</v>
      </c>
      <c r="E56" s="52">
        <v>191335</v>
      </c>
      <c r="F56" s="23" t="s">
        <v>168</v>
      </c>
      <c r="H56" s="15"/>
    </row>
    <row r="57" spans="2:8" ht="13.5">
      <c r="B57" s="366" t="s">
        <v>169</v>
      </c>
      <c r="C57" s="367"/>
      <c r="D57" s="304">
        <f>D55-D56</f>
        <v>1274651</v>
      </c>
      <c r="E57" s="304">
        <f>E55-E56</f>
        <v>1722010</v>
      </c>
      <c r="F57" s="32"/>
      <c r="H57" s="15"/>
    </row>
    <row r="58" spans="2:8" ht="12.75">
      <c r="B58" s="12"/>
      <c r="C58" s="14" t="s">
        <v>170</v>
      </c>
      <c r="D58" s="52">
        <v>0</v>
      </c>
      <c r="E58" s="52">
        <v>0</v>
      </c>
      <c r="F58" s="23"/>
      <c r="H58" s="15"/>
    </row>
    <row r="59" spans="2:8" ht="12.75">
      <c r="B59" s="33"/>
      <c r="C59" s="34" t="s">
        <v>171</v>
      </c>
      <c r="D59" s="74">
        <v>0</v>
      </c>
      <c r="E59" s="74">
        <v>0</v>
      </c>
      <c r="F59" s="35"/>
      <c r="H59" s="15"/>
    </row>
    <row r="60" ht="12.75">
      <c r="H60" s="15"/>
    </row>
    <row r="62" ht="12.75">
      <c r="D62" s="82"/>
    </row>
  </sheetData>
  <sheetProtection/>
  <mergeCells count="8">
    <mergeCell ref="B2:C2"/>
    <mergeCell ref="B57:C57"/>
    <mergeCell ref="B42:C42"/>
    <mergeCell ref="B54:C54"/>
    <mergeCell ref="B55:C55"/>
    <mergeCell ref="B6:C6"/>
    <mergeCell ref="B4:E4"/>
    <mergeCell ref="B5:E5"/>
  </mergeCells>
  <printOptions horizontalCentered="1"/>
  <pageMargins left="0.23" right="0.39" top="0.71" bottom="0" header="0.29" footer="0.5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4"/>
  <sheetViews>
    <sheetView showGridLines="0" zoomScale="130" zoomScaleNormal="130" zoomScalePageLayoutView="0" workbookViewId="0" topLeftCell="A4">
      <selection activeCell="I12" sqref="I12"/>
    </sheetView>
  </sheetViews>
  <sheetFormatPr defaultColWidth="9.140625" defaultRowHeight="12.75" outlineLevelRow="1"/>
  <cols>
    <col min="1" max="1" width="2.7109375" style="39" customWidth="1"/>
    <col min="2" max="2" width="2.8515625" style="39" bestFit="1" customWidth="1"/>
    <col min="3" max="3" width="41.8515625" style="39" customWidth="1"/>
    <col min="4" max="4" width="8.421875" style="39" customWidth="1"/>
    <col min="5" max="5" width="9.140625" style="39" customWidth="1"/>
    <col min="6" max="6" width="8.140625" style="155" customWidth="1"/>
    <col min="7" max="7" width="8.00390625" style="155" customWidth="1"/>
    <col min="8" max="8" width="3.57421875" style="39" customWidth="1"/>
    <col min="9" max="9" width="6.7109375" style="39" customWidth="1"/>
    <col min="10" max="10" width="6.57421875" style="39" customWidth="1"/>
    <col min="11" max="16384" width="9.140625" style="39" customWidth="1"/>
  </cols>
  <sheetData>
    <row r="2" spans="1:2" ht="18.75">
      <c r="A2" s="158" t="s">
        <v>521</v>
      </c>
      <c r="B2" s="148"/>
    </row>
    <row r="7" spans="1:8" ht="15.75">
      <c r="A7" s="372" t="s">
        <v>289</v>
      </c>
      <c r="B7" s="372"/>
      <c r="C7" s="372"/>
      <c r="D7" s="372"/>
      <c r="E7" s="372"/>
      <c r="F7" s="372"/>
      <c r="G7" s="372"/>
      <c r="H7" s="372"/>
    </row>
    <row r="8" spans="2:10" ht="23.25" customHeight="1">
      <c r="B8" s="364" t="s">
        <v>585</v>
      </c>
      <c r="C8" s="364"/>
      <c r="D8" s="364"/>
      <c r="E8" s="364"/>
      <c r="F8" s="364"/>
      <c r="G8" s="364"/>
      <c r="H8" s="67"/>
      <c r="I8" s="67"/>
      <c r="J8" s="67"/>
    </row>
    <row r="10" spans="2:7" ht="11.25">
      <c r="B10" s="37" t="s">
        <v>95</v>
      </c>
      <c r="C10" s="38" t="s">
        <v>96</v>
      </c>
      <c r="D10" s="375">
        <v>2013</v>
      </c>
      <c r="E10" s="376"/>
      <c r="F10" s="373" t="s">
        <v>581</v>
      </c>
      <c r="G10" s="374"/>
    </row>
    <row r="11" spans="2:7" ht="11.25">
      <c r="B11" s="40"/>
      <c r="C11" s="41" t="s">
        <v>245</v>
      </c>
      <c r="D11" s="41"/>
      <c r="E11" s="331"/>
      <c r="F11" s="326"/>
      <c r="G11" s="150"/>
    </row>
    <row r="12" spans="2:7" ht="11.25" customHeight="1" outlineLevel="1">
      <c r="B12" s="40"/>
      <c r="C12" s="42" t="s">
        <v>246</v>
      </c>
      <c r="D12" s="306">
        <v>1424454</v>
      </c>
      <c r="E12" s="150"/>
      <c r="F12" s="327">
        <v>1913345</v>
      </c>
      <c r="G12" s="150"/>
    </row>
    <row r="13" spans="2:7" ht="11.25" customHeight="1" outlineLevel="1">
      <c r="B13" s="40"/>
      <c r="C13" s="42" t="s">
        <v>247</v>
      </c>
      <c r="D13" s="306">
        <f>SUM(D14:D17)</f>
        <v>503425</v>
      </c>
      <c r="E13" s="150"/>
      <c r="F13" s="327">
        <f>SUM(F14:F17)</f>
        <v>319030</v>
      </c>
      <c r="G13" s="150"/>
    </row>
    <row r="14" spans="2:7" ht="11.25" customHeight="1" outlineLevel="1">
      <c r="B14" s="40"/>
      <c r="C14" s="43" t="s">
        <v>248</v>
      </c>
      <c r="D14" s="305">
        <v>134606</v>
      </c>
      <c r="E14" s="150"/>
      <c r="F14" s="326">
        <v>56308</v>
      </c>
      <c r="G14" s="150"/>
    </row>
    <row r="15" spans="2:7" ht="11.25" customHeight="1" outlineLevel="1">
      <c r="B15" s="40"/>
      <c r="C15" s="43" t="s">
        <v>249</v>
      </c>
      <c r="D15" s="305"/>
      <c r="E15" s="150"/>
      <c r="F15" s="326"/>
      <c r="G15" s="150"/>
    </row>
    <row r="16" spans="2:7" ht="11.25" customHeight="1" outlineLevel="1">
      <c r="B16" s="40"/>
      <c r="C16" s="43" t="s">
        <v>250</v>
      </c>
      <c r="D16" s="305"/>
      <c r="E16" s="150"/>
      <c r="F16" s="326"/>
      <c r="G16" s="150"/>
    </row>
    <row r="17" spans="2:7" ht="11.25">
      <c r="B17" s="40"/>
      <c r="C17" s="43" t="s">
        <v>251</v>
      </c>
      <c r="D17" s="305">
        <v>368819</v>
      </c>
      <c r="E17" s="150"/>
      <c r="F17" s="326">
        <v>262722</v>
      </c>
      <c r="G17" s="150"/>
    </row>
    <row r="18" spans="2:7" ht="11.25">
      <c r="B18" s="40"/>
      <c r="C18" s="43"/>
      <c r="D18" s="306">
        <f>SUM(D12,D13)</f>
        <v>1927879</v>
      </c>
      <c r="E18" s="150"/>
      <c r="F18" s="327">
        <f>SUM(F12,F13)</f>
        <v>2232375</v>
      </c>
      <c r="G18" s="150"/>
    </row>
    <row r="19" spans="2:7" ht="33.75" customHeight="1">
      <c r="B19" s="40"/>
      <c r="C19" s="78" t="s">
        <v>286</v>
      </c>
      <c r="D19" s="305">
        <f>-13485283+9343514</f>
        <v>-4141769</v>
      </c>
      <c r="E19" s="150"/>
      <c r="F19" s="326">
        <f>-9343514+8045430</f>
        <v>-1298084</v>
      </c>
      <c r="G19" s="150"/>
    </row>
    <row r="20" spans="2:7" ht="11.25" customHeight="1" outlineLevel="1">
      <c r="B20" s="40"/>
      <c r="C20" s="42" t="s">
        <v>252</v>
      </c>
      <c r="D20" s="149">
        <f>-37172131+27842017-1</f>
        <v>-9330115</v>
      </c>
      <c r="E20" s="150"/>
      <c r="F20" s="328">
        <f>-27842017+26240466</f>
        <v>-1601551</v>
      </c>
      <c r="G20" s="150"/>
    </row>
    <row r="21" spans="2:7" ht="11.25" customHeight="1" outlineLevel="1">
      <c r="B21" s="40"/>
      <c r="C21" s="42" t="s">
        <v>253</v>
      </c>
      <c r="D21" s="151">
        <f>SUM(D22:D25)</f>
        <v>-2590239</v>
      </c>
      <c r="E21" s="150"/>
      <c r="F21" s="329">
        <f>SUM(F22:F25)</f>
        <v>1173069</v>
      </c>
      <c r="G21" s="150"/>
    </row>
    <row r="22" spans="2:7" ht="11.25" customHeight="1" outlineLevel="1">
      <c r="B22" s="40"/>
      <c r="C22" s="43" t="s">
        <v>254</v>
      </c>
      <c r="D22" s="149">
        <f>11944167-13772245</f>
        <v>-1828078</v>
      </c>
      <c r="E22" s="150"/>
      <c r="F22" s="328">
        <f>13772245-13428095</f>
        <v>344150</v>
      </c>
      <c r="G22" s="150"/>
    </row>
    <row r="23" spans="2:7" ht="11.25" customHeight="1" outlineLevel="1">
      <c r="B23" s="40"/>
      <c r="C23" s="43" t="s">
        <v>255</v>
      </c>
      <c r="D23" s="149">
        <f>-864665+98008</f>
        <v>-766657</v>
      </c>
      <c r="E23" s="150"/>
      <c r="F23" s="328">
        <f>864665-43085</f>
        <v>821580</v>
      </c>
      <c r="G23" s="150"/>
    </row>
    <row r="24" spans="2:7" ht="11.25">
      <c r="B24" s="40"/>
      <c r="C24" s="43" t="s">
        <v>256</v>
      </c>
      <c r="D24" s="149">
        <f>37265-32769</f>
        <v>4496</v>
      </c>
      <c r="E24" s="150"/>
      <c r="F24" s="328">
        <f>7339</f>
        <v>7339</v>
      </c>
      <c r="G24" s="150"/>
    </row>
    <row r="25" spans="2:7" ht="11.25">
      <c r="B25" s="40"/>
      <c r="C25" s="43" t="s">
        <v>257</v>
      </c>
      <c r="D25" s="149"/>
      <c r="E25" s="150"/>
      <c r="F25" s="328"/>
      <c r="G25" s="150"/>
    </row>
    <row r="26" spans="2:8" ht="11.25">
      <c r="B26" s="40"/>
      <c r="C26" s="42" t="s">
        <v>258</v>
      </c>
      <c r="D26" s="151">
        <f>SUM(D18,D19,D20,D21)</f>
        <v>-14134244</v>
      </c>
      <c r="E26" s="150"/>
      <c r="F26" s="329">
        <f>SUM(F18,F19,F20,F21)</f>
        <v>505809</v>
      </c>
      <c r="G26" s="150"/>
      <c r="H26" s="44"/>
    </row>
    <row r="27" spans="2:8" ht="11.25">
      <c r="B27" s="40"/>
      <c r="C27" s="42" t="s">
        <v>259</v>
      </c>
      <c r="D27" s="149">
        <f>-368819</f>
        <v>-368819</v>
      </c>
      <c r="E27" s="150"/>
      <c r="F27" s="328">
        <v>-262722</v>
      </c>
      <c r="G27" s="150"/>
      <c r="H27" s="44"/>
    </row>
    <row r="28" spans="2:8" ht="11.25">
      <c r="B28" s="40"/>
      <c r="C28" s="42" t="s">
        <v>260</v>
      </c>
      <c r="D28" s="151">
        <v>-164587</v>
      </c>
      <c r="E28" s="150"/>
      <c r="F28" s="329">
        <v>-144989</v>
      </c>
      <c r="G28" s="150"/>
      <c r="H28" s="44"/>
    </row>
    <row r="29" spans="2:8" ht="11.25">
      <c r="B29" s="40"/>
      <c r="C29" s="45" t="s">
        <v>261</v>
      </c>
      <c r="D29" s="149"/>
      <c r="E29" s="152">
        <f>SUM(D26:D28)</f>
        <v>-14667650</v>
      </c>
      <c r="F29" s="328"/>
      <c r="G29" s="152">
        <f>SUM(F26:F28)</f>
        <v>98098</v>
      </c>
      <c r="H29" s="44"/>
    </row>
    <row r="30" spans="2:8" ht="11.25">
      <c r="B30" s="40"/>
      <c r="C30" s="45"/>
      <c r="D30" s="149"/>
      <c r="E30" s="150"/>
      <c r="F30" s="328"/>
      <c r="G30" s="150"/>
      <c r="H30" s="44"/>
    </row>
    <row r="31" spans="2:8" ht="11.25">
      <c r="B31" s="40"/>
      <c r="C31" s="41" t="s">
        <v>262</v>
      </c>
      <c r="D31" s="149"/>
      <c r="E31" s="150"/>
      <c r="F31" s="328"/>
      <c r="G31" s="150"/>
      <c r="H31" s="44"/>
    </row>
    <row r="32" spans="2:8" ht="11.25">
      <c r="B32" s="40"/>
      <c r="C32" s="42" t="s">
        <v>263</v>
      </c>
      <c r="D32" s="149"/>
      <c r="E32" s="150"/>
      <c r="F32" s="328"/>
      <c r="G32" s="150"/>
      <c r="H32" s="44"/>
    </row>
    <row r="33" spans="2:8" ht="11.25">
      <c r="B33" s="40"/>
      <c r="C33" s="42" t="s">
        <v>264</v>
      </c>
      <c r="D33" s="149">
        <f>-32000-5080-17483750</f>
        <v>-17520830</v>
      </c>
      <c r="E33" s="150"/>
      <c r="F33" s="328">
        <f>-3303677-970444</f>
        <v>-4274121</v>
      </c>
      <c r="G33" s="150"/>
      <c r="H33" s="44"/>
    </row>
    <row r="34" spans="2:8" ht="11.25">
      <c r="B34" s="40"/>
      <c r="C34" s="42" t="s">
        <v>265</v>
      </c>
      <c r="D34" s="149"/>
      <c r="E34" s="150"/>
      <c r="F34" s="328"/>
      <c r="G34" s="150"/>
      <c r="H34" s="44"/>
    </row>
    <row r="35" spans="2:8" ht="11.25">
      <c r="B35" s="40"/>
      <c r="C35" s="42" t="s">
        <v>266</v>
      </c>
      <c r="D35" s="149"/>
      <c r="E35" s="150"/>
      <c r="F35" s="328"/>
      <c r="G35" s="150"/>
      <c r="H35" s="44"/>
    </row>
    <row r="36" spans="2:7" ht="11.25">
      <c r="B36" s="40"/>
      <c r="C36" s="42" t="s">
        <v>267</v>
      </c>
      <c r="D36" s="149"/>
      <c r="E36" s="150"/>
      <c r="F36" s="328"/>
      <c r="G36" s="150"/>
    </row>
    <row r="37" spans="2:8" ht="11.25">
      <c r="B37" s="40"/>
      <c r="C37" s="45" t="s">
        <v>268</v>
      </c>
      <c r="D37" s="149"/>
      <c r="E37" s="152">
        <f>SUM(D32:D36)</f>
        <v>-17520830</v>
      </c>
      <c r="F37" s="328"/>
      <c r="G37" s="152">
        <f>SUM(F32:F36)</f>
        <v>-4274121</v>
      </c>
      <c r="H37" s="44"/>
    </row>
    <row r="38" spans="2:7" ht="11.25">
      <c r="B38" s="40"/>
      <c r="C38" s="42"/>
      <c r="D38" s="149"/>
      <c r="E38" s="150"/>
      <c r="F38" s="328"/>
      <c r="G38" s="150"/>
    </row>
    <row r="39" spans="2:7" ht="11.25">
      <c r="B39" s="40"/>
      <c r="C39" s="45" t="s">
        <v>269</v>
      </c>
      <c r="D39" s="149"/>
      <c r="E39" s="150"/>
      <c r="F39" s="328"/>
      <c r="G39" s="150"/>
    </row>
    <row r="40" spans="2:7" ht="11.25">
      <c r="B40" s="40"/>
      <c r="C40" s="46" t="s">
        <v>270</v>
      </c>
      <c r="D40" s="149"/>
      <c r="E40" s="150"/>
      <c r="F40" s="328">
        <v>3400000</v>
      </c>
      <c r="G40" s="150"/>
    </row>
    <row r="41" spans="2:7" ht="11.25">
      <c r="B41" s="40"/>
      <c r="C41" s="46" t="s">
        <v>271</v>
      </c>
      <c r="D41" s="149">
        <f>36849509</f>
        <v>36849509</v>
      </c>
      <c r="E41" s="150"/>
      <c r="F41" s="328">
        <f>21717970-21312767</f>
        <v>405203</v>
      </c>
      <c r="G41" s="150"/>
    </row>
    <row r="42" spans="2:7" ht="11.25">
      <c r="B42" s="40"/>
      <c r="C42" s="46" t="s">
        <v>272</v>
      </c>
      <c r="D42" s="149"/>
      <c r="E42" s="150"/>
      <c r="F42" s="328"/>
      <c r="G42" s="150"/>
    </row>
    <row r="43" spans="2:7" ht="11.25">
      <c r="B43" s="40"/>
      <c r="C43" s="46" t="s">
        <v>273</v>
      </c>
      <c r="D43" s="149">
        <f>-21717970+16873712</f>
        <v>-4844258</v>
      </c>
      <c r="E43" s="150"/>
      <c r="F43" s="328"/>
      <c r="G43" s="150"/>
    </row>
    <row r="44" spans="2:7" ht="11.25">
      <c r="B44" s="40"/>
      <c r="C44" s="46" t="s">
        <v>274</v>
      </c>
      <c r="D44" s="149"/>
      <c r="E44" s="150"/>
      <c r="F44" s="328"/>
      <c r="G44" s="150"/>
    </row>
    <row r="45" spans="2:8" ht="11.25">
      <c r="B45" s="40"/>
      <c r="C45" s="47" t="s">
        <v>275</v>
      </c>
      <c r="D45" s="149"/>
      <c r="E45" s="152">
        <f>SUM(D40:D44)</f>
        <v>32005251</v>
      </c>
      <c r="F45" s="328"/>
      <c r="G45" s="152">
        <f>SUM(F40:F44)</f>
        <v>3805203</v>
      </c>
      <c r="H45" s="44"/>
    </row>
    <row r="46" spans="2:7" ht="11.25">
      <c r="B46" s="40"/>
      <c r="C46" s="42"/>
      <c r="D46" s="149"/>
      <c r="E46" s="150"/>
      <c r="F46" s="328"/>
      <c r="G46" s="150"/>
    </row>
    <row r="47" spans="2:8" ht="11.25">
      <c r="B47" s="40"/>
      <c r="C47" s="42"/>
      <c r="D47" s="149"/>
      <c r="E47" s="152"/>
      <c r="F47" s="328"/>
      <c r="G47" s="152"/>
      <c r="H47" s="44"/>
    </row>
    <row r="48" spans="2:7" ht="11.25">
      <c r="B48" s="40"/>
      <c r="C48" s="47" t="s">
        <v>276</v>
      </c>
      <c r="D48" s="149">
        <f>E29+E37+E45</f>
        <v>-183229</v>
      </c>
      <c r="E48" s="150"/>
      <c r="F48" s="328">
        <f>G29+G37+G45</f>
        <v>-370820</v>
      </c>
      <c r="G48" s="150"/>
    </row>
    <row r="49" spans="2:7" ht="11.25">
      <c r="B49" s="40"/>
      <c r="C49" s="47" t="s">
        <v>277</v>
      </c>
      <c r="D49" s="151">
        <v>359997</v>
      </c>
      <c r="E49" s="150"/>
      <c r="F49" s="329">
        <v>730817</v>
      </c>
      <c r="G49" s="150"/>
    </row>
    <row r="50" spans="2:7" ht="11.25">
      <c r="B50" s="48"/>
      <c r="C50" s="49" t="s">
        <v>278</v>
      </c>
      <c r="D50" s="153">
        <f>D48+D49</f>
        <v>176768</v>
      </c>
      <c r="E50" s="154"/>
      <c r="F50" s="330">
        <f>F48+F49</f>
        <v>359997</v>
      </c>
      <c r="G50" s="154"/>
    </row>
    <row r="52" ht="11.25">
      <c r="G52" s="156"/>
    </row>
    <row r="53" ht="11.25">
      <c r="G53" s="156"/>
    </row>
    <row r="54" ht="11.25">
      <c r="D54" s="155"/>
    </row>
  </sheetData>
  <sheetProtection/>
  <mergeCells count="4">
    <mergeCell ref="F10:G10"/>
    <mergeCell ref="A7:H7"/>
    <mergeCell ref="B8:G8"/>
    <mergeCell ref="D10:E10"/>
  </mergeCells>
  <printOptions horizontalCentered="1"/>
  <pageMargins left="0.22" right="0.22" top="0.6" bottom="0.34" header="0.3" footer="0.2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27"/>
  <sheetViews>
    <sheetView showGridLines="0" zoomScale="115" zoomScaleNormal="115" zoomScalePageLayoutView="0" workbookViewId="0" topLeftCell="A1">
      <selection activeCell="H23" sqref="H23"/>
    </sheetView>
  </sheetViews>
  <sheetFormatPr defaultColWidth="9.140625" defaultRowHeight="12.75"/>
  <cols>
    <col min="1" max="1" width="7.28125" style="1" customWidth="1"/>
    <col min="2" max="2" width="23.28125" style="113" customWidth="1"/>
    <col min="3" max="3" width="9.140625" style="95" bestFit="1" customWidth="1"/>
    <col min="4" max="4" width="7.8515625" style="95" customWidth="1"/>
    <col min="5" max="5" width="8.00390625" style="95" customWidth="1"/>
    <col min="6" max="6" width="9.421875" style="95" customWidth="1"/>
    <col min="7" max="7" width="10.00390625" style="95" customWidth="1"/>
    <col min="8" max="8" width="9.140625" style="96" bestFit="1" customWidth="1"/>
    <col min="9" max="9" width="8.00390625" style="96" bestFit="1" customWidth="1"/>
    <col min="10" max="10" width="10.421875" style="95" customWidth="1"/>
    <col min="11" max="11" width="8.57421875" style="96" customWidth="1"/>
    <col min="12" max="12" width="4.00390625" style="1" customWidth="1"/>
    <col min="13" max="16384" width="9.140625" style="1" customWidth="1"/>
  </cols>
  <sheetData>
    <row r="1" ht="7.5" customHeight="1"/>
    <row r="2" spans="2:6" ht="15.75">
      <c r="B2" s="380" t="s">
        <v>521</v>
      </c>
      <c r="C2" s="380"/>
      <c r="D2" s="1"/>
      <c r="E2" s="1"/>
      <c r="F2" s="1"/>
    </row>
    <row r="3" spans="2:6" ht="12.75">
      <c r="B3" s="1"/>
      <c r="C3" s="1"/>
      <c r="D3" s="1"/>
      <c r="E3" s="1"/>
      <c r="F3" s="1"/>
    </row>
    <row r="4" spans="2:11" ht="15.75">
      <c r="B4" s="372" t="s">
        <v>290</v>
      </c>
      <c r="C4" s="372"/>
      <c r="D4" s="372"/>
      <c r="E4" s="372"/>
      <c r="F4" s="372"/>
      <c r="G4" s="372"/>
      <c r="H4" s="372"/>
      <c r="I4" s="372"/>
      <c r="J4" s="372"/>
      <c r="K4" s="372"/>
    </row>
    <row r="5" spans="2:11" ht="12.75">
      <c r="B5" s="364" t="s">
        <v>585</v>
      </c>
      <c r="C5" s="364"/>
      <c r="D5" s="364"/>
      <c r="E5" s="364"/>
      <c r="F5" s="364"/>
      <c r="G5" s="364"/>
      <c r="H5" s="364"/>
      <c r="I5" s="364"/>
      <c r="J5" s="364"/>
      <c r="K5" s="364"/>
    </row>
    <row r="6" spans="2:6" ht="15.75">
      <c r="B6" s="361" t="s">
        <v>280</v>
      </c>
      <c r="C6" s="361"/>
      <c r="D6" s="94"/>
      <c r="E6" s="94"/>
      <c r="F6" s="94"/>
    </row>
    <row r="8" spans="2:11" ht="21.75" customHeight="1">
      <c r="B8" s="377" t="s">
        <v>291</v>
      </c>
      <c r="C8" s="378"/>
      <c r="D8" s="378"/>
      <c r="E8" s="378"/>
      <c r="F8" s="378"/>
      <c r="G8" s="378"/>
      <c r="H8" s="378"/>
      <c r="I8" s="378"/>
      <c r="J8" s="378"/>
      <c r="K8" s="379"/>
    </row>
    <row r="9" spans="2:11" s="101" customFormat="1" ht="72">
      <c r="B9" s="97" t="s">
        <v>292</v>
      </c>
      <c r="C9" s="98" t="s">
        <v>293</v>
      </c>
      <c r="D9" s="98" t="s">
        <v>294</v>
      </c>
      <c r="E9" s="98" t="s">
        <v>295</v>
      </c>
      <c r="F9" s="98" t="s">
        <v>597</v>
      </c>
      <c r="G9" s="98" t="s">
        <v>296</v>
      </c>
      <c r="H9" s="99" t="s">
        <v>297</v>
      </c>
      <c r="I9" s="99" t="s">
        <v>298</v>
      </c>
      <c r="J9" s="98" t="s">
        <v>299</v>
      </c>
      <c r="K9" s="100" t="s">
        <v>298</v>
      </c>
    </row>
    <row r="10" spans="2:11" ht="12.75">
      <c r="B10" s="102" t="s">
        <v>526</v>
      </c>
      <c r="C10" s="103">
        <v>100000</v>
      </c>
      <c r="D10" s="103">
        <v>0</v>
      </c>
      <c r="E10" s="103">
        <v>0</v>
      </c>
      <c r="F10" s="103">
        <v>0</v>
      </c>
      <c r="G10" s="103">
        <v>0</v>
      </c>
      <c r="H10" s="104">
        <v>674897</v>
      </c>
      <c r="I10" s="104">
        <v>774897</v>
      </c>
      <c r="J10" s="105"/>
      <c r="K10" s="106">
        <v>774897</v>
      </c>
    </row>
    <row r="11" spans="2:11" ht="24">
      <c r="B11" s="107" t="s">
        <v>300</v>
      </c>
      <c r="C11" s="105"/>
      <c r="D11" s="105"/>
      <c r="E11" s="105"/>
      <c r="F11" s="105"/>
      <c r="G11" s="105"/>
      <c r="H11" s="108"/>
      <c r="I11" s="108"/>
      <c r="J11" s="105"/>
      <c r="K11" s="109"/>
    </row>
    <row r="12" spans="2:11" ht="12.75">
      <c r="B12" s="102" t="s">
        <v>301</v>
      </c>
      <c r="C12" s="103">
        <f aca="true" t="shared" si="0" ref="C12:H12">SUM(C10:C11)</f>
        <v>100000</v>
      </c>
      <c r="D12" s="103">
        <f t="shared" si="0"/>
        <v>0</v>
      </c>
      <c r="E12" s="103">
        <f t="shared" si="0"/>
        <v>0</v>
      </c>
      <c r="F12" s="103">
        <f t="shared" si="0"/>
        <v>0</v>
      </c>
      <c r="G12" s="103">
        <f t="shared" si="0"/>
        <v>0</v>
      </c>
      <c r="H12" s="103">
        <f t="shared" si="0"/>
        <v>674897</v>
      </c>
      <c r="I12" s="104">
        <f aca="true" t="shared" si="1" ref="I12:I20">SUM(C12:H12)</f>
        <v>774897</v>
      </c>
      <c r="J12" s="105"/>
      <c r="K12" s="106">
        <f>I12</f>
        <v>774897</v>
      </c>
    </row>
    <row r="13" spans="2:11" ht="36">
      <c r="B13" s="107" t="s">
        <v>302</v>
      </c>
      <c r="C13" s="105"/>
      <c r="D13" s="105"/>
      <c r="E13" s="105"/>
      <c r="F13" s="105"/>
      <c r="G13" s="105">
        <v>0</v>
      </c>
      <c r="H13" s="108"/>
      <c r="I13" s="108">
        <f t="shared" si="1"/>
        <v>0</v>
      </c>
      <c r="J13" s="105"/>
      <c r="K13" s="109">
        <v>0</v>
      </c>
    </row>
    <row r="14" spans="2:11" ht="54.75" customHeight="1">
      <c r="B14" s="107" t="s">
        <v>303</v>
      </c>
      <c r="C14" s="105"/>
      <c r="D14" s="105"/>
      <c r="E14" s="105"/>
      <c r="F14" s="105"/>
      <c r="G14" s="105">
        <v>0</v>
      </c>
      <c r="H14" s="108"/>
      <c r="I14" s="108">
        <f t="shared" si="1"/>
        <v>0</v>
      </c>
      <c r="J14" s="105"/>
      <c r="K14" s="109">
        <v>0</v>
      </c>
    </row>
    <row r="15" spans="2:11" ht="12.75">
      <c r="B15" s="107" t="s">
        <v>304</v>
      </c>
      <c r="C15" s="105"/>
      <c r="D15" s="105"/>
      <c r="E15" s="105"/>
      <c r="F15" s="105"/>
      <c r="G15" s="105"/>
      <c r="H15" s="108">
        <v>1722010</v>
      </c>
      <c r="I15" s="108">
        <f t="shared" si="1"/>
        <v>1722010</v>
      </c>
      <c r="J15" s="105"/>
      <c r="K15" s="109">
        <f>H15</f>
        <v>1722010</v>
      </c>
    </row>
    <row r="16" spans="2:11" ht="12.75">
      <c r="B16" s="107" t="s">
        <v>305</v>
      </c>
      <c r="C16" s="105"/>
      <c r="D16" s="105"/>
      <c r="E16" s="105"/>
      <c r="F16" s="105"/>
      <c r="G16" s="105"/>
      <c r="H16" s="108">
        <v>0</v>
      </c>
      <c r="I16" s="108">
        <f t="shared" si="1"/>
        <v>0</v>
      </c>
      <c r="J16" s="105"/>
      <c r="K16" s="109">
        <v>0</v>
      </c>
    </row>
    <row r="17" spans="2:11" ht="24">
      <c r="B17" s="107" t="s">
        <v>306</v>
      </c>
      <c r="C17" s="105"/>
      <c r="D17" s="105"/>
      <c r="E17" s="105"/>
      <c r="F17" s="105">
        <v>674897</v>
      </c>
      <c r="G17" s="105"/>
      <c r="H17" s="108">
        <v>-674897</v>
      </c>
      <c r="I17" s="108">
        <f t="shared" si="1"/>
        <v>0</v>
      </c>
      <c r="J17" s="105"/>
      <c r="K17" s="109">
        <v>0</v>
      </c>
    </row>
    <row r="18" spans="2:11" ht="12.75">
      <c r="B18" s="107" t="s">
        <v>307</v>
      </c>
      <c r="C18" s="105">
        <v>3400000</v>
      </c>
      <c r="D18" s="105"/>
      <c r="E18" s="105"/>
      <c r="F18" s="105"/>
      <c r="G18" s="105"/>
      <c r="H18" s="108"/>
      <c r="I18" s="108">
        <f t="shared" si="1"/>
        <v>3400000</v>
      </c>
      <c r="J18" s="105"/>
      <c r="K18" s="109"/>
    </row>
    <row r="19" spans="2:11" ht="12.75">
      <c r="B19" s="102" t="s">
        <v>526</v>
      </c>
      <c r="C19" s="103">
        <f aca="true" t="shared" si="2" ref="C19:H19">SUM(C12:C18)</f>
        <v>3500000</v>
      </c>
      <c r="D19" s="103">
        <f t="shared" si="2"/>
        <v>0</v>
      </c>
      <c r="E19" s="103">
        <f t="shared" si="2"/>
        <v>0</v>
      </c>
      <c r="F19" s="103">
        <f t="shared" si="2"/>
        <v>674897</v>
      </c>
      <c r="G19" s="103">
        <f t="shared" si="2"/>
        <v>0</v>
      </c>
      <c r="H19" s="103">
        <f t="shared" si="2"/>
        <v>1722010</v>
      </c>
      <c r="I19" s="104">
        <f t="shared" si="1"/>
        <v>5896907</v>
      </c>
      <c r="J19" s="105"/>
      <c r="K19" s="106">
        <f>I19</f>
        <v>5896907</v>
      </c>
    </row>
    <row r="20" spans="2:11" ht="36">
      <c r="B20" s="107" t="s">
        <v>302</v>
      </c>
      <c r="C20" s="105"/>
      <c r="D20" s="105"/>
      <c r="E20" s="105"/>
      <c r="F20" s="105"/>
      <c r="G20" s="105">
        <v>0</v>
      </c>
      <c r="H20" s="108"/>
      <c r="I20" s="108">
        <f t="shared" si="1"/>
        <v>0</v>
      </c>
      <c r="J20" s="105"/>
      <c r="K20" s="109">
        <v>0</v>
      </c>
    </row>
    <row r="21" spans="2:13" ht="51" customHeight="1">
      <c r="B21" s="107" t="s">
        <v>303</v>
      </c>
      <c r="C21" s="105"/>
      <c r="D21" s="105"/>
      <c r="E21" s="105"/>
      <c r="F21" s="105"/>
      <c r="G21" s="105">
        <v>0</v>
      </c>
      <c r="H21" s="108"/>
      <c r="I21" s="108">
        <f aca="true" t="shared" si="3" ref="I21:I26">SUM(C21:H21)</f>
        <v>0</v>
      </c>
      <c r="J21" s="105"/>
      <c r="K21" s="109">
        <v>0</v>
      </c>
      <c r="M21" s="82"/>
    </row>
    <row r="22" spans="2:11" ht="24">
      <c r="B22" s="107" t="s">
        <v>308</v>
      </c>
      <c r="C22" s="105"/>
      <c r="D22" s="105"/>
      <c r="E22" s="105"/>
      <c r="F22" s="105"/>
      <c r="G22" s="105"/>
      <c r="H22" s="108">
        <v>1274651</v>
      </c>
      <c r="I22" s="108">
        <f t="shared" si="3"/>
        <v>1274651</v>
      </c>
      <c r="J22" s="105"/>
      <c r="K22" s="109">
        <f>I22</f>
        <v>1274651</v>
      </c>
    </row>
    <row r="23" spans="2:11" ht="12.75">
      <c r="B23" s="107" t="s">
        <v>309</v>
      </c>
      <c r="C23" s="105"/>
      <c r="D23" s="105"/>
      <c r="E23" s="105"/>
      <c r="F23" s="105"/>
      <c r="G23" s="105"/>
      <c r="H23" s="108"/>
      <c r="I23" s="108">
        <f t="shared" si="3"/>
        <v>0</v>
      </c>
      <c r="J23" s="105"/>
      <c r="K23" s="109">
        <f>I23</f>
        <v>0</v>
      </c>
    </row>
    <row r="24" spans="2:11" ht="36">
      <c r="B24" s="107" t="s">
        <v>544</v>
      </c>
      <c r="C24" s="105"/>
      <c r="D24" s="105"/>
      <c r="E24" s="105"/>
      <c r="F24" s="105">
        <v>1722010</v>
      </c>
      <c r="G24" s="105"/>
      <c r="H24" s="108">
        <v>-1722010</v>
      </c>
      <c r="I24" s="108">
        <f t="shared" si="3"/>
        <v>0</v>
      </c>
      <c r="J24" s="105"/>
      <c r="K24" s="109"/>
    </row>
    <row r="25" spans="2:11" ht="12.75">
      <c r="B25" s="107" t="s">
        <v>307</v>
      </c>
      <c r="C25" s="105"/>
      <c r="D25" s="105">
        <v>0</v>
      </c>
      <c r="E25" s="105">
        <v>0</v>
      </c>
      <c r="F25" s="105"/>
      <c r="G25" s="105"/>
      <c r="H25" s="108"/>
      <c r="I25" s="108">
        <f t="shared" si="3"/>
        <v>0</v>
      </c>
      <c r="J25" s="105"/>
      <c r="K25" s="109">
        <f>I25</f>
        <v>0</v>
      </c>
    </row>
    <row r="26" spans="2:11" ht="12.75">
      <c r="B26" s="107" t="s">
        <v>310</v>
      </c>
      <c r="C26" s="105"/>
      <c r="D26" s="105"/>
      <c r="E26" s="105"/>
      <c r="F26" s="105"/>
      <c r="G26" s="105"/>
      <c r="H26" s="108"/>
      <c r="I26" s="108">
        <f t="shared" si="3"/>
        <v>0</v>
      </c>
      <c r="J26" s="105"/>
      <c r="K26" s="109">
        <f>I26</f>
        <v>0</v>
      </c>
    </row>
    <row r="27" spans="2:11" ht="24">
      <c r="B27" s="110" t="s">
        <v>543</v>
      </c>
      <c r="C27" s="103">
        <f aca="true" t="shared" si="4" ref="C27:H27">SUM(C19:C26)</f>
        <v>3500000</v>
      </c>
      <c r="D27" s="103">
        <f t="shared" si="4"/>
        <v>0</v>
      </c>
      <c r="E27" s="103">
        <f t="shared" si="4"/>
        <v>0</v>
      </c>
      <c r="F27" s="103">
        <f t="shared" si="4"/>
        <v>2396907</v>
      </c>
      <c r="G27" s="103">
        <f t="shared" si="4"/>
        <v>0</v>
      </c>
      <c r="H27" s="104">
        <f t="shared" si="4"/>
        <v>1274651</v>
      </c>
      <c r="I27" s="111">
        <f>SUM(C27:H27)</f>
        <v>7171558</v>
      </c>
      <c r="J27" s="157"/>
      <c r="K27" s="112">
        <f>SUM(K19:K26)</f>
        <v>7171558</v>
      </c>
    </row>
  </sheetData>
  <sheetProtection/>
  <mergeCells count="5">
    <mergeCell ref="B8:K8"/>
    <mergeCell ref="B2:C2"/>
    <mergeCell ref="B6:C6"/>
    <mergeCell ref="B4:K4"/>
    <mergeCell ref="B5:K5"/>
  </mergeCells>
  <printOptions/>
  <pageMargins left="0.22" right="0.16" top="1" bottom="1" header="0.5" footer="0.5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54"/>
  <sheetViews>
    <sheetView zoomScalePageLayoutView="0" workbookViewId="0" topLeftCell="A1">
      <selection activeCell="C48" sqref="C48"/>
    </sheetView>
  </sheetViews>
  <sheetFormatPr defaultColWidth="9.140625" defaultRowHeight="12.75"/>
  <cols>
    <col min="1" max="1" width="7.7109375" style="1" customWidth="1"/>
    <col min="2" max="2" width="4.140625" style="1" customWidth="1"/>
    <col min="3" max="11" width="8.7109375" style="1" customWidth="1"/>
    <col min="12" max="12" width="6.421875" style="1" customWidth="1"/>
    <col min="13" max="13" width="2.140625" style="1" customWidth="1"/>
    <col min="14" max="14" width="9.421875" style="1" customWidth="1"/>
    <col min="15" max="16384" width="9.140625" style="1" customWidth="1"/>
  </cols>
  <sheetData>
    <row r="2" spans="2:12" ht="12.75">
      <c r="B2" s="114"/>
      <c r="C2" s="115"/>
      <c r="D2" s="115"/>
      <c r="E2" s="115"/>
      <c r="F2" s="115"/>
      <c r="G2" s="115"/>
      <c r="H2" s="115"/>
      <c r="I2" s="115"/>
      <c r="J2" s="115"/>
      <c r="K2" s="115"/>
      <c r="L2" s="116"/>
    </row>
    <row r="3" spans="2:12" ht="12.75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9"/>
    </row>
    <row r="4" spans="2:12" s="120" customFormat="1" ht="33" customHeight="1">
      <c r="B4" s="383" t="s">
        <v>311</v>
      </c>
      <c r="C4" s="384"/>
      <c r="D4" s="384"/>
      <c r="E4" s="384"/>
      <c r="F4" s="384"/>
      <c r="G4" s="384"/>
      <c r="H4" s="384"/>
      <c r="I4" s="384"/>
      <c r="J4" s="384"/>
      <c r="K4" s="384"/>
      <c r="L4" s="385"/>
    </row>
    <row r="5" spans="2:12" ht="12.75"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9"/>
    </row>
    <row r="6" spans="2:12" ht="17.25" customHeight="1">
      <c r="B6" s="117"/>
      <c r="C6" s="388" t="s">
        <v>586</v>
      </c>
      <c r="D6" s="388"/>
      <c r="E6" s="388"/>
      <c r="F6" s="388"/>
      <c r="G6" s="388"/>
      <c r="H6" s="388"/>
      <c r="I6" s="388"/>
      <c r="J6" s="388"/>
      <c r="K6" s="388"/>
      <c r="L6" s="119"/>
    </row>
    <row r="7" spans="2:12" ht="17.25" customHeight="1">
      <c r="B7" s="117"/>
      <c r="C7" s="388" t="s">
        <v>312</v>
      </c>
      <c r="D7" s="388"/>
      <c r="E7" s="388"/>
      <c r="F7" s="388"/>
      <c r="G7" s="388"/>
      <c r="H7" s="388"/>
      <c r="I7" s="388"/>
      <c r="J7" s="388"/>
      <c r="K7" s="388"/>
      <c r="L7" s="119"/>
    </row>
    <row r="8" spans="2:12" ht="17.25" customHeight="1">
      <c r="B8" s="117"/>
      <c r="C8" s="388" t="s">
        <v>313</v>
      </c>
      <c r="D8" s="388"/>
      <c r="E8" s="388"/>
      <c r="F8" s="388"/>
      <c r="G8" s="388"/>
      <c r="H8" s="388"/>
      <c r="I8" s="388"/>
      <c r="J8" s="388"/>
      <c r="K8" s="388"/>
      <c r="L8" s="119"/>
    </row>
    <row r="9" spans="2:12" ht="17.25" customHeight="1">
      <c r="B9" s="117"/>
      <c r="C9" s="388" t="s">
        <v>587</v>
      </c>
      <c r="D9" s="388"/>
      <c r="E9" s="388"/>
      <c r="F9" s="388"/>
      <c r="G9" s="388"/>
      <c r="H9" s="388"/>
      <c r="I9" s="388"/>
      <c r="J9" s="388"/>
      <c r="K9" s="388"/>
      <c r="L9" s="119"/>
    </row>
    <row r="10" spans="2:12" ht="12.75">
      <c r="B10" s="117"/>
      <c r="C10" s="118"/>
      <c r="D10" s="118"/>
      <c r="E10" s="118"/>
      <c r="F10" s="118"/>
      <c r="G10" s="118"/>
      <c r="H10" s="118"/>
      <c r="I10" s="118"/>
      <c r="J10" s="118"/>
      <c r="K10" s="118"/>
      <c r="L10" s="119"/>
    </row>
    <row r="11" spans="2:12" ht="12.75"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9"/>
    </row>
    <row r="12" spans="2:12" ht="12.75">
      <c r="B12" s="117"/>
      <c r="C12" s="118"/>
      <c r="D12" s="118"/>
      <c r="E12" s="118"/>
      <c r="F12" s="118"/>
      <c r="G12" s="118"/>
      <c r="H12" s="118"/>
      <c r="I12" s="118"/>
      <c r="J12" s="118"/>
      <c r="K12" s="118"/>
      <c r="L12" s="119"/>
    </row>
    <row r="13" spans="2:12" ht="12.75">
      <c r="B13" s="117"/>
      <c r="C13" s="118"/>
      <c r="D13" s="118"/>
      <c r="E13" s="118"/>
      <c r="F13" s="118"/>
      <c r="G13" s="118"/>
      <c r="H13" s="118"/>
      <c r="I13" s="118"/>
      <c r="J13" s="118"/>
      <c r="K13" s="118"/>
      <c r="L13" s="119"/>
    </row>
    <row r="14" spans="2:12" ht="12.75">
      <c r="B14" s="117"/>
      <c r="C14" s="118"/>
      <c r="D14" s="118"/>
      <c r="E14" s="118"/>
      <c r="F14" s="118"/>
      <c r="G14" s="118"/>
      <c r="H14" s="118"/>
      <c r="I14" s="118"/>
      <c r="J14" s="118"/>
      <c r="K14" s="118"/>
      <c r="L14" s="119"/>
    </row>
    <row r="15" spans="2:12" ht="12.75">
      <c r="B15" s="117"/>
      <c r="C15" s="118"/>
      <c r="D15" s="118"/>
      <c r="E15" s="118"/>
      <c r="F15" s="118"/>
      <c r="G15" s="118"/>
      <c r="H15" s="118"/>
      <c r="I15" s="118"/>
      <c r="J15" s="118"/>
      <c r="K15" s="118"/>
      <c r="L15" s="119"/>
    </row>
    <row r="16" spans="2:13" ht="12.75">
      <c r="B16" s="117"/>
      <c r="C16" s="118"/>
      <c r="D16" s="118"/>
      <c r="E16" s="118"/>
      <c r="F16" s="118"/>
      <c r="G16" s="118"/>
      <c r="H16" s="118"/>
      <c r="I16" s="118"/>
      <c r="J16" s="118"/>
      <c r="K16" s="118"/>
      <c r="L16" s="119"/>
      <c r="M16" s="1" t="s">
        <v>314</v>
      </c>
    </row>
    <row r="17" spans="2:12" ht="12.75"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9"/>
    </row>
    <row r="18" spans="2:12" ht="12.75">
      <c r="B18" s="117"/>
      <c r="C18" s="118"/>
      <c r="D18" s="118"/>
      <c r="E18" s="118"/>
      <c r="F18" s="118"/>
      <c r="G18" s="118"/>
      <c r="H18" s="118"/>
      <c r="I18" s="118"/>
      <c r="J18" s="118"/>
      <c r="K18" s="118"/>
      <c r="L18" s="119"/>
    </row>
    <row r="19" spans="2:12" ht="12.75">
      <c r="B19" s="117"/>
      <c r="C19" s="118"/>
      <c r="D19" s="118"/>
      <c r="E19" s="118"/>
      <c r="F19" s="118"/>
      <c r="G19" s="118"/>
      <c r="H19" s="118"/>
      <c r="I19" s="118"/>
      <c r="J19" s="118"/>
      <c r="K19" s="118"/>
      <c r="L19" s="119"/>
    </row>
    <row r="20" spans="2:12" ht="12.75">
      <c r="B20" s="117"/>
      <c r="C20" s="118"/>
      <c r="D20" s="118"/>
      <c r="E20" s="118"/>
      <c r="F20" s="118"/>
      <c r="G20" s="118"/>
      <c r="H20" s="118"/>
      <c r="I20" s="118"/>
      <c r="J20" s="118"/>
      <c r="K20" s="118"/>
      <c r="L20" s="119"/>
    </row>
    <row r="21" spans="2:12" ht="12.75">
      <c r="B21" s="117"/>
      <c r="C21" s="118"/>
      <c r="D21" s="118"/>
      <c r="E21" s="118"/>
      <c r="F21" s="118"/>
      <c r="G21" s="118"/>
      <c r="H21" s="118"/>
      <c r="I21" s="118"/>
      <c r="J21" s="118"/>
      <c r="K21" s="118"/>
      <c r="L21" s="119"/>
    </row>
    <row r="22" spans="2:12" ht="12.75">
      <c r="B22" s="117"/>
      <c r="C22" s="118"/>
      <c r="D22" s="118"/>
      <c r="E22" s="118"/>
      <c r="F22" s="118"/>
      <c r="G22" s="118"/>
      <c r="H22" s="118"/>
      <c r="I22" s="118"/>
      <c r="J22" s="118"/>
      <c r="K22" s="118"/>
      <c r="L22" s="119"/>
    </row>
    <row r="23" spans="2:12" ht="12.75">
      <c r="B23" s="117"/>
      <c r="C23" s="118"/>
      <c r="D23" s="118"/>
      <c r="E23" s="118"/>
      <c r="F23" s="118"/>
      <c r="G23" s="118"/>
      <c r="H23" s="118"/>
      <c r="I23" s="118"/>
      <c r="J23" s="118"/>
      <c r="K23" s="118"/>
      <c r="L23" s="119"/>
    </row>
    <row r="24" spans="2:12" ht="12.75">
      <c r="B24" s="117"/>
      <c r="C24" s="118"/>
      <c r="D24" s="118"/>
      <c r="E24" s="118"/>
      <c r="F24" s="118"/>
      <c r="G24" s="118"/>
      <c r="H24" s="118"/>
      <c r="I24" s="118"/>
      <c r="J24" s="118"/>
      <c r="K24" s="118"/>
      <c r="L24" s="119"/>
    </row>
    <row r="25" spans="2:12" ht="12.75">
      <c r="B25" s="117"/>
      <c r="C25" s="118"/>
      <c r="D25" s="118"/>
      <c r="E25" s="118"/>
      <c r="F25" s="118"/>
      <c r="G25" s="118"/>
      <c r="H25" s="118"/>
      <c r="I25" s="118"/>
      <c r="J25" s="118"/>
      <c r="K25" s="118"/>
      <c r="L25" s="119"/>
    </row>
    <row r="26" spans="2:12" ht="12.75">
      <c r="B26" s="117"/>
      <c r="C26" s="118"/>
      <c r="D26" s="118"/>
      <c r="E26" s="118"/>
      <c r="F26" s="118"/>
      <c r="G26" s="118"/>
      <c r="H26" s="118"/>
      <c r="I26" s="118"/>
      <c r="J26" s="118"/>
      <c r="K26" s="118"/>
      <c r="L26" s="119"/>
    </row>
    <row r="27" spans="2:12" ht="12.75">
      <c r="B27" s="117"/>
      <c r="C27" s="118"/>
      <c r="D27" s="118"/>
      <c r="E27" s="118"/>
      <c r="F27" s="118"/>
      <c r="G27" s="118"/>
      <c r="H27" s="118"/>
      <c r="I27" s="118"/>
      <c r="J27" s="118"/>
      <c r="K27" s="118"/>
      <c r="L27" s="119"/>
    </row>
    <row r="28" spans="2:12" ht="12.75">
      <c r="B28" s="117"/>
      <c r="C28" s="118"/>
      <c r="D28" s="118"/>
      <c r="E28" s="118"/>
      <c r="F28" s="118"/>
      <c r="G28" s="118"/>
      <c r="H28" s="118"/>
      <c r="I28" s="118"/>
      <c r="J28" s="118"/>
      <c r="K28" s="118"/>
      <c r="L28" s="119"/>
    </row>
    <row r="29" spans="2:12" ht="12.75"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9"/>
    </row>
    <row r="30" spans="2:12" ht="12.75">
      <c r="B30" s="117"/>
      <c r="C30" s="118"/>
      <c r="D30" s="118"/>
      <c r="E30" s="118"/>
      <c r="F30" s="118"/>
      <c r="G30" s="118"/>
      <c r="H30" s="118"/>
      <c r="I30" s="118"/>
      <c r="J30" s="118"/>
      <c r="K30" s="118"/>
      <c r="L30" s="119"/>
    </row>
    <row r="31" spans="2:12" ht="12.75"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9"/>
    </row>
    <row r="32" spans="2:12" ht="12.75">
      <c r="B32" s="117"/>
      <c r="C32" s="118"/>
      <c r="D32" s="118"/>
      <c r="E32" s="118"/>
      <c r="F32" s="118"/>
      <c r="G32" s="118"/>
      <c r="H32" s="118"/>
      <c r="I32" s="118"/>
      <c r="J32" s="118"/>
      <c r="K32" s="118"/>
      <c r="L32" s="119"/>
    </row>
    <row r="33" spans="2:12" ht="12.75">
      <c r="B33" s="117"/>
      <c r="C33" s="118"/>
      <c r="D33" s="118"/>
      <c r="E33" s="118"/>
      <c r="F33" s="118"/>
      <c r="G33" s="118"/>
      <c r="H33" s="118"/>
      <c r="I33" s="118"/>
      <c r="J33" s="118"/>
      <c r="K33" s="118"/>
      <c r="L33" s="119"/>
    </row>
    <row r="34" spans="2:12" ht="12.75"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9"/>
    </row>
    <row r="35" spans="2:12" ht="12.75">
      <c r="B35" s="117"/>
      <c r="C35" s="118"/>
      <c r="D35" s="118"/>
      <c r="E35" s="118"/>
      <c r="F35" s="118"/>
      <c r="G35" s="118"/>
      <c r="H35" s="118"/>
      <c r="I35" s="118"/>
      <c r="J35" s="118"/>
      <c r="K35" s="118"/>
      <c r="L35" s="119"/>
    </row>
    <row r="36" spans="2:12" ht="12.75">
      <c r="B36" s="117"/>
      <c r="C36" s="118"/>
      <c r="D36" s="118"/>
      <c r="E36" s="118"/>
      <c r="F36" s="118"/>
      <c r="G36" s="118"/>
      <c r="H36" s="118"/>
      <c r="I36" s="118"/>
      <c r="J36" s="118"/>
      <c r="K36" s="118"/>
      <c r="L36" s="119"/>
    </row>
    <row r="37" spans="2:12" ht="12.75">
      <c r="B37" s="117"/>
      <c r="C37" s="118"/>
      <c r="D37" s="118"/>
      <c r="E37" s="118"/>
      <c r="F37" s="118"/>
      <c r="G37" s="118"/>
      <c r="H37" s="118"/>
      <c r="I37" s="118"/>
      <c r="J37" s="118"/>
      <c r="K37" s="118"/>
      <c r="L37" s="119"/>
    </row>
    <row r="38" spans="2:12" ht="12.75">
      <c r="B38" s="117"/>
      <c r="C38" s="118"/>
      <c r="D38" s="118"/>
      <c r="E38" s="118"/>
      <c r="F38" s="118"/>
      <c r="G38" s="118"/>
      <c r="H38" s="118"/>
      <c r="I38" s="118"/>
      <c r="J38" s="118"/>
      <c r="K38" s="118"/>
      <c r="L38" s="119"/>
    </row>
    <row r="39" spans="2:12" ht="12.75">
      <c r="B39" s="117"/>
      <c r="C39" s="118"/>
      <c r="D39" s="118"/>
      <c r="E39" s="118"/>
      <c r="F39" s="118"/>
      <c r="G39" s="118"/>
      <c r="H39" s="118"/>
      <c r="I39" s="118"/>
      <c r="J39" s="118"/>
      <c r="K39" s="118"/>
      <c r="L39" s="119"/>
    </row>
    <row r="40" spans="2:12" ht="12.75">
      <c r="B40" s="117"/>
      <c r="C40" s="118"/>
      <c r="D40" s="118"/>
      <c r="E40" s="118"/>
      <c r="F40" s="118"/>
      <c r="G40" s="118"/>
      <c r="H40" s="118"/>
      <c r="I40" s="118"/>
      <c r="J40" s="118"/>
      <c r="K40" s="118"/>
      <c r="L40" s="119"/>
    </row>
    <row r="41" spans="2:12" ht="12.75">
      <c r="B41" s="117"/>
      <c r="C41" s="118"/>
      <c r="D41" s="118"/>
      <c r="E41" s="118"/>
      <c r="F41" s="118"/>
      <c r="G41" s="118"/>
      <c r="H41" s="118"/>
      <c r="I41" s="118"/>
      <c r="J41" s="118"/>
      <c r="K41" s="118"/>
      <c r="L41" s="119"/>
    </row>
    <row r="42" spans="2:12" ht="12.75">
      <c r="B42" s="117"/>
      <c r="C42" s="118"/>
      <c r="D42" s="118"/>
      <c r="E42" s="118"/>
      <c r="F42" s="118"/>
      <c r="G42" s="118"/>
      <c r="H42" s="118"/>
      <c r="I42" s="118"/>
      <c r="J42" s="118"/>
      <c r="K42" s="118"/>
      <c r="L42" s="119"/>
    </row>
    <row r="43" spans="2:12" ht="12.75">
      <c r="B43" s="117"/>
      <c r="C43" s="118"/>
      <c r="D43" s="118"/>
      <c r="E43" s="118"/>
      <c r="F43" s="118"/>
      <c r="G43" s="118"/>
      <c r="H43" s="118"/>
      <c r="I43" s="118"/>
      <c r="J43" s="118"/>
      <c r="K43" s="118"/>
      <c r="L43" s="119"/>
    </row>
    <row r="44" spans="2:12" ht="12.75">
      <c r="B44" s="117"/>
      <c r="C44" s="118"/>
      <c r="D44" s="118"/>
      <c r="E44" s="118"/>
      <c r="F44" s="118"/>
      <c r="G44" s="118"/>
      <c r="H44" s="118"/>
      <c r="I44" s="118"/>
      <c r="J44" s="118"/>
      <c r="K44" s="118"/>
      <c r="L44" s="119"/>
    </row>
    <row r="45" spans="2:12" ht="12.75">
      <c r="B45" s="117"/>
      <c r="C45" s="118"/>
      <c r="D45" s="118"/>
      <c r="E45" s="118"/>
      <c r="F45" s="118"/>
      <c r="G45" s="118"/>
      <c r="H45" s="118"/>
      <c r="I45" s="118"/>
      <c r="J45" s="118"/>
      <c r="K45" s="118"/>
      <c r="L45" s="119"/>
    </row>
    <row r="46" spans="2:12" ht="12.75">
      <c r="B46" s="117"/>
      <c r="C46" s="118"/>
      <c r="D46" s="118"/>
      <c r="E46" s="118"/>
      <c r="F46" s="118"/>
      <c r="G46" s="118"/>
      <c r="H46" s="118"/>
      <c r="I46" s="118"/>
      <c r="J46" s="118"/>
      <c r="K46" s="118"/>
      <c r="L46" s="119"/>
    </row>
    <row r="47" spans="2:12" ht="12.75">
      <c r="B47" s="117"/>
      <c r="C47" s="118"/>
      <c r="D47" s="118"/>
      <c r="E47" s="118"/>
      <c r="F47" s="118"/>
      <c r="G47" s="118"/>
      <c r="H47" s="118"/>
      <c r="I47" s="118"/>
      <c r="J47" s="118"/>
      <c r="K47" s="118"/>
      <c r="L47" s="119"/>
    </row>
    <row r="48" spans="2:12" ht="15.75">
      <c r="B48" s="117"/>
      <c r="C48" s="118" t="s">
        <v>599</v>
      </c>
      <c r="D48" s="121"/>
      <c r="E48" s="118"/>
      <c r="F48" s="118"/>
      <c r="G48" s="386" t="s">
        <v>315</v>
      </c>
      <c r="H48" s="386"/>
      <c r="I48" s="386"/>
      <c r="J48" s="386"/>
      <c r="K48" s="386"/>
      <c r="L48" s="387"/>
    </row>
    <row r="49" spans="2:12" ht="15.75">
      <c r="B49" s="117"/>
      <c r="C49" s="122"/>
      <c r="D49" s="118"/>
      <c r="E49" s="122"/>
      <c r="F49" s="122"/>
      <c r="G49" s="122"/>
      <c r="H49" s="122"/>
      <c r="I49" s="122"/>
      <c r="J49" s="118"/>
      <c r="K49" s="118"/>
      <c r="L49" s="119"/>
    </row>
    <row r="50" spans="2:12" ht="15.75">
      <c r="B50" s="117"/>
      <c r="C50" s="333" t="s">
        <v>600</v>
      </c>
      <c r="D50" s="122"/>
      <c r="E50" s="122"/>
      <c r="F50" s="122"/>
      <c r="G50" s="122"/>
      <c r="H50" s="381" t="s">
        <v>532</v>
      </c>
      <c r="I50" s="381"/>
      <c r="J50" s="381"/>
      <c r="K50" s="381"/>
      <c r="L50" s="119"/>
    </row>
    <row r="51" spans="2:12" ht="15.75">
      <c r="B51" s="117"/>
      <c r="C51" s="122"/>
      <c r="D51" s="122"/>
      <c r="E51" s="122"/>
      <c r="F51" s="122"/>
      <c r="G51" s="122"/>
      <c r="H51" s="382" t="s">
        <v>316</v>
      </c>
      <c r="I51" s="382"/>
      <c r="J51" s="382"/>
      <c r="K51" s="382"/>
      <c r="L51" s="119"/>
    </row>
    <row r="52" spans="2:12" ht="15.75">
      <c r="B52" s="117"/>
      <c r="C52" s="124"/>
      <c r="D52" s="124"/>
      <c r="E52" s="124"/>
      <c r="F52" s="124"/>
      <c r="G52" s="124"/>
      <c r="H52" s="124"/>
      <c r="I52" s="124"/>
      <c r="J52" s="118"/>
      <c r="K52" s="118"/>
      <c r="L52" s="119"/>
    </row>
    <row r="53" spans="2:12" ht="12.75">
      <c r="B53" s="117"/>
      <c r="C53" s="118"/>
      <c r="D53" s="118"/>
      <c r="E53" s="118"/>
      <c r="F53" s="118"/>
      <c r="G53" s="118"/>
      <c r="H53" s="118"/>
      <c r="I53" s="118"/>
      <c r="J53" s="118"/>
      <c r="K53" s="118"/>
      <c r="L53" s="119"/>
    </row>
    <row r="54" spans="2:12" ht="11.25" customHeight="1">
      <c r="B54" s="125"/>
      <c r="C54" s="126"/>
      <c r="D54" s="126"/>
      <c r="E54" s="126"/>
      <c r="F54" s="126"/>
      <c r="G54" s="126"/>
      <c r="H54" s="126"/>
      <c r="I54" s="126"/>
      <c r="J54" s="126"/>
      <c r="K54" s="126"/>
      <c r="L54" s="127"/>
    </row>
  </sheetData>
  <sheetProtection/>
  <mergeCells count="8">
    <mergeCell ref="H50:K50"/>
    <mergeCell ref="H51:K51"/>
    <mergeCell ref="B4:L4"/>
    <mergeCell ref="G48:L48"/>
    <mergeCell ref="C6:K6"/>
    <mergeCell ref="C7:K7"/>
    <mergeCell ref="C8:K8"/>
    <mergeCell ref="C9:K9"/>
  </mergeCells>
  <printOptions horizontalCentered="1" verticalCentered="1"/>
  <pageMargins left="0.17" right="0" top="0" bottom="0" header="0.511811023622047" footer="0.511811023622047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6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11.00390625" style="0" customWidth="1"/>
    <col min="2" max="2" width="35.140625" style="0" customWidth="1"/>
    <col min="3" max="5" width="10.7109375" style="0" customWidth="1"/>
    <col min="6" max="6" width="12.57421875" style="0" customWidth="1"/>
    <col min="8" max="8" width="12.140625" style="0" bestFit="1" customWidth="1"/>
  </cols>
  <sheetData>
    <row r="1" ht="12.75">
      <c r="F1" s="195"/>
    </row>
    <row r="2" spans="2:6" ht="18">
      <c r="B2" s="389" t="s">
        <v>513</v>
      </c>
      <c r="C2" s="389"/>
      <c r="D2" s="389"/>
      <c r="E2" s="389"/>
      <c r="F2" s="389"/>
    </row>
    <row r="3" ht="6.75" customHeight="1">
      <c r="C3" s="290"/>
    </row>
    <row r="4" ht="14.25">
      <c r="C4" s="291" t="s">
        <v>588</v>
      </c>
    </row>
    <row r="6" spans="1:4" ht="18">
      <c r="A6" s="292" t="s">
        <v>514</v>
      </c>
      <c r="B6" s="293" t="s">
        <v>527</v>
      </c>
      <c r="C6" s="294"/>
      <c r="D6" s="294"/>
    </row>
    <row r="7" spans="1:2" ht="12.75">
      <c r="A7" s="292" t="s">
        <v>515</v>
      </c>
      <c r="B7" s="293" t="s">
        <v>522</v>
      </c>
    </row>
    <row r="8" spans="1:2" ht="12.75">
      <c r="A8" s="292" t="s">
        <v>446</v>
      </c>
      <c r="B8" s="295" t="s">
        <v>528</v>
      </c>
    </row>
    <row r="9" spans="1:2" ht="12.75">
      <c r="A9" s="292" t="s">
        <v>516</v>
      </c>
      <c r="B9" s="295" t="s">
        <v>529</v>
      </c>
    </row>
    <row r="10" spans="1:2" ht="14.25">
      <c r="A10" s="292" t="s">
        <v>517</v>
      </c>
      <c r="B10" s="296" t="s">
        <v>530</v>
      </c>
    </row>
    <row r="11" spans="1:6" s="196" customFormat="1" ht="12.75">
      <c r="A11"/>
      <c r="B11"/>
      <c r="C11"/>
      <c r="D11"/>
      <c r="E11"/>
      <c r="F11"/>
    </row>
    <row r="13" spans="1:6" ht="25.5" customHeight="1">
      <c r="A13" s="297" t="s">
        <v>281</v>
      </c>
      <c r="B13" s="297" t="s">
        <v>518</v>
      </c>
      <c r="C13" s="297" t="s">
        <v>519</v>
      </c>
      <c r="D13" s="297" t="s">
        <v>334</v>
      </c>
      <c r="E13" s="297" t="s">
        <v>520</v>
      </c>
      <c r="F13" s="297" t="s">
        <v>510</v>
      </c>
    </row>
    <row r="14" spans="1:6" s="281" customFormat="1" ht="18" customHeight="1">
      <c r="A14" s="171">
        <v>1</v>
      </c>
      <c r="B14" s="324" t="s">
        <v>601</v>
      </c>
      <c r="C14" s="324" t="s">
        <v>579</v>
      </c>
      <c r="D14" s="334">
        <v>5267</v>
      </c>
      <c r="E14" s="334">
        <v>333.31239555362436</v>
      </c>
      <c r="F14" s="334">
        <v>1755556.3873809397</v>
      </c>
    </row>
    <row r="15" spans="1:6" s="281" customFormat="1" ht="18" customHeight="1">
      <c r="A15" s="171">
        <v>2</v>
      </c>
      <c r="B15" s="324" t="s">
        <v>555</v>
      </c>
      <c r="C15" s="324" t="s">
        <v>579</v>
      </c>
      <c r="D15" s="334">
        <v>4346</v>
      </c>
      <c r="E15" s="334">
        <v>279.6721540706972</v>
      </c>
      <c r="F15" s="334">
        <v>1215455.1815912502</v>
      </c>
    </row>
    <row r="16" spans="1:6" s="281" customFormat="1" ht="18" customHeight="1">
      <c r="A16" s="171">
        <v>3</v>
      </c>
      <c r="B16" s="324" t="s">
        <v>552</v>
      </c>
      <c r="C16" s="324" t="s">
        <v>602</v>
      </c>
      <c r="D16" s="334">
        <v>3379</v>
      </c>
      <c r="E16" s="334">
        <v>347.97510444680734</v>
      </c>
      <c r="F16" s="334">
        <v>1175807.877925762</v>
      </c>
    </row>
    <row r="17" spans="1:6" s="281" customFormat="1" ht="18" customHeight="1">
      <c r="A17" s="171">
        <v>4</v>
      </c>
      <c r="B17" s="324" t="s">
        <v>564</v>
      </c>
      <c r="C17" s="324" t="s">
        <v>579</v>
      </c>
      <c r="D17" s="334">
        <v>4460</v>
      </c>
      <c r="E17" s="334">
        <v>255.83313561920772</v>
      </c>
      <c r="F17" s="334">
        <v>1141015.7848616662</v>
      </c>
    </row>
    <row r="18" spans="1:6" s="281" customFormat="1" ht="18" customHeight="1">
      <c r="A18" s="171">
        <v>5</v>
      </c>
      <c r="B18" s="324" t="s">
        <v>603</v>
      </c>
      <c r="C18" s="324" t="s">
        <v>579</v>
      </c>
      <c r="D18" s="334">
        <v>3600</v>
      </c>
      <c r="E18" s="334">
        <v>279.5934206127406</v>
      </c>
      <c r="F18" s="334">
        <v>1006536.3142058663</v>
      </c>
    </row>
    <row r="19" spans="1:6" s="281" customFormat="1" ht="18" customHeight="1">
      <c r="A19" s="171">
        <v>6</v>
      </c>
      <c r="B19" s="324" t="s">
        <v>553</v>
      </c>
      <c r="C19" s="324" t="s">
        <v>579</v>
      </c>
      <c r="D19" s="334">
        <v>3175</v>
      </c>
      <c r="E19" s="334">
        <v>284.72725344179275</v>
      </c>
      <c r="F19" s="334">
        <v>904009.0296776922</v>
      </c>
    </row>
    <row r="20" spans="1:6" s="281" customFormat="1" ht="18" customHeight="1">
      <c r="A20" s="171">
        <v>7</v>
      </c>
      <c r="B20" s="324" t="s">
        <v>604</v>
      </c>
      <c r="C20" s="324" t="s">
        <v>579</v>
      </c>
      <c r="D20" s="334">
        <v>2880</v>
      </c>
      <c r="E20" s="334">
        <v>313.7732253068412</v>
      </c>
      <c r="F20" s="334">
        <v>903666.8888837026</v>
      </c>
    </row>
    <row r="21" spans="1:6" s="281" customFormat="1" ht="18" customHeight="1">
      <c r="A21" s="171">
        <v>8</v>
      </c>
      <c r="B21" s="324" t="s">
        <v>605</v>
      </c>
      <c r="C21" s="324" t="s">
        <v>579</v>
      </c>
      <c r="D21" s="334">
        <v>2880</v>
      </c>
      <c r="E21" s="334">
        <v>276.2059537210888</v>
      </c>
      <c r="F21" s="334">
        <v>795473.1467167358</v>
      </c>
    </row>
    <row r="22" spans="1:6" s="281" customFormat="1" ht="18" customHeight="1">
      <c r="A22" s="171">
        <v>9</v>
      </c>
      <c r="B22" s="324" t="s">
        <v>606</v>
      </c>
      <c r="C22" s="324" t="s">
        <v>579</v>
      </c>
      <c r="D22" s="334">
        <v>2197</v>
      </c>
      <c r="E22" s="334">
        <v>350.92497139107616</v>
      </c>
      <c r="F22" s="334">
        <v>770982.1621461944</v>
      </c>
    </row>
    <row r="23" spans="1:6" s="281" customFormat="1" ht="18" customHeight="1">
      <c r="A23" s="171">
        <v>10</v>
      </c>
      <c r="B23" s="324" t="s">
        <v>607</v>
      </c>
      <c r="C23" s="324" t="s">
        <v>608</v>
      </c>
      <c r="D23" s="334">
        <v>3240</v>
      </c>
      <c r="E23" s="334">
        <v>236.11470030398866</v>
      </c>
      <c r="F23" s="334">
        <v>765011.6289849232</v>
      </c>
    </row>
    <row r="24" spans="1:6" s="281" customFormat="1" ht="18" customHeight="1">
      <c r="A24" s="171">
        <v>11</v>
      </c>
      <c r="B24" s="324" t="s">
        <v>609</v>
      </c>
      <c r="C24" s="324" t="s">
        <v>579</v>
      </c>
      <c r="D24" s="334">
        <v>2480</v>
      </c>
      <c r="E24" s="334">
        <v>307.5633754136019</v>
      </c>
      <c r="F24" s="334">
        <v>762757.1710257326</v>
      </c>
    </row>
    <row r="25" spans="1:6" s="281" customFormat="1" ht="18" customHeight="1">
      <c r="A25" s="171">
        <v>12</v>
      </c>
      <c r="B25" s="324" t="s">
        <v>610</v>
      </c>
      <c r="C25" s="324" t="s">
        <v>579</v>
      </c>
      <c r="D25" s="334">
        <v>2160</v>
      </c>
      <c r="E25" s="334">
        <v>317.18069581277797</v>
      </c>
      <c r="F25" s="334">
        <v>685110.3029556004</v>
      </c>
    </row>
    <row r="26" spans="1:6" s="281" customFormat="1" ht="18" customHeight="1">
      <c r="A26" s="171">
        <v>13</v>
      </c>
      <c r="B26" s="324" t="s">
        <v>559</v>
      </c>
      <c r="C26" s="324" t="s">
        <v>536</v>
      </c>
      <c r="D26" s="334">
        <v>666</v>
      </c>
      <c r="E26" s="334">
        <v>992.7777436464147</v>
      </c>
      <c r="F26" s="334">
        <v>661189.9772685124</v>
      </c>
    </row>
    <row r="27" spans="1:6" s="281" customFormat="1" ht="18" customHeight="1">
      <c r="A27" s="171">
        <v>14</v>
      </c>
      <c r="B27" s="324" t="s">
        <v>611</v>
      </c>
      <c r="C27" s="324" t="s">
        <v>536</v>
      </c>
      <c r="D27" s="334">
        <v>252</v>
      </c>
      <c r="E27" s="334">
        <v>2564.333313363225</v>
      </c>
      <c r="F27" s="334">
        <v>646211.9949675326</v>
      </c>
    </row>
    <row r="28" spans="1:6" s="281" customFormat="1" ht="18" customHeight="1">
      <c r="A28" s="171">
        <v>15</v>
      </c>
      <c r="B28" s="324" t="s">
        <v>612</v>
      </c>
      <c r="C28" s="324" t="s">
        <v>579</v>
      </c>
      <c r="D28" s="334">
        <v>1728</v>
      </c>
      <c r="E28" s="334">
        <v>310.66096943107897</v>
      </c>
      <c r="F28" s="334">
        <v>536822.1551769044</v>
      </c>
    </row>
    <row r="29" spans="1:6" s="281" customFormat="1" ht="18" customHeight="1">
      <c r="A29" s="171">
        <v>16</v>
      </c>
      <c r="B29" s="324" t="s">
        <v>611</v>
      </c>
      <c r="C29" s="324" t="s">
        <v>536</v>
      </c>
      <c r="D29" s="334">
        <v>360</v>
      </c>
      <c r="E29" s="334">
        <v>1422.5039964122657</v>
      </c>
      <c r="F29" s="334">
        <v>512101.4387084156</v>
      </c>
    </row>
    <row r="30" spans="1:6" s="281" customFormat="1" ht="18" customHeight="1">
      <c r="A30" s="171">
        <v>17</v>
      </c>
      <c r="B30" s="324" t="s">
        <v>613</v>
      </c>
      <c r="C30" s="324" t="s">
        <v>536</v>
      </c>
      <c r="D30" s="334">
        <v>86</v>
      </c>
      <c r="E30" s="334">
        <v>5688.551154652053</v>
      </c>
      <c r="F30" s="334">
        <v>489215.39930007653</v>
      </c>
    </row>
    <row r="31" spans="1:6" s="281" customFormat="1" ht="18" customHeight="1">
      <c r="A31" s="171">
        <v>18</v>
      </c>
      <c r="B31" s="324" t="s">
        <v>563</v>
      </c>
      <c r="C31" s="324" t="s">
        <v>536</v>
      </c>
      <c r="D31" s="334">
        <v>106</v>
      </c>
      <c r="E31" s="334">
        <v>4598.195558055819</v>
      </c>
      <c r="F31" s="334">
        <v>487408.7291539167</v>
      </c>
    </row>
    <row r="32" spans="1:6" s="281" customFormat="1" ht="18" customHeight="1">
      <c r="A32" s="171">
        <v>19</v>
      </c>
      <c r="B32" s="324" t="s">
        <v>614</v>
      </c>
      <c r="C32" s="324" t="s">
        <v>608</v>
      </c>
      <c r="D32" s="334">
        <v>2160</v>
      </c>
      <c r="E32" s="334">
        <v>222.5794627069447</v>
      </c>
      <c r="F32" s="334">
        <v>480771.6394470006</v>
      </c>
    </row>
    <row r="33" spans="1:6" s="281" customFormat="1" ht="18" customHeight="1">
      <c r="A33" s="171">
        <v>20</v>
      </c>
      <c r="B33" s="324" t="s">
        <v>615</v>
      </c>
      <c r="C33" s="324" t="s">
        <v>536</v>
      </c>
      <c r="D33" s="334">
        <v>269</v>
      </c>
      <c r="E33" s="334">
        <v>1773.5961742014633</v>
      </c>
      <c r="F33" s="334">
        <v>477097.3708601936</v>
      </c>
    </row>
    <row r="34" spans="1:6" s="281" customFormat="1" ht="18" customHeight="1">
      <c r="A34" s="171">
        <v>21</v>
      </c>
      <c r="B34" s="324" t="s">
        <v>616</v>
      </c>
      <c r="C34" s="324" t="s">
        <v>579</v>
      </c>
      <c r="D34" s="334">
        <v>1152</v>
      </c>
      <c r="E34" s="334">
        <v>409.2473305597655</v>
      </c>
      <c r="F34" s="334">
        <v>471452.92480484984</v>
      </c>
    </row>
    <row r="35" spans="1:6" s="281" customFormat="1" ht="18" customHeight="1">
      <c r="A35" s="171">
        <v>22</v>
      </c>
      <c r="B35" s="324" t="s">
        <v>617</v>
      </c>
      <c r="C35" s="324" t="s">
        <v>579</v>
      </c>
      <c r="D35" s="334">
        <v>1440</v>
      </c>
      <c r="E35" s="334">
        <v>325.3386214127415</v>
      </c>
      <c r="F35" s="334">
        <v>468487.6148343477</v>
      </c>
    </row>
    <row r="36" spans="1:6" s="281" customFormat="1" ht="18" customHeight="1">
      <c r="A36" s="171">
        <v>23</v>
      </c>
      <c r="B36" s="324" t="s">
        <v>618</v>
      </c>
      <c r="C36" s="324" t="s">
        <v>536</v>
      </c>
      <c r="D36" s="334">
        <v>4777</v>
      </c>
      <c r="E36" s="334">
        <v>96.78287296395553</v>
      </c>
      <c r="F36" s="334">
        <v>462331.78414881544</v>
      </c>
    </row>
    <row r="37" spans="1:6" s="281" customFormat="1" ht="18" customHeight="1">
      <c r="A37" s="171">
        <v>24</v>
      </c>
      <c r="B37" s="324" t="s">
        <v>619</v>
      </c>
      <c r="C37" s="324" t="s">
        <v>579</v>
      </c>
      <c r="D37" s="334">
        <v>1152</v>
      </c>
      <c r="E37" s="334">
        <v>398.9919493752652</v>
      </c>
      <c r="F37" s="334">
        <v>459638.72568030556</v>
      </c>
    </row>
    <row r="38" spans="1:6" s="281" customFormat="1" ht="18" customHeight="1">
      <c r="A38" s="171">
        <v>25</v>
      </c>
      <c r="B38" s="324" t="s">
        <v>620</v>
      </c>
      <c r="C38" s="324" t="s">
        <v>602</v>
      </c>
      <c r="D38" s="334">
        <v>2315</v>
      </c>
      <c r="E38" s="334">
        <v>182.80538011712218</v>
      </c>
      <c r="F38" s="334">
        <v>423194.45497113786</v>
      </c>
    </row>
    <row r="39" spans="1:6" s="281" customFormat="1" ht="18" customHeight="1">
      <c r="A39" s="171">
        <v>26</v>
      </c>
      <c r="B39" s="324" t="s">
        <v>556</v>
      </c>
      <c r="C39" s="324" t="s">
        <v>536</v>
      </c>
      <c r="D39" s="334">
        <v>1525.5</v>
      </c>
      <c r="E39" s="334">
        <v>268.8807255554883</v>
      </c>
      <c r="F39" s="334">
        <v>410177.5468348974</v>
      </c>
    </row>
    <row r="40" spans="1:6" s="281" customFormat="1" ht="18" customHeight="1">
      <c r="A40" s="171">
        <v>27</v>
      </c>
      <c r="B40" s="324" t="s">
        <v>621</v>
      </c>
      <c r="C40" s="324" t="s">
        <v>579</v>
      </c>
      <c r="D40" s="334">
        <v>1152</v>
      </c>
      <c r="E40" s="334">
        <v>351.3386820485554</v>
      </c>
      <c r="F40" s="334">
        <v>404742.16171993583</v>
      </c>
    </row>
    <row r="41" spans="1:6" s="281" customFormat="1" ht="18" customHeight="1">
      <c r="A41" s="171">
        <v>28</v>
      </c>
      <c r="B41" s="324" t="s">
        <v>622</v>
      </c>
      <c r="C41" s="324" t="s">
        <v>579</v>
      </c>
      <c r="D41" s="334">
        <v>1860</v>
      </c>
      <c r="E41" s="334">
        <v>216.84459085807472</v>
      </c>
      <c r="F41" s="334">
        <v>403330.938996019</v>
      </c>
    </row>
    <row r="42" spans="1:6" s="281" customFormat="1" ht="18" customHeight="1">
      <c r="A42" s="171">
        <v>29</v>
      </c>
      <c r="B42" s="324" t="s">
        <v>561</v>
      </c>
      <c r="C42" s="324" t="s">
        <v>536</v>
      </c>
      <c r="D42" s="334">
        <v>325</v>
      </c>
      <c r="E42" s="334">
        <v>1142.1555481508374</v>
      </c>
      <c r="F42" s="334">
        <v>371200.5531490222</v>
      </c>
    </row>
    <row r="43" spans="1:6" s="281" customFormat="1" ht="18" customHeight="1">
      <c r="A43" s="171">
        <v>30</v>
      </c>
      <c r="B43" s="324" t="s">
        <v>560</v>
      </c>
      <c r="C43" s="324" t="s">
        <v>579</v>
      </c>
      <c r="D43" s="334">
        <v>1104</v>
      </c>
      <c r="E43" s="334">
        <v>327.62941764460277</v>
      </c>
      <c r="F43" s="334">
        <v>361702.8770796414</v>
      </c>
    </row>
    <row r="44" spans="1:6" s="281" customFormat="1" ht="18" customHeight="1">
      <c r="A44" s="171">
        <v>31</v>
      </c>
      <c r="B44" s="324" t="s">
        <v>623</v>
      </c>
      <c r="C44" s="324" t="s">
        <v>536</v>
      </c>
      <c r="D44" s="334">
        <v>46</v>
      </c>
      <c r="E44" s="334">
        <v>7688.274207239305</v>
      </c>
      <c r="F44" s="334">
        <v>353660.61353300797</v>
      </c>
    </row>
    <row r="45" spans="1:6" s="281" customFormat="1" ht="18" customHeight="1">
      <c r="A45" s="171">
        <v>32</v>
      </c>
      <c r="B45" s="324" t="s">
        <v>558</v>
      </c>
      <c r="C45" s="324" t="s">
        <v>602</v>
      </c>
      <c r="D45" s="334">
        <v>1242</v>
      </c>
      <c r="E45" s="334">
        <v>264.6742405852085</v>
      </c>
      <c r="F45" s="334">
        <v>328725.406806829</v>
      </c>
    </row>
    <row r="46" spans="1:8" s="281" customFormat="1" ht="18" customHeight="1">
      <c r="A46" s="171">
        <v>33</v>
      </c>
      <c r="B46" s="324" t="s">
        <v>624</v>
      </c>
      <c r="C46" s="324" t="s">
        <v>579</v>
      </c>
      <c r="D46" s="334">
        <v>1080</v>
      </c>
      <c r="E46" s="334">
        <v>291.24628660918756</v>
      </c>
      <c r="F46" s="334">
        <v>314545.9895379226</v>
      </c>
      <c r="H46" s="311"/>
    </row>
    <row r="47" spans="1:8" s="281" customFormat="1" ht="18" customHeight="1">
      <c r="A47" s="171">
        <v>34</v>
      </c>
      <c r="B47" s="324" t="s">
        <v>562</v>
      </c>
      <c r="C47" s="324" t="s">
        <v>536</v>
      </c>
      <c r="D47" s="334">
        <v>482</v>
      </c>
      <c r="E47" s="334">
        <v>651.3773095592201</v>
      </c>
      <c r="F47" s="334">
        <v>313963.8632075441</v>
      </c>
      <c r="H47" s="312"/>
    </row>
    <row r="48" spans="1:6" s="281" customFormat="1" ht="18" customHeight="1">
      <c r="A48" s="171">
        <v>35</v>
      </c>
      <c r="B48" s="324" t="s">
        <v>625</v>
      </c>
      <c r="C48" s="324" t="s">
        <v>579</v>
      </c>
      <c r="D48" s="334">
        <v>1296</v>
      </c>
      <c r="E48" s="334">
        <v>241.28276556356485</v>
      </c>
      <c r="F48" s="334">
        <v>312702.46417038003</v>
      </c>
    </row>
    <row r="49" spans="1:6" s="281" customFormat="1" ht="18" customHeight="1">
      <c r="A49" s="171">
        <v>36</v>
      </c>
      <c r="B49" s="324" t="s">
        <v>566</v>
      </c>
      <c r="C49" s="324" t="s">
        <v>536</v>
      </c>
      <c r="D49" s="334">
        <v>964</v>
      </c>
      <c r="E49" s="334">
        <v>323.02970037936853</v>
      </c>
      <c r="F49" s="334">
        <v>311400.63116571127</v>
      </c>
    </row>
    <row r="50" spans="1:6" s="281" customFormat="1" ht="18" customHeight="1">
      <c r="A50" s="171">
        <v>37</v>
      </c>
      <c r="B50" s="324" t="s">
        <v>643</v>
      </c>
      <c r="C50" s="324" t="s">
        <v>579</v>
      </c>
      <c r="D50" s="334">
        <v>1080</v>
      </c>
      <c r="E50" s="334">
        <v>277.21573105363206</v>
      </c>
      <c r="F50" s="334">
        <v>299392.9895379226</v>
      </c>
    </row>
    <row r="51" spans="1:6" s="281" customFormat="1" ht="18" customHeight="1">
      <c r="A51" s="171">
        <v>38</v>
      </c>
      <c r="B51" s="324" t="s">
        <v>644</v>
      </c>
      <c r="C51" s="324" t="s">
        <v>536</v>
      </c>
      <c r="D51" s="334">
        <v>98</v>
      </c>
      <c r="E51" s="334">
        <v>2821.3981348784887</v>
      </c>
      <c r="F51" s="334">
        <v>276497.0172180919</v>
      </c>
    </row>
    <row r="52" spans="1:6" s="281" customFormat="1" ht="18" customHeight="1">
      <c r="A52" s="171">
        <v>39</v>
      </c>
      <c r="B52" s="324" t="s">
        <v>567</v>
      </c>
      <c r="C52" s="324" t="s">
        <v>536</v>
      </c>
      <c r="D52" s="334">
        <v>1043</v>
      </c>
      <c r="E52" s="334">
        <v>264.9878783150467</v>
      </c>
      <c r="F52" s="334">
        <v>276382.3570825937</v>
      </c>
    </row>
    <row r="53" spans="1:6" s="281" customFormat="1" ht="18" customHeight="1">
      <c r="A53" s="171">
        <v>40</v>
      </c>
      <c r="B53" s="324" t="s">
        <v>645</v>
      </c>
      <c r="C53" s="324" t="s">
        <v>579</v>
      </c>
      <c r="D53" s="334">
        <v>1080</v>
      </c>
      <c r="E53" s="334">
        <v>253.6484043951767</v>
      </c>
      <c r="F53" s="334">
        <v>273940.2767467908</v>
      </c>
    </row>
    <row r="54" spans="1:6" s="281" customFormat="1" ht="18" customHeight="1">
      <c r="A54" s="171">
        <v>41</v>
      </c>
      <c r="B54" s="324" t="s">
        <v>646</v>
      </c>
      <c r="C54" s="324" t="s">
        <v>536</v>
      </c>
      <c r="D54" s="334">
        <v>19432</v>
      </c>
      <c r="E54" s="334">
        <v>13.95284789828227</v>
      </c>
      <c r="F54" s="334">
        <v>271131.74035942106</v>
      </c>
    </row>
    <row r="55" spans="1:6" s="281" customFormat="1" ht="18" customHeight="1">
      <c r="A55" s="171">
        <v>42</v>
      </c>
      <c r="B55" s="324" t="s">
        <v>647</v>
      </c>
      <c r="C55" s="324" t="s">
        <v>579</v>
      </c>
      <c r="D55" s="334">
        <v>480</v>
      </c>
      <c r="E55" s="334">
        <v>560.5995877378436</v>
      </c>
      <c r="F55" s="334">
        <v>269087.8021141649</v>
      </c>
    </row>
    <row r="56" spans="1:6" s="281" customFormat="1" ht="18" customHeight="1">
      <c r="A56" s="171">
        <v>43</v>
      </c>
      <c r="B56" s="324" t="s">
        <v>568</v>
      </c>
      <c r="C56" s="324" t="s">
        <v>536</v>
      </c>
      <c r="D56" s="334">
        <v>801</v>
      </c>
      <c r="E56" s="334">
        <v>330.904995651082</v>
      </c>
      <c r="F56" s="334">
        <v>265054.9015165167</v>
      </c>
    </row>
    <row r="57" spans="1:6" s="281" customFormat="1" ht="18" customHeight="1">
      <c r="A57" s="171">
        <v>44</v>
      </c>
      <c r="B57" s="324" t="s">
        <v>648</v>
      </c>
      <c r="C57" s="324" t="s">
        <v>579</v>
      </c>
      <c r="D57" s="334">
        <v>320</v>
      </c>
      <c r="E57" s="334">
        <v>808.8651194503171</v>
      </c>
      <c r="F57" s="334">
        <v>258836.83822410146</v>
      </c>
    </row>
    <row r="58" spans="1:6" s="281" customFormat="1" ht="18" customHeight="1">
      <c r="A58" s="171">
        <v>45</v>
      </c>
      <c r="B58" s="324" t="s">
        <v>569</v>
      </c>
      <c r="C58" s="324" t="s">
        <v>536</v>
      </c>
      <c r="D58" s="334">
        <v>3192</v>
      </c>
      <c r="E58" s="334">
        <v>79.66</v>
      </c>
      <c r="F58" s="334">
        <v>254274.72</v>
      </c>
    </row>
    <row r="59" spans="1:6" s="281" customFormat="1" ht="18" customHeight="1">
      <c r="A59" s="171">
        <v>46</v>
      </c>
      <c r="B59" s="324" t="s">
        <v>649</v>
      </c>
      <c r="C59" s="324" t="s">
        <v>579</v>
      </c>
      <c r="D59" s="334">
        <v>864</v>
      </c>
      <c r="E59" s="334">
        <v>293.4960027158474</v>
      </c>
      <c r="F59" s="334">
        <v>253580.54634649213</v>
      </c>
    </row>
    <row r="60" spans="1:6" s="281" customFormat="1" ht="18" customHeight="1">
      <c r="A60" s="171">
        <v>47</v>
      </c>
      <c r="B60" s="324" t="s">
        <v>650</v>
      </c>
      <c r="C60" s="324" t="s">
        <v>579</v>
      </c>
      <c r="D60" s="334">
        <v>864</v>
      </c>
      <c r="E60" s="334">
        <v>293.4960027158474</v>
      </c>
      <c r="F60" s="334">
        <v>253580.54634649213</v>
      </c>
    </row>
    <row r="61" spans="1:6" s="281" customFormat="1" ht="18" customHeight="1">
      <c r="A61" s="171">
        <v>48</v>
      </c>
      <c r="B61" s="324" t="s">
        <v>651</v>
      </c>
      <c r="C61" s="324" t="s">
        <v>536</v>
      </c>
      <c r="D61" s="334">
        <v>40</v>
      </c>
      <c r="E61" s="334">
        <v>5957.71922819962</v>
      </c>
      <c r="F61" s="334">
        <v>238308.7691279848</v>
      </c>
    </row>
    <row r="62" spans="1:6" s="281" customFormat="1" ht="18" customHeight="1">
      <c r="A62" s="171">
        <v>49</v>
      </c>
      <c r="B62" s="324" t="s">
        <v>652</v>
      </c>
      <c r="C62" s="324" t="s">
        <v>536</v>
      </c>
      <c r="D62" s="334">
        <v>23</v>
      </c>
      <c r="E62" s="334">
        <v>9898.737356</v>
      </c>
      <c r="F62" s="334">
        <v>227670.95918799995</v>
      </c>
    </row>
    <row r="63" spans="1:6" s="281" customFormat="1" ht="18" customHeight="1">
      <c r="A63" s="171">
        <v>50</v>
      </c>
      <c r="B63" s="324" t="s">
        <v>571</v>
      </c>
      <c r="C63" s="324" t="s">
        <v>536</v>
      </c>
      <c r="D63" s="334">
        <v>2769</v>
      </c>
      <c r="E63" s="334">
        <v>81.95977720067859</v>
      </c>
      <c r="F63" s="334">
        <v>226946.62306867898</v>
      </c>
    </row>
    <row r="64" spans="1:6" s="281" customFormat="1" ht="18" customHeight="1">
      <c r="A64" s="171">
        <v>51</v>
      </c>
      <c r="B64" s="324" t="s">
        <v>653</v>
      </c>
      <c r="C64" s="324" t="s">
        <v>579</v>
      </c>
      <c r="D64" s="334">
        <v>320</v>
      </c>
      <c r="E64" s="334">
        <v>680.7280708245244</v>
      </c>
      <c r="F64" s="334">
        <v>217832.98266384777</v>
      </c>
    </row>
    <row r="65" spans="1:6" s="281" customFormat="1" ht="18" customHeight="1">
      <c r="A65" s="171">
        <v>52</v>
      </c>
      <c r="B65" s="324" t="s">
        <v>654</v>
      </c>
      <c r="C65" s="324" t="s">
        <v>579</v>
      </c>
      <c r="D65" s="334">
        <v>320</v>
      </c>
      <c r="E65" s="334">
        <v>648.6938086680761</v>
      </c>
      <c r="F65" s="334">
        <v>207582.01877378434</v>
      </c>
    </row>
    <row r="66" spans="1:6" s="281" customFormat="1" ht="18" customHeight="1">
      <c r="A66" s="171">
        <v>53</v>
      </c>
      <c r="B66" s="324" t="s">
        <v>655</v>
      </c>
      <c r="C66" s="324" t="s">
        <v>579</v>
      </c>
      <c r="D66" s="334">
        <v>360</v>
      </c>
      <c r="E66" s="334">
        <v>576.6167188160675</v>
      </c>
      <c r="F66" s="334">
        <v>207582.01877378434</v>
      </c>
    </row>
    <row r="67" spans="1:6" s="281" customFormat="1" ht="18" customHeight="1">
      <c r="A67" s="171">
        <v>54</v>
      </c>
      <c r="B67" s="324" t="s">
        <v>656</v>
      </c>
      <c r="C67" s="324" t="s">
        <v>536</v>
      </c>
      <c r="D67" s="334">
        <v>28</v>
      </c>
      <c r="E67" s="334">
        <v>7342.440071428573</v>
      </c>
      <c r="F67" s="334">
        <v>205588.32200000004</v>
      </c>
    </row>
    <row r="68" spans="1:6" s="281" customFormat="1" ht="18" customHeight="1">
      <c r="A68" s="171">
        <v>55</v>
      </c>
      <c r="B68" s="324" t="s">
        <v>657</v>
      </c>
      <c r="C68" s="324" t="s">
        <v>579</v>
      </c>
      <c r="D68" s="334">
        <v>540</v>
      </c>
      <c r="E68" s="334">
        <v>379.47252700626603</v>
      </c>
      <c r="F68" s="334">
        <v>204915.16458338365</v>
      </c>
    </row>
    <row r="69" spans="1:6" s="281" customFormat="1" ht="18" customHeight="1">
      <c r="A69" s="171">
        <v>56</v>
      </c>
      <c r="B69" s="324" t="s">
        <v>535</v>
      </c>
      <c r="C69" s="324" t="s">
        <v>536</v>
      </c>
      <c r="D69" s="334">
        <v>30</v>
      </c>
      <c r="E69" s="334">
        <v>6723.982720000003</v>
      </c>
      <c r="F69" s="334">
        <v>201719.48160000003</v>
      </c>
    </row>
    <row r="70" spans="1:6" s="281" customFormat="1" ht="18" customHeight="1">
      <c r="A70" s="171">
        <v>57</v>
      </c>
      <c r="B70" s="324" t="s">
        <v>658</v>
      </c>
      <c r="C70" s="324" t="s">
        <v>579</v>
      </c>
      <c r="D70" s="334">
        <v>240</v>
      </c>
      <c r="E70" s="334">
        <v>832.8908160676532</v>
      </c>
      <c r="F70" s="334">
        <v>199893.79585623677</v>
      </c>
    </row>
    <row r="71" spans="1:6" s="281" customFormat="1" ht="18" customHeight="1">
      <c r="A71" s="171">
        <v>58</v>
      </c>
      <c r="B71" s="324" t="s">
        <v>659</v>
      </c>
      <c r="C71" s="324" t="s">
        <v>579</v>
      </c>
      <c r="D71" s="334">
        <v>720</v>
      </c>
      <c r="E71" s="334">
        <v>277.546405988936</v>
      </c>
      <c r="F71" s="334">
        <v>199833.41231203394</v>
      </c>
    </row>
    <row r="72" spans="1:6" s="281" customFormat="1" ht="18" customHeight="1">
      <c r="A72" s="171">
        <v>59</v>
      </c>
      <c r="B72" s="324" t="s">
        <v>575</v>
      </c>
      <c r="C72" s="324" t="s">
        <v>536</v>
      </c>
      <c r="D72" s="334">
        <v>485</v>
      </c>
      <c r="E72" s="334">
        <v>412.0084292121855</v>
      </c>
      <c r="F72" s="334">
        <v>199824.08816791003</v>
      </c>
    </row>
    <row r="73" spans="1:6" s="281" customFormat="1" ht="18" customHeight="1">
      <c r="A73" s="171">
        <v>60</v>
      </c>
      <c r="B73" s="324" t="s">
        <v>554</v>
      </c>
      <c r="C73" s="324" t="s">
        <v>602</v>
      </c>
      <c r="D73" s="334">
        <v>385</v>
      </c>
      <c r="E73" s="334">
        <v>518.9870713746354</v>
      </c>
      <c r="F73" s="334">
        <v>199810.02247923464</v>
      </c>
    </row>
    <row r="74" spans="1:6" s="281" customFormat="1" ht="18" customHeight="1">
      <c r="A74" s="171">
        <v>61</v>
      </c>
      <c r="B74" s="324" t="s">
        <v>660</v>
      </c>
      <c r="C74" s="324" t="s">
        <v>536</v>
      </c>
      <c r="D74" s="334">
        <v>83</v>
      </c>
      <c r="E74" s="334">
        <v>2251.0522714394056</v>
      </c>
      <c r="F74" s="334">
        <v>186837.33852947067</v>
      </c>
    </row>
    <row r="75" spans="1:6" s="281" customFormat="1" ht="18" customHeight="1">
      <c r="A75" s="171">
        <v>62</v>
      </c>
      <c r="B75" s="324" t="s">
        <v>661</v>
      </c>
      <c r="C75" s="324" t="s">
        <v>608</v>
      </c>
      <c r="D75" s="334">
        <v>864</v>
      </c>
      <c r="E75" s="334">
        <v>213.55597097558206</v>
      </c>
      <c r="F75" s="334">
        <v>184512.3589229029</v>
      </c>
    </row>
    <row r="76" spans="1:6" s="281" customFormat="1" ht="18" customHeight="1">
      <c r="A76" s="171">
        <v>63</v>
      </c>
      <c r="B76" s="324" t="s">
        <v>662</v>
      </c>
      <c r="C76" s="324" t="s">
        <v>608</v>
      </c>
      <c r="D76" s="334">
        <v>900</v>
      </c>
      <c r="E76" s="334">
        <v>203.02856395565902</v>
      </c>
      <c r="F76" s="334">
        <v>182725.7075600931</v>
      </c>
    </row>
    <row r="77" spans="1:6" s="281" customFormat="1" ht="18" customHeight="1">
      <c r="A77" s="171">
        <v>64</v>
      </c>
      <c r="B77" s="324" t="s">
        <v>576</v>
      </c>
      <c r="C77" s="324" t="s">
        <v>536</v>
      </c>
      <c r="D77" s="334">
        <v>792</v>
      </c>
      <c r="E77" s="334">
        <v>230.53</v>
      </c>
      <c r="F77" s="334">
        <v>182579.76</v>
      </c>
    </row>
    <row r="78" spans="1:6" s="281" customFormat="1" ht="18" customHeight="1">
      <c r="A78" s="171">
        <v>65</v>
      </c>
      <c r="B78" s="324" t="s">
        <v>557</v>
      </c>
      <c r="C78" s="324" t="s">
        <v>579</v>
      </c>
      <c r="D78" s="334">
        <v>498</v>
      </c>
      <c r="E78" s="334">
        <v>358.66942952397477</v>
      </c>
      <c r="F78" s="334">
        <v>178617.37590293944</v>
      </c>
    </row>
    <row r="79" spans="1:6" s="281" customFormat="1" ht="18" customHeight="1">
      <c r="A79" s="171">
        <v>66</v>
      </c>
      <c r="B79" s="324" t="s">
        <v>663</v>
      </c>
      <c r="C79" s="324" t="s">
        <v>579</v>
      </c>
      <c r="D79" s="334">
        <v>240</v>
      </c>
      <c r="E79" s="334">
        <v>736.7880295983088</v>
      </c>
      <c r="F79" s="334">
        <v>176829.1271035941</v>
      </c>
    </row>
    <row r="80" spans="1:6" s="281" customFormat="1" ht="18" customHeight="1">
      <c r="A80" s="171">
        <v>67</v>
      </c>
      <c r="B80" s="324" t="s">
        <v>573</v>
      </c>
      <c r="C80" s="324" t="s">
        <v>536</v>
      </c>
      <c r="D80" s="334">
        <v>973</v>
      </c>
      <c r="E80" s="334">
        <v>180.203609811136</v>
      </c>
      <c r="F80" s="334">
        <v>175338.11234623528</v>
      </c>
    </row>
    <row r="81" spans="1:6" s="281" customFormat="1" ht="18" customHeight="1">
      <c r="A81" s="171">
        <v>68</v>
      </c>
      <c r="B81" s="324" t="s">
        <v>611</v>
      </c>
      <c r="C81" s="324" t="s">
        <v>536</v>
      </c>
      <c r="D81" s="334">
        <v>49</v>
      </c>
      <c r="E81" s="334">
        <v>3550.491780343505</v>
      </c>
      <c r="F81" s="334">
        <v>173974.0972368317</v>
      </c>
    </row>
    <row r="82" spans="1:6" s="281" customFormat="1" ht="18" customHeight="1">
      <c r="A82" s="171">
        <v>69</v>
      </c>
      <c r="B82" s="324" t="s">
        <v>574</v>
      </c>
      <c r="C82" s="324" t="s">
        <v>536</v>
      </c>
      <c r="D82" s="334">
        <v>127</v>
      </c>
      <c r="E82" s="334">
        <v>1357.0399999999997</v>
      </c>
      <c r="F82" s="334">
        <v>172344.07999999996</v>
      </c>
    </row>
    <row r="83" spans="1:6" s="281" customFormat="1" ht="18" customHeight="1">
      <c r="A83" s="171">
        <v>70</v>
      </c>
      <c r="B83" s="324" t="s">
        <v>626</v>
      </c>
      <c r="C83" s="324" t="s">
        <v>536</v>
      </c>
      <c r="D83" s="334">
        <v>22</v>
      </c>
      <c r="E83" s="334">
        <v>7750.164836363635</v>
      </c>
      <c r="F83" s="334">
        <v>170503.62639999992</v>
      </c>
    </row>
    <row r="84" spans="1:6" s="281" customFormat="1" ht="18" customHeight="1">
      <c r="A84" s="171">
        <v>71</v>
      </c>
      <c r="B84" s="324" t="s">
        <v>627</v>
      </c>
      <c r="C84" s="324" t="s">
        <v>536</v>
      </c>
      <c r="D84" s="334">
        <v>22</v>
      </c>
      <c r="E84" s="334">
        <v>7594.959604545455</v>
      </c>
      <c r="F84" s="334">
        <v>167089.1113</v>
      </c>
    </row>
    <row r="85" spans="1:6" s="281" customFormat="1" ht="18" customHeight="1">
      <c r="A85" s="171">
        <v>72</v>
      </c>
      <c r="B85" s="324" t="s">
        <v>565</v>
      </c>
      <c r="C85" s="324" t="s">
        <v>536</v>
      </c>
      <c r="D85" s="334">
        <v>432</v>
      </c>
      <c r="E85" s="334">
        <v>380.6353579986309</v>
      </c>
      <c r="F85" s="334">
        <v>164434.47465540856</v>
      </c>
    </row>
    <row r="86" spans="1:6" s="281" customFormat="1" ht="18" customHeight="1">
      <c r="A86" s="171">
        <v>73</v>
      </c>
      <c r="B86" s="324" t="s">
        <v>628</v>
      </c>
      <c r="C86" s="324" t="s">
        <v>579</v>
      </c>
      <c r="D86" s="334">
        <v>432</v>
      </c>
      <c r="E86" s="334">
        <v>370.1945250250223</v>
      </c>
      <c r="F86" s="334">
        <v>159924.03481080962</v>
      </c>
    </row>
    <row r="87" spans="1:6" s="281" customFormat="1" ht="18" customHeight="1">
      <c r="A87" s="171">
        <v>74</v>
      </c>
      <c r="B87" s="324" t="s">
        <v>629</v>
      </c>
      <c r="C87" s="324" t="s">
        <v>579</v>
      </c>
      <c r="D87" s="334">
        <v>432</v>
      </c>
      <c r="E87" s="334">
        <v>366.9104268761828</v>
      </c>
      <c r="F87" s="334">
        <v>158505.30441051093</v>
      </c>
    </row>
    <row r="88" spans="1:6" s="281" customFormat="1" ht="18" customHeight="1">
      <c r="A88" s="171">
        <v>75</v>
      </c>
      <c r="B88" s="324" t="s">
        <v>630</v>
      </c>
      <c r="C88" s="324" t="s">
        <v>579</v>
      </c>
      <c r="D88" s="334">
        <v>240</v>
      </c>
      <c r="E88" s="334">
        <v>656.7023742071881</v>
      </c>
      <c r="F88" s="334">
        <v>157608.56980972513</v>
      </c>
    </row>
    <row r="89" spans="1:6" s="281" customFormat="1" ht="18" customHeight="1">
      <c r="A89" s="171">
        <v>76</v>
      </c>
      <c r="B89" s="324" t="s">
        <v>631</v>
      </c>
      <c r="C89" s="324" t="s">
        <v>579</v>
      </c>
      <c r="D89" s="334">
        <v>540</v>
      </c>
      <c r="E89" s="334">
        <v>279.4966243949339</v>
      </c>
      <c r="F89" s="334">
        <v>150928.17717326432</v>
      </c>
    </row>
    <row r="90" spans="1:6" s="281" customFormat="1" ht="18" customHeight="1">
      <c r="A90" s="171">
        <v>77</v>
      </c>
      <c r="B90" s="324" t="s">
        <v>632</v>
      </c>
      <c r="C90" s="324" t="s">
        <v>536</v>
      </c>
      <c r="D90" s="334">
        <v>13</v>
      </c>
      <c r="E90" s="334">
        <v>10940.42317692308</v>
      </c>
      <c r="F90" s="334">
        <v>142225.50130000003</v>
      </c>
    </row>
    <row r="91" spans="1:6" s="281" customFormat="1" ht="18" customHeight="1">
      <c r="A91" s="171">
        <v>78</v>
      </c>
      <c r="B91" s="324" t="s">
        <v>577</v>
      </c>
      <c r="C91" s="324" t="s">
        <v>536</v>
      </c>
      <c r="D91" s="334">
        <v>2112</v>
      </c>
      <c r="E91" s="334">
        <v>65.81</v>
      </c>
      <c r="F91" s="334">
        <v>138990.72</v>
      </c>
    </row>
    <row r="92" spans="1:6" s="281" customFormat="1" ht="18" customHeight="1">
      <c r="A92" s="171">
        <v>79</v>
      </c>
      <c r="B92" s="324" t="s">
        <v>633</v>
      </c>
      <c r="C92" s="324" t="s">
        <v>579</v>
      </c>
      <c r="D92" s="334">
        <v>480</v>
      </c>
      <c r="E92" s="334">
        <v>284.22651847815337</v>
      </c>
      <c r="F92" s="334">
        <v>136428.72886951364</v>
      </c>
    </row>
    <row r="93" spans="1:6" s="281" customFormat="1" ht="18" customHeight="1">
      <c r="A93" s="171">
        <v>80</v>
      </c>
      <c r="B93" s="324" t="s">
        <v>634</v>
      </c>
      <c r="C93" s="324" t="s">
        <v>536</v>
      </c>
      <c r="D93" s="334">
        <v>586</v>
      </c>
      <c r="E93" s="334">
        <v>230.16793894633471</v>
      </c>
      <c r="F93" s="334">
        <v>134878.41222255217</v>
      </c>
    </row>
    <row r="94" spans="1:6" s="281" customFormat="1" ht="18" customHeight="1">
      <c r="A94" s="171">
        <v>81</v>
      </c>
      <c r="B94" s="324" t="s">
        <v>635</v>
      </c>
      <c r="C94" s="324" t="s">
        <v>536</v>
      </c>
      <c r="D94" s="334">
        <v>41</v>
      </c>
      <c r="E94" s="334">
        <v>3219.8032097942432</v>
      </c>
      <c r="F94" s="334">
        <v>132011.93160156396</v>
      </c>
    </row>
    <row r="95" spans="1:6" s="281" customFormat="1" ht="18" customHeight="1">
      <c r="A95" s="171">
        <v>82</v>
      </c>
      <c r="B95" s="324" t="s">
        <v>570</v>
      </c>
      <c r="C95" s="324" t="s">
        <v>536</v>
      </c>
      <c r="D95" s="334">
        <v>1408</v>
      </c>
      <c r="E95" s="334">
        <v>93.50807200802676</v>
      </c>
      <c r="F95" s="334">
        <v>131659.36538730166</v>
      </c>
    </row>
    <row r="96" spans="1:6" s="281" customFormat="1" ht="18" customHeight="1">
      <c r="A96" s="171">
        <v>83</v>
      </c>
      <c r="B96" s="324" t="s">
        <v>578</v>
      </c>
      <c r="C96" s="324" t="s">
        <v>536</v>
      </c>
      <c r="D96" s="334">
        <v>1481</v>
      </c>
      <c r="E96" s="334">
        <v>84.6662384905648</v>
      </c>
      <c r="F96" s="334">
        <v>125390.69920452649</v>
      </c>
    </row>
    <row r="97" spans="1:6" s="281" customFormat="1" ht="18" customHeight="1">
      <c r="A97" s="171">
        <v>84</v>
      </c>
      <c r="B97" s="324" t="s">
        <v>636</v>
      </c>
      <c r="C97" s="324" t="s">
        <v>579</v>
      </c>
      <c r="D97" s="334">
        <v>240</v>
      </c>
      <c r="E97" s="334">
        <v>512.5481945031713</v>
      </c>
      <c r="F97" s="334">
        <v>123011.56668076111</v>
      </c>
    </row>
    <row r="98" spans="1:6" s="281" customFormat="1" ht="18" customHeight="1">
      <c r="A98" s="171">
        <v>85</v>
      </c>
      <c r="B98" s="324" t="s">
        <v>637</v>
      </c>
      <c r="C98" s="324" t="s">
        <v>638</v>
      </c>
      <c r="D98" s="334">
        <v>499</v>
      </c>
      <c r="E98" s="334">
        <v>242.56049764122417</v>
      </c>
      <c r="F98" s="334">
        <v>121037.68832297086</v>
      </c>
    </row>
    <row r="99" spans="1:6" s="281" customFormat="1" ht="18" customHeight="1">
      <c r="A99" s="171">
        <v>86</v>
      </c>
      <c r="B99" s="324" t="s">
        <v>639</v>
      </c>
      <c r="C99" s="324" t="s">
        <v>536</v>
      </c>
      <c r="D99" s="334">
        <v>19</v>
      </c>
      <c r="E99" s="334">
        <v>5972.634994736843</v>
      </c>
      <c r="F99" s="334">
        <v>113480.0649</v>
      </c>
    </row>
    <row r="100" spans="1:6" s="281" customFormat="1" ht="18" customHeight="1">
      <c r="A100" s="171">
        <v>87</v>
      </c>
      <c r="B100" s="324" t="s">
        <v>572</v>
      </c>
      <c r="C100" s="324" t="s">
        <v>536</v>
      </c>
      <c r="D100" s="334">
        <v>73</v>
      </c>
      <c r="E100" s="334">
        <v>1514.8947691476362</v>
      </c>
      <c r="F100" s="334">
        <v>110587.31814777743</v>
      </c>
    </row>
    <row r="101" spans="1:6" s="281" customFormat="1" ht="18" customHeight="1">
      <c r="A101" s="171">
        <v>88</v>
      </c>
      <c r="B101" s="324" t="s">
        <v>640</v>
      </c>
      <c r="C101" s="324" t="s">
        <v>536</v>
      </c>
      <c r="D101" s="334">
        <v>150</v>
      </c>
      <c r="E101" s="334">
        <v>711.8103641025637</v>
      </c>
      <c r="F101" s="334">
        <v>106771.55461538455</v>
      </c>
    </row>
    <row r="102" spans="1:6" s="281" customFormat="1" ht="18" customHeight="1">
      <c r="A102" s="171">
        <v>89</v>
      </c>
      <c r="B102" s="324" t="s">
        <v>641</v>
      </c>
      <c r="C102" s="324" t="s">
        <v>608</v>
      </c>
      <c r="D102" s="334">
        <v>804</v>
      </c>
      <c r="E102" s="334">
        <v>130</v>
      </c>
      <c r="F102" s="334">
        <v>104520</v>
      </c>
    </row>
    <row r="103" spans="1:6" s="281" customFormat="1" ht="18" customHeight="1">
      <c r="A103" s="171">
        <v>90</v>
      </c>
      <c r="B103" s="324" t="s">
        <v>642</v>
      </c>
      <c r="C103" s="324" t="s">
        <v>602</v>
      </c>
      <c r="D103" s="334">
        <v>336</v>
      </c>
      <c r="E103" s="334">
        <v>298.12</v>
      </c>
      <c r="F103" s="334">
        <v>100168.32</v>
      </c>
    </row>
    <row r="104" spans="1:6" s="281" customFormat="1" ht="18" customHeight="1">
      <c r="A104" s="171"/>
      <c r="B104" s="324"/>
      <c r="C104" s="324"/>
      <c r="D104" s="334"/>
      <c r="E104" s="334"/>
      <c r="F104" s="334"/>
    </row>
    <row r="105" spans="1:6" s="281" customFormat="1" ht="18" customHeight="1">
      <c r="A105" s="171"/>
      <c r="B105" s="324"/>
      <c r="C105" s="324"/>
      <c r="D105" s="334"/>
      <c r="E105" s="334"/>
      <c r="F105" s="334"/>
    </row>
    <row r="106" spans="1:6" s="281" customFormat="1" ht="18" customHeight="1">
      <c r="A106" s="171">
        <v>92</v>
      </c>
      <c r="B106" s="309" t="s">
        <v>580</v>
      </c>
      <c r="C106" s="309"/>
      <c r="D106" s="310"/>
      <c r="E106" s="310"/>
      <c r="F106" s="298">
        <v>4675491</v>
      </c>
    </row>
    <row r="107" spans="1:6" ht="25.5" customHeight="1">
      <c r="A107" s="299"/>
      <c r="B107" s="164" t="s">
        <v>511</v>
      </c>
      <c r="C107" s="165"/>
      <c r="D107" s="300"/>
      <c r="E107" s="301"/>
      <c r="F107" s="302">
        <f>SUM(F14:F106)</f>
        <v>37172130.6533806</v>
      </c>
    </row>
    <row r="110" spans="1:2" ht="12.75">
      <c r="A110" s="313" t="s">
        <v>537</v>
      </c>
      <c r="B110" s="313" t="s">
        <v>538</v>
      </c>
    </row>
    <row r="114" spans="2:6" ht="15">
      <c r="B114" s="291"/>
      <c r="D114" s="390" t="s">
        <v>512</v>
      </c>
      <c r="E114" s="390"/>
      <c r="F114" s="390"/>
    </row>
    <row r="115" spans="2:6" ht="15">
      <c r="B115" s="291"/>
      <c r="D115" s="303"/>
      <c r="E115" s="288"/>
      <c r="F115" s="303"/>
    </row>
    <row r="116" ht="12.75">
      <c r="E116" s="238" t="s">
        <v>532</v>
      </c>
    </row>
  </sheetData>
  <sheetProtection/>
  <mergeCells count="2">
    <mergeCell ref="B2:F2"/>
    <mergeCell ref="D114:F114"/>
  </mergeCells>
  <printOptions/>
  <pageMargins left="0.41" right="0.22" top="0.63" bottom="0.47" header="0.21" footer="0.2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6.28125" style="0" customWidth="1"/>
    <col min="2" max="2" width="20.140625" style="0" customWidth="1"/>
    <col min="3" max="3" width="18.28125" style="0" customWidth="1"/>
    <col min="4" max="4" width="15.421875" style="0" customWidth="1"/>
    <col min="5" max="5" width="13.57421875" style="314" customWidth="1"/>
  </cols>
  <sheetData>
    <row r="1" ht="15.75">
      <c r="A1" s="159" t="s">
        <v>546</v>
      </c>
    </row>
    <row r="2" ht="14.25">
      <c r="A2" s="282"/>
    </row>
    <row r="3" ht="14.25">
      <c r="A3" s="282"/>
    </row>
    <row r="4" ht="14.25">
      <c r="A4" s="283" t="s">
        <v>589</v>
      </c>
    </row>
    <row r="5" ht="15">
      <c r="A5" s="284"/>
    </row>
    <row r="6" spans="1:5" ht="15">
      <c r="A6" s="285" t="s">
        <v>281</v>
      </c>
      <c r="B6" s="285" t="s">
        <v>507</v>
      </c>
      <c r="C6" s="285" t="s">
        <v>508</v>
      </c>
      <c r="D6" s="285" t="s">
        <v>509</v>
      </c>
      <c r="E6" s="315" t="s">
        <v>510</v>
      </c>
    </row>
    <row r="7" spans="1:5" ht="12.75">
      <c r="A7" s="171">
        <v>1</v>
      </c>
      <c r="B7" s="307" t="s">
        <v>547</v>
      </c>
      <c r="C7" s="308" t="s">
        <v>549</v>
      </c>
      <c r="D7" s="171"/>
      <c r="E7" s="316">
        <v>21000</v>
      </c>
    </row>
    <row r="8" spans="1:5" ht="12.75">
      <c r="A8" s="171">
        <v>2</v>
      </c>
      <c r="B8" s="307" t="s">
        <v>548</v>
      </c>
      <c r="C8" s="308" t="s">
        <v>550</v>
      </c>
      <c r="D8" s="171"/>
      <c r="E8" s="316">
        <v>3303677</v>
      </c>
    </row>
    <row r="9" spans="1:5" ht="12.75">
      <c r="A9" s="171">
        <v>3</v>
      </c>
      <c r="B9" s="307" t="s">
        <v>551</v>
      </c>
      <c r="C9" s="308" t="s">
        <v>582</v>
      </c>
      <c r="D9" s="171"/>
      <c r="E9" s="316">
        <v>970444</v>
      </c>
    </row>
    <row r="10" spans="1:5" ht="12.75">
      <c r="A10" s="171">
        <v>4</v>
      </c>
      <c r="B10" s="268"/>
      <c r="C10" s="171"/>
      <c r="D10" s="171"/>
      <c r="E10" s="316"/>
    </row>
    <row r="11" spans="1:5" ht="12.75">
      <c r="A11" s="171">
        <v>5</v>
      </c>
      <c r="B11" s="286"/>
      <c r="C11" s="171"/>
      <c r="D11" s="268"/>
      <c r="E11" s="316"/>
    </row>
    <row r="12" spans="1:5" ht="12.75">
      <c r="A12" s="171">
        <v>6</v>
      </c>
      <c r="B12" s="286"/>
      <c r="C12" s="171"/>
      <c r="D12" s="268"/>
      <c r="E12" s="316"/>
    </row>
    <row r="13" spans="1:5" ht="12.75">
      <c r="A13" s="171">
        <v>7</v>
      </c>
      <c r="B13" s="286"/>
      <c r="C13" s="171"/>
      <c r="D13" s="268"/>
      <c r="E13" s="316"/>
    </row>
    <row r="14" spans="1:5" ht="12.75">
      <c r="A14" s="171">
        <v>8</v>
      </c>
      <c r="B14" s="286"/>
      <c r="C14" s="171"/>
      <c r="D14" s="268"/>
      <c r="E14" s="316"/>
    </row>
    <row r="15" spans="1:5" ht="12.75">
      <c r="A15" s="171">
        <v>9</v>
      </c>
      <c r="B15" s="286"/>
      <c r="C15" s="171"/>
      <c r="D15" s="268"/>
      <c r="E15" s="316"/>
    </row>
    <row r="16" spans="1:5" ht="12.75">
      <c r="A16" s="171">
        <v>10</v>
      </c>
      <c r="B16" s="268"/>
      <c r="C16" s="171"/>
      <c r="D16" s="268"/>
      <c r="E16" s="316"/>
    </row>
    <row r="17" spans="1:5" ht="12.75">
      <c r="A17" s="171">
        <v>11</v>
      </c>
      <c r="B17" s="268"/>
      <c r="C17" s="171"/>
      <c r="D17" s="268"/>
      <c r="E17" s="316"/>
    </row>
    <row r="18" spans="1:5" ht="12.75">
      <c r="A18" s="171">
        <v>12</v>
      </c>
      <c r="B18" s="268"/>
      <c r="C18" s="171"/>
      <c r="D18" s="268"/>
      <c r="E18" s="316"/>
    </row>
    <row r="19" spans="1:5" ht="12.75">
      <c r="A19" s="171">
        <v>13</v>
      </c>
      <c r="B19" s="268"/>
      <c r="C19" s="171"/>
      <c r="D19" s="268"/>
      <c r="E19" s="316"/>
    </row>
    <row r="20" spans="1:5" ht="12.75">
      <c r="A20" s="171">
        <v>14</v>
      </c>
      <c r="B20" s="268"/>
      <c r="C20" s="171"/>
      <c r="D20" s="268"/>
      <c r="E20" s="316"/>
    </row>
    <row r="21" spans="1:5" ht="12.75">
      <c r="A21" s="171">
        <v>15</v>
      </c>
      <c r="B21" s="268"/>
      <c r="C21" s="268"/>
      <c r="D21" s="268"/>
      <c r="E21" s="316"/>
    </row>
    <row r="22" spans="1:5" ht="12.75">
      <c r="A22" s="171">
        <v>16</v>
      </c>
      <c r="B22" s="268"/>
      <c r="C22" s="268"/>
      <c r="D22" s="268"/>
      <c r="E22" s="316"/>
    </row>
    <row r="23" spans="1:5" ht="12.75">
      <c r="A23" s="171">
        <v>17</v>
      </c>
      <c r="B23" s="268"/>
      <c r="C23" s="268"/>
      <c r="D23" s="268"/>
      <c r="E23" s="316"/>
    </row>
    <row r="24" spans="1:5" ht="12.75">
      <c r="A24" s="171">
        <v>18</v>
      </c>
      <c r="B24" s="268"/>
      <c r="C24" s="268"/>
      <c r="D24" s="268"/>
      <c r="E24" s="316"/>
    </row>
    <row r="25" spans="1:5" ht="12.75">
      <c r="A25" s="171">
        <v>19</v>
      </c>
      <c r="B25" s="268"/>
      <c r="C25" s="268"/>
      <c r="D25" s="268"/>
      <c r="E25" s="316"/>
    </row>
    <row r="26" spans="1:5" ht="12.75">
      <c r="A26" s="171">
        <v>20</v>
      </c>
      <c r="B26" s="268"/>
      <c r="C26" s="268"/>
      <c r="D26" s="268"/>
      <c r="E26" s="316"/>
    </row>
    <row r="27" spans="1:5" ht="15">
      <c r="A27" s="391" t="s">
        <v>511</v>
      </c>
      <c r="B27" s="391"/>
      <c r="C27" s="268"/>
      <c r="D27" s="268"/>
      <c r="E27" s="317">
        <f>SUM(E7:E26)</f>
        <v>4295121</v>
      </c>
    </row>
    <row r="28" ht="15">
      <c r="A28" s="287"/>
    </row>
    <row r="31" spans="4:9" ht="15">
      <c r="D31" s="390" t="s">
        <v>512</v>
      </c>
      <c r="E31" s="390"/>
      <c r="F31" s="289"/>
      <c r="G31" s="289"/>
      <c r="H31" s="289"/>
      <c r="I31" s="289"/>
    </row>
    <row r="32" spans="5:9" ht="12.75">
      <c r="E32" s="392"/>
      <c r="F32" s="392"/>
      <c r="G32" s="392"/>
      <c r="H32" s="392"/>
      <c r="I32" s="196"/>
    </row>
    <row r="33" spans="4:7" ht="12.75">
      <c r="D33" s="393" t="s">
        <v>532</v>
      </c>
      <c r="E33" s="393"/>
      <c r="F33" s="238"/>
      <c r="G33" s="238"/>
    </row>
  </sheetData>
  <sheetProtection/>
  <mergeCells count="5">
    <mergeCell ref="A27:B27"/>
    <mergeCell ref="D31:E31"/>
    <mergeCell ref="E32:F32"/>
    <mergeCell ref="G32:H32"/>
    <mergeCell ref="D33:E33"/>
  </mergeCells>
  <printOptions horizontalCentered="1"/>
  <pageMargins left="0.41" right="0.25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  <col min="9" max="10" width="10.140625" style="0" bestFit="1" customWidth="1"/>
    <col min="13" max="13" width="12.28125" style="0" customWidth="1"/>
  </cols>
  <sheetData>
    <row r="1" ht="15.75">
      <c r="B1" s="159" t="s">
        <v>546</v>
      </c>
    </row>
    <row r="2" ht="12.75">
      <c r="B2" s="160" t="s">
        <v>531</v>
      </c>
    </row>
    <row r="3" ht="12.75">
      <c r="B3" s="161"/>
    </row>
    <row r="4" spans="2:7" ht="15.75">
      <c r="B4" s="395" t="s">
        <v>590</v>
      </c>
      <c r="C4" s="395"/>
      <c r="D4" s="395"/>
      <c r="E4" s="395"/>
      <c r="F4" s="395"/>
      <c r="G4" s="395"/>
    </row>
    <row r="5" ht="13.5" thickBot="1"/>
    <row r="6" spans="1:7" ht="12.75">
      <c r="A6" s="396" t="s">
        <v>95</v>
      </c>
      <c r="B6" s="398" t="s">
        <v>333</v>
      </c>
      <c r="C6" s="400" t="s">
        <v>334</v>
      </c>
      <c r="D6" s="162" t="s">
        <v>335</v>
      </c>
      <c r="E6" s="400" t="s">
        <v>336</v>
      </c>
      <c r="F6" s="400" t="s">
        <v>337</v>
      </c>
      <c r="G6" s="163" t="s">
        <v>335</v>
      </c>
    </row>
    <row r="7" spans="1:9" ht="12.75">
      <c r="A7" s="397"/>
      <c r="B7" s="399"/>
      <c r="C7" s="401"/>
      <c r="D7" s="166">
        <v>41275</v>
      </c>
      <c r="E7" s="401"/>
      <c r="F7" s="401"/>
      <c r="G7" s="167">
        <v>41639</v>
      </c>
      <c r="H7" s="168"/>
      <c r="I7" s="168"/>
    </row>
    <row r="8" spans="1:9" ht="12.75">
      <c r="A8" s="169">
        <v>1</v>
      </c>
      <c r="B8" s="170" t="s">
        <v>338</v>
      </c>
      <c r="C8" s="171"/>
      <c r="D8" s="172">
        <v>0</v>
      </c>
      <c r="E8" s="172"/>
      <c r="F8" s="172"/>
      <c r="G8" s="173">
        <f aca="true" t="shared" si="0" ref="G8:G13">D8+E8-F8</f>
        <v>0</v>
      </c>
      <c r="H8" s="168"/>
      <c r="I8" s="168"/>
    </row>
    <row r="9" spans="1:9" ht="12.75">
      <c r="A9" s="169">
        <v>2</v>
      </c>
      <c r="B9" s="170" t="s">
        <v>339</v>
      </c>
      <c r="C9" s="171">
        <v>1</v>
      </c>
      <c r="D9" s="172">
        <v>511852</v>
      </c>
      <c r="E9" s="335">
        <f>17483750</f>
        <v>17483750</v>
      </c>
      <c r="F9" s="172"/>
      <c r="G9" s="173">
        <f t="shared" si="0"/>
        <v>17995602</v>
      </c>
      <c r="H9" s="174"/>
      <c r="I9" s="175"/>
    </row>
    <row r="10" spans="1:9" ht="12.75">
      <c r="A10" s="169">
        <v>3</v>
      </c>
      <c r="B10" s="170" t="s">
        <v>340</v>
      </c>
      <c r="C10" s="171">
        <v>1</v>
      </c>
      <c r="D10" s="172">
        <v>31500</v>
      </c>
      <c r="E10" s="172">
        <v>5080</v>
      </c>
      <c r="F10" s="172"/>
      <c r="G10" s="173">
        <f t="shared" si="0"/>
        <v>36580</v>
      </c>
      <c r="H10" s="174"/>
      <c r="I10" s="175"/>
    </row>
    <row r="11" spans="1:9" ht="12.75">
      <c r="A11" s="169">
        <v>4</v>
      </c>
      <c r="B11" s="170" t="s">
        <v>341</v>
      </c>
      <c r="C11" s="171">
        <v>1</v>
      </c>
      <c r="D11" s="172">
        <v>4295121</v>
      </c>
      <c r="E11" s="172"/>
      <c r="F11" s="172"/>
      <c r="G11" s="173">
        <f t="shared" si="0"/>
        <v>4295121</v>
      </c>
      <c r="H11" s="174"/>
      <c r="I11" s="175"/>
    </row>
    <row r="12" spans="1:9" ht="12.75">
      <c r="A12" s="169">
        <v>5</v>
      </c>
      <c r="B12" s="170" t="s">
        <v>342</v>
      </c>
      <c r="C12" s="171">
        <v>2</v>
      </c>
      <c r="D12" s="172">
        <v>100407</v>
      </c>
      <c r="E12" s="307">
        <v>32000</v>
      </c>
      <c r="F12" s="172"/>
      <c r="G12" s="173">
        <f t="shared" si="0"/>
        <v>132407</v>
      </c>
      <c r="H12" s="174"/>
      <c r="I12" s="175"/>
    </row>
    <row r="13" spans="1:9" ht="12.75">
      <c r="A13" s="169">
        <v>6</v>
      </c>
      <c r="B13" s="170" t="s">
        <v>343</v>
      </c>
      <c r="C13" s="171"/>
      <c r="D13" s="172">
        <v>0</v>
      </c>
      <c r="E13" s="172"/>
      <c r="F13" s="172"/>
      <c r="G13" s="173">
        <f t="shared" si="0"/>
        <v>0</v>
      </c>
      <c r="H13" s="174"/>
      <c r="I13" s="175"/>
    </row>
    <row r="14" spans="1:9" ht="13.5" thickBot="1">
      <c r="A14" s="177"/>
      <c r="B14" s="178" t="s">
        <v>344</v>
      </c>
      <c r="C14" s="179"/>
      <c r="D14" s="180">
        <v>4938880</v>
      </c>
      <c r="E14" s="180">
        <f>SUM(E8:E13)</f>
        <v>17520830</v>
      </c>
      <c r="F14" s="180">
        <f>SUM(F8:F13)</f>
        <v>0</v>
      </c>
      <c r="G14" s="181">
        <f>SUM(G8:G13)</f>
        <v>22459710</v>
      </c>
      <c r="I14" s="182"/>
    </row>
    <row r="17" spans="2:9" ht="15.75">
      <c r="B17" s="395" t="s">
        <v>591</v>
      </c>
      <c r="C17" s="395"/>
      <c r="D17" s="395"/>
      <c r="E17" s="395"/>
      <c r="F17" s="395"/>
      <c r="G17" s="395"/>
      <c r="I17" s="182"/>
    </row>
    <row r="18" ht="13.5" thickBot="1"/>
    <row r="19" spans="1:7" ht="12.75">
      <c r="A19" s="396" t="s">
        <v>95</v>
      </c>
      <c r="B19" s="398" t="s">
        <v>333</v>
      </c>
      <c r="C19" s="400" t="s">
        <v>334</v>
      </c>
      <c r="D19" s="162" t="s">
        <v>335</v>
      </c>
      <c r="E19" s="400" t="s">
        <v>336</v>
      </c>
      <c r="F19" s="400" t="s">
        <v>337</v>
      </c>
      <c r="G19" s="163" t="s">
        <v>335</v>
      </c>
    </row>
    <row r="20" spans="1:7" ht="12.75">
      <c r="A20" s="397"/>
      <c r="B20" s="399"/>
      <c r="C20" s="401"/>
      <c r="D20" s="166">
        <v>41275</v>
      </c>
      <c r="E20" s="401"/>
      <c r="F20" s="401"/>
      <c r="G20" s="167">
        <v>41274</v>
      </c>
    </row>
    <row r="21" spans="1:7" ht="12.75">
      <c r="A21" s="183">
        <v>1</v>
      </c>
      <c r="B21" s="170" t="s">
        <v>338</v>
      </c>
      <c r="C21" s="184"/>
      <c r="D21" s="185">
        <v>0</v>
      </c>
      <c r="E21" s="185"/>
      <c r="F21" s="185"/>
      <c r="G21" s="186">
        <f>D21+E21</f>
        <v>0</v>
      </c>
    </row>
    <row r="22" spans="1:7" ht="12.75">
      <c r="A22" s="183">
        <v>2</v>
      </c>
      <c r="B22" s="170" t="s">
        <v>339</v>
      </c>
      <c r="C22" s="184"/>
      <c r="D22" s="185">
        <v>36257</v>
      </c>
      <c r="E22" s="185">
        <v>23779</v>
      </c>
      <c r="F22" s="185"/>
      <c r="G22" s="186">
        <f>D22+E22</f>
        <v>60036</v>
      </c>
    </row>
    <row r="23" spans="1:7" ht="12.75">
      <c r="A23" s="183">
        <v>3</v>
      </c>
      <c r="B23" s="170" t="s">
        <v>345</v>
      </c>
      <c r="C23" s="184">
        <v>1</v>
      </c>
      <c r="D23" s="185">
        <v>8400</v>
      </c>
      <c r="E23" s="187">
        <v>2353</v>
      </c>
      <c r="F23" s="185"/>
      <c r="G23" s="186">
        <f>D23+E23</f>
        <v>10753</v>
      </c>
    </row>
    <row r="24" spans="1:7" ht="12.75">
      <c r="A24" s="183">
        <v>4</v>
      </c>
      <c r="B24" s="170" t="s">
        <v>341</v>
      </c>
      <c r="C24" s="184"/>
      <c r="D24" s="185">
        <v>4760</v>
      </c>
      <c r="E24" s="185">
        <v>98668</v>
      </c>
      <c r="F24" s="185"/>
      <c r="G24" s="186">
        <f>D24+E24</f>
        <v>103428</v>
      </c>
    </row>
    <row r="25" spans="1:7" ht="12.75">
      <c r="A25" s="183">
        <v>5</v>
      </c>
      <c r="B25" s="170" t="s">
        <v>342</v>
      </c>
      <c r="C25" s="184">
        <v>1</v>
      </c>
      <c r="D25" s="185">
        <v>29100</v>
      </c>
      <c r="E25" s="187">
        <v>9805</v>
      </c>
      <c r="F25" s="185"/>
      <c r="G25" s="186">
        <f>D25+E25</f>
        <v>38905</v>
      </c>
    </row>
    <row r="26" spans="1:7" ht="12.75">
      <c r="A26" s="183">
        <v>6</v>
      </c>
      <c r="B26" s="170" t="s">
        <v>343</v>
      </c>
      <c r="C26" s="184"/>
      <c r="D26" s="185"/>
      <c r="E26" s="185"/>
      <c r="F26" s="185"/>
      <c r="G26" s="186"/>
    </row>
    <row r="27" spans="1:10" ht="13.5" thickBot="1">
      <c r="A27" s="177"/>
      <c r="B27" s="188" t="s">
        <v>344</v>
      </c>
      <c r="C27" s="189"/>
      <c r="D27" s="190">
        <v>78517</v>
      </c>
      <c r="E27" s="190">
        <v>134606</v>
      </c>
      <c r="F27" s="190">
        <f>SUM(F21:F26)</f>
        <v>0</v>
      </c>
      <c r="G27" s="191">
        <f>SUM(G21:G26)</f>
        <v>213122</v>
      </c>
      <c r="H27" s="192"/>
      <c r="I27" s="182"/>
      <c r="J27" s="182"/>
    </row>
    <row r="28" ht="12.75">
      <c r="G28" s="192"/>
    </row>
    <row r="30" spans="2:7" ht="15.75">
      <c r="B30" s="395" t="s">
        <v>592</v>
      </c>
      <c r="C30" s="395"/>
      <c r="D30" s="395"/>
      <c r="E30" s="395"/>
      <c r="F30" s="395"/>
      <c r="G30" s="395"/>
    </row>
    <row r="31" ht="13.5" thickBot="1"/>
    <row r="32" spans="1:7" ht="12.75">
      <c r="A32" s="396" t="s">
        <v>95</v>
      </c>
      <c r="B32" s="398" t="s">
        <v>333</v>
      </c>
      <c r="C32" s="400" t="s">
        <v>334</v>
      </c>
      <c r="D32" s="162" t="s">
        <v>335</v>
      </c>
      <c r="E32" s="400" t="s">
        <v>336</v>
      </c>
      <c r="F32" s="400" t="s">
        <v>337</v>
      </c>
      <c r="G32" s="163" t="s">
        <v>335</v>
      </c>
    </row>
    <row r="33" spans="1:7" ht="12.75">
      <c r="A33" s="397"/>
      <c r="B33" s="399"/>
      <c r="C33" s="401"/>
      <c r="D33" s="166">
        <v>40909</v>
      </c>
      <c r="E33" s="401"/>
      <c r="F33" s="401"/>
      <c r="G33" s="167">
        <v>41274</v>
      </c>
    </row>
    <row r="34" spans="1:7" ht="12.75">
      <c r="A34" s="169">
        <v>1</v>
      </c>
      <c r="B34" s="170" t="s">
        <v>338</v>
      </c>
      <c r="C34" s="171"/>
      <c r="D34" s="172">
        <f aca="true" t="shared" si="1" ref="D34:D39">D8-D21</f>
        <v>0</v>
      </c>
      <c r="E34" s="172"/>
      <c r="F34" s="172">
        <v>0</v>
      </c>
      <c r="G34" s="173">
        <f aca="true" t="shared" si="2" ref="G34:G39">D34+E34-F34</f>
        <v>0</v>
      </c>
    </row>
    <row r="35" spans="1:14" ht="12.75">
      <c r="A35" s="169">
        <v>2</v>
      </c>
      <c r="B35" s="170" t="s">
        <v>339</v>
      </c>
      <c r="C35" s="171">
        <v>1</v>
      </c>
      <c r="D35" s="172">
        <f t="shared" si="1"/>
        <v>475595</v>
      </c>
      <c r="E35" s="172">
        <f>E9-E22</f>
        <v>17459971</v>
      </c>
      <c r="F35" s="172"/>
      <c r="G35" s="173">
        <f t="shared" si="2"/>
        <v>17935566</v>
      </c>
      <c r="M35" s="168"/>
      <c r="N35" s="168"/>
    </row>
    <row r="36" spans="1:14" ht="12.75">
      <c r="A36" s="169">
        <v>3</v>
      </c>
      <c r="B36" s="170" t="s">
        <v>345</v>
      </c>
      <c r="C36" s="171">
        <v>1</v>
      </c>
      <c r="D36" s="172">
        <f t="shared" si="1"/>
        <v>23100</v>
      </c>
      <c r="E36" s="172">
        <f>E10-E23</f>
        <v>2727</v>
      </c>
      <c r="F36" s="172"/>
      <c r="G36" s="173">
        <f t="shared" si="2"/>
        <v>25827</v>
      </c>
      <c r="M36" s="168"/>
      <c r="N36" s="168"/>
    </row>
    <row r="37" spans="1:14" ht="12.75">
      <c r="A37" s="169">
        <v>4</v>
      </c>
      <c r="B37" s="170" t="s">
        <v>341</v>
      </c>
      <c r="C37" s="171">
        <v>1</v>
      </c>
      <c r="D37" s="172">
        <f t="shared" si="1"/>
        <v>4290361</v>
      </c>
      <c r="E37" s="172">
        <f>E11-E24</f>
        <v>-98668</v>
      </c>
      <c r="F37" s="172"/>
      <c r="G37" s="173">
        <f t="shared" si="2"/>
        <v>4191693</v>
      </c>
      <c r="M37" s="168"/>
      <c r="N37" s="168"/>
    </row>
    <row r="38" spans="1:14" ht="12.75">
      <c r="A38" s="169">
        <v>5</v>
      </c>
      <c r="B38" s="170" t="s">
        <v>346</v>
      </c>
      <c r="C38" s="171">
        <v>2</v>
      </c>
      <c r="D38" s="172">
        <f t="shared" si="1"/>
        <v>71307</v>
      </c>
      <c r="E38" s="172">
        <f>E12-E25</f>
        <v>22195</v>
      </c>
      <c r="F38" s="172"/>
      <c r="G38" s="173">
        <f t="shared" si="2"/>
        <v>93502</v>
      </c>
      <c r="M38" s="168"/>
      <c r="N38" s="168"/>
    </row>
    <row r="39" spans="1:14" ht="12.75">
      <c r="A39" s="169">
        <v>6</v>
      </c>
      <c r="B39" s="170" t="s">
        <v>343</v>
      </c>
      <c r="C39" s="171"/>
      <c r="D39" s="172">
        <f t="shared" si="1"/>
        <v>0</v>
      </c>
      <c r="E39" s="172">
        <f>E13-E26</f>
        <v>0</v>
      </c>
      <c r="F39" s="172"/>
      <c r="G39" s="173">
        <f t="shared" si="2"/>
        <v>0</v>
      </c>
      <c r="M39" s="168"/>
      <c r="N39" s="168"/>
    </row>
    <row r="40" spans="1:14" ht="13.5" thickBot="1">
      <c r="A40" s="177"/>
      <c r="B40" s="178" t="s">
        <v>344</v>
      </c>
      <c r="C40" s="179"/>
      <c r="D40" s="180">
        <f>SUM(D34:D39)</f>
        <v>4860363</v>
      </c>
      <c r="E40" s="180">
        <f>SUM(E34:E39)</f>
        <v>17386225</v>
      </c>
      <c r="F40" s="180">
        <f>SUM(F34:F39)</f>
        <v>0</v>
      </c>
      <c r="G40" s="181">
        <f>SUM(G34:G39)</f>
        <v>22246588</v>
      </c>
      <c r="I40" s="192"/>
      <c r="J40" s="182"/>
      <c r="M40" s="193"/>
      <c r="N40" s="168"/>
    </row>
    <row r="41" spans="6:10" s="168" customFormat="1" ht="12.75">
      <c r="F41" s="175"/>
      <c r="G41" s="194"/>
      <c r="J41" s="175"/>
    </row>
    <row r="42" spans="4:14" ht="12.75">
      <c r="D42" s="182"/>
      <c r="G42" s="182"/>
      <c r="I42" s="192"/>
      <c r="M42" s="168"/>
      <c r="N42" s="168"/>
    </row>
    <row r="43" spans="4:14" ht="12.75">
      <c r="D43" s="182"/>
      <c r="G43" s="182"/>
      <c r="I43" s="182"/>
      <c r="M43" s="168"/>
      <c r="N43" s="168"/>
    </row>
    <row r="44" spans="5:14" ht="15.75">
      <c r="E44" s="394" t="s">
        <v>347</v>
      </c>
      <c r="F44" s="394"/>
      <c r="G44" s="394"/>
      <c r="M44" s="168"/>
      <c r="N44" s="168"/>
    </row>
    <row r="45" spans="5:7" ht="12.75">
      <c r="E45" s="393" t="s">
        <v>532</v>
      </c>
      <c r="F45" s="393"/>
      <c r="G45" s="393"/>
    </row>
    <row r="46" ht="12.75">
      <c r="F46" s="160"/>
    </row>
  </sheetData>
  <sheetProtection/>
  <mergeCells count="20">
    <mergeCell ref="B4:G4"/>
    <mergeCell ref="A6:A7"/>
    <mergeCell ref="B6:B7"/>
    <mergeCell ref="C6:C7"/>
    <mergeCell ref="E6:E7"/>
    <mergeCell ref="F6:F7"/>
    <mergeCell ref="B17:G17"/>
    <mergeCell ref="A19:A20"/>
    <mergeCell ref="B19:B20"/>
    <mergeCell ref="C19:C20"/>
    <mergeCell ref="E19:E20"/>
    <mergeCell ref="F19:F20"/>
    <mergeCell ref="E44:G44"/>
    <mergeCell ref="E45:G45"/>
    <mergeCell ref="B30:G30"/>
    <mergeCell ref="A32:A33"/>
    <mergeCell ref="B32:B33"/>
    <mergeCell ref="C32:C33"/>
    <mergeCell ref="E32:E33"/>
    <mergeCell ref="F32:F33"/>
  </mergeCells>
  <printOptions/>
  <pageMargins left="0.5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2014-03-24T17:04:27Z</cp:lastPrinted>
  <dcterms:created xsi:type="dcterms:W3CDTF">2008-11-18T21:24:15Z</dcterms:created>
  <dcterms:modified xsi:type="dcterms:W3CDTF">2014-07-13T06:26:44Z</dcterms:modified>
  <cp:category/>
  <cp:version/>
  <cp:contentType/>
  <cp:contentStatus/>
</cp:coreProperties>
</file>