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8475" windowHeight="5640" tabRatio="1000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mallra" sheetId="18" state="hidden" r:id="rId7"/>
    <sheet name="inv auto" sheetId="22" state="hidden" r:id="rId8"/>
    <sheet name="aktive fikse" sheetId="17" state="hidden" r:id="rId9"/>
    <sheet name="aktv udhez" sheetId="20" state="hidden" r:id="rId10"/>
    <sheet name="BA" sheetId="11" state="hidden" r:id="rId11"/>
    <sheet name="A-Sh BA" sheetId="12" state="hidden" r:id="rId12"/>
    <sheet name="tjera" sheetId="6" state="hidden" r:id="rId13"/>
    <sheet name="fdp" sheetId="23" state="hidden" r:id="rId14"/>
  </sheets>
  <calcPr calcId="144525"/>
</workbook>
</file>

<file path=xl/calcChain.xml><?xml version="1.0" encoding="utf-8"?>
<calcChain xmlns="http://schemas.openxmlformats.org/spreadsheetml/2006/main">
  <c r="C129" i="6" l="1"/>
  <c r="C123" i="6"/>
  <c r="C130" i="6"/>
  <c r="C76" i="6"/>
  <c r="C153" i="6"/>
  <c r="C150" i="6"/>
  <c r="C145" i="6"/>
  <c r="C143" i="6"/>
  <c r="C142" i="6"/>
  <c r="C146" i="6"/>
  <c r="C137" i="6"/>
  <c r="C139" i="6"/>
  <c r="C132" i="6"/>
  <c r="C115" i="6"/>
  <c r="C114" i="6"/>
  <c r="C116" i="6"/>
  <c r="C103" i="6"/>
  <c r="C95" i="6"/>
  <c r="C96" i="6"/>
  <c r="C74" i="6"/>
  <c r="C78" i="6"/>
  <c r="C69" i="6"/>
  <c r="C46" i="6"/>
  <c r="C29" i="6"/>
  <c r="C35" i="6"/>
  <c r="C12" i="6"/>
  <c r="C18" i="6" s="1"/>
  <c r="C39" i="6" s="1"/>
  <c r="C51" i="6" s="1"/>
  <c r="C72" i="6" s="1"/>
  <c r="C82" i="6" s="1"/>
  <c r="C89" i="6" s="1"/>
  <c r="C94" i="6" s="1"/>
  <c r="C99" i="6" s="1"/>
  <c r="C106" i="6" s="1"/>
  <c r="C113" i="6" s="1"/>
  <c r="C120" i="6" s="1"/>
  <c r="C136" i="6" s="1"/>
  <c r="C141" i="6" s="1"/>
  <c r="C149" i="6" s="1"/>
  <c r="C8" i="6"/>
  <c r="C6" i="6"/>
  <c r="C9" i="6" s="1"/>
  <c r="D28" i="11"/>
  <c r="D27" i="11" s="1"/>
  <c r="F15" i="17"/>
  <c r="F14" i="17"/>
  <c r="F18" i="17"/>
  <c r="D32" i="1"/>
  <c r="D25" i="3" s="1"/>
  <c r="D104" i="11"/>
  <c r="D51" i="11"/>
  <c r="C7" i="6" s="1"/>
  <c r="D45" i="11"/>
  <c r="C90" i="6" s="1"/>
  <c r="C91" i="6" s="1"/>
  <c r="D25" i="11"/>
  <c r="D23" i="11"/>
  <c r="C71" i="12"/>
  <c r="C76" i="12"/>
  <c r="C66" i="12"/>
  <c r="C107" i="6" s="1"/>
  <c r="G113" i="23"/>
  <c r="H113" i="23" s="1"/>
  <c r="G112" i="23"/>
  <c r="G111" i="23"/>
  <c r="H111" i="23" s="1"/>
  <c r="I115" i="23"/>
  <c r="F115" i="23"/>
  <c r="C115" i="23"/>
  <c r="B115" i="23"/>
  <c r="J113" i="23"/>
  <c r="D113" i="23"/>
  <c r="J112" i="23"/>
  <c r="H112" i="23"/>
  <c r="D112" i="23"/>
  <c r="J111" i="23"/>
  <c r="D111" i="23"/>
  <c r="J110" i="23"/>
  <c r="H110" i="23"/>
  <c r="D110" i="23"/>
  <c r="H109" i="23"/>
  <c r="D109" i="23"/>
  <c r="J108" i="23"/>
  <c r="H108" i="23"/>
  <c r="D108" i="23"/>
  <c r="L108" i="23"/>
  <c r="J107" i="23"/>
  <c r="H107" i="23"/>
  <c r="D107" i="23"/>
  <c r="J106" i="23"/>
  <c r="H106" i="23"/>
  <c r="D106" i="23"/>
  <c r="J105" i="23"/>
  <c r="H105" i="23"/>
  <c r="D105" i="23"/>
  <c r="J104" i="23"/>
  <c r="H104" i="23"/>
  <c r="D104" i="23"/>
  <c r="J103" i="23"/>
  <c r="H103" i="23"/>
  <c r="D103" i="23"/>
  <c r="J102" i="23"/>
  <c r="J115" i="23" s="1"/>
  <c r="H102" i="23"/>
  <c r="D102" i="23"/>
  <c r="D35" i="3"/>
  <c r="D39" i="3" s="1"/>
  <c r="D9" i="2"/>
  <c r="D68" i="1"/>
  <c r="D67" i="1"/>
  <c r="D66" i="1"/>
  <c r="D65" i="1"/>
  <c r="D64" i="1"/>
  <c r="D61" i="1"/>
  <c r="D50" i="1"/>
  <c r="C45" i="6" s="1"/>
  <c r="D48" i="1"/>
  <c r="C86" i="6" s="1"/>
  <c r="D47" i="1"/>
  <c r="C43" i="6" s="1"/>
  <c r="D46" i="1"/>
  <c r="C42" i="6" s="1"/>
  <c r="D45" i="1"/>
  <c r="C52" i="6" s="1"/>
  <c r="D43" i="1"/>
  <c r="C41" i="6" s="1"/>
  <c r="D27" i="1"/>
  <c r="D26" i="1"/>
  <c r="D21" i="1"/>
  <c r="D20" i="1"/>
  <c r="D19" i="1"/>
  <c r="D18" i="1"/>
  <c r="C16" i="6" s="1"/>
  <c r="D13" i="1"/>
  <c r="C20" i="6" s="1"/>
  <c r="D12" i="1"/>
  <c r="C19" i="6"/>
  <c r="C22" i="6" s="1"/>
  <c r="D97" i="11"/>
  <c r="D88" i="11" s="1"/>
  <c r="C49" i="6" s="1"/>
  <c r="D50" i="11"/>
  <c r="D8" i="1"/>
  <c r="C10" i="6" s="1"/>
  <c r="D40" i="11"/>
  <c r="D34" i="11"/>
  <c r="D20" i="11"/>
  <c r="D33" i="1" s="1"/>
  <c r="C89" i="12"/>
  <c r="C81" i="12"/>
  <c r="D15" i="2"/>
  <c r="C77" i="12"/>
  <c r="D13" i="2"/>
  <c r="C133" i="6" s="1"/>
  <c r="C72" i="12"/>
  <c r="D14" i="2" s="1"/>
  <c r="C117" i="6" s="1"/>
  <c r="C68" i="12"/>
  <c r="C67" i="12"/>
  <c r="C65" i="12" s="1"/>
  <c r="D12" i="2" s="1"/>
  <c r="C110" i="6" s="1"/>
  <c r="C60" i="12"/>
  <c r="C36" i="12"/>
  <c r="D21" i="2"/>
  <c r="C17" i="12"/>
  <c r="C34" i="12"/>
  <c r="C43" i="12" s="1"/>
  <c r="C12" i="12"/>
  <c r="D8" i="2" s="1"/>
  <c r="C97" i="6" s="1"/>
  <c r="D124" i="6"/>
  <c r="D46" i="6"/>
  <c r="F21" i="17"/>
  <c r="F20" i="17"/>
  <c r="E42" i="11"/>
  <c r="E104" i="11"/>
  <c r="E23" i="11"/>
  <c r="E25" i="11"/>
  <c r="D71" i="12"/>
  <c r="D66" i="12"/>
  <c r="E35" i="3"/>
  <c r="E39" i="3" s="1"/>
  <c r="D153" i="6"/>
  <c r="D150" i="6"/>
  <c r="D145" i="6"/>
  <c r="D143" i="6"/>
  <c r="D142" i="6"/>
  <c r="D146" i="6" s="1"/>
  <c r="D137" i="6"/>
  <c r="D139" i="6" s="1"/>
  <c r="D132" i="6"/>
  <c r="D115" i="6"/>
  <c r="D114" i="6"/>
  <c r="D116" i="6" s="1"/>
  <c r="D107" i="6"/>
  <c r="D103" i="6"/>
  <c r="D95" i="6"/>
  <c r="D96" i="6" s="1"/>
  <c r="D90" i="6"/>
  <c r="D91" i="6" s="1"/>
  <c r="D74" i="6"/>
  <c r="D78" i="6" s="1"/>
  <c r="D69" i="6"/>
  <c r="D29" i="6"/>
  <c r="D35" i="6"/>
  <c r="D12" i="6"/>
  <c r="D18" i="6"/>
  <c r="D39" i="6" s="1"/>
  <c r="D51" i="6" s="1"/>
  <c r="D72" i="6" s="1"/>
  <c r="D82" i="6" s="1"/>
  <c r="D89" i="6" s="1"/>
  <c r="D94" i="6" s="1"/>
  <c r="D99" i="6" s="1"/>
  <c r="D106" i="6" s="1"/>
  <c r="D113" i="6" s="1"/>
  <c r="D120" i="6" s="1"/>
  <c r="D136" i="6" s="1"/>
  <c r="D141" i="6" s="1"/>
  <c r="D149" i="6" s="1"/>
  <c r="D8" i="6"/>
  <c r="D7" i="6"/>
  <c r="D6" i="6"/>
  <c r="D9" i="6" s="1"/>
  <c r="E9" i="2"/>
  <c r="E68" i="1"/>
  <c r="E67" i="1"/>
  <c r="E66" i="1"/>
  <c r="E65" i="1"/>
  <c r="E64" i="1"/>
  <c r="E61" i="1"/>
  <c r="E50" i="1"/>
  <c r="D45" i="6"/>
  <c r="E48" i="1"/>
  <c r="D83" i="6"/>
  <c r="D85" i="6" s="1"/>
  <c r="E47" i="1"/>
  <c r="D43" i="6" s="1"/>
  <c r="E46" i="1"/>
  <c r="D42" i="6" s="1"/>
  <c r="E45" i="1"/>
  <c r="D52" i="6" s="1"/>
  <c r="E43" i="1"/>
  <c r="E27" i="1"/>
  <c r="E26" i="1"/>
  <c r="E21" i="1"/>
  <c r="E20" i="1"/>
  <c r="E19" i="1"/>
  <c r="E18" i="1"/>
  <c r="D16" i="6" s="1"/>
  <c r="E13" i="1"/>
  <c r="D20" i="6" s="1"/>
  <c r="C92" i="6" s="1"/>
  <c r="E12" i="1"/>
  <c r="E16" i="1" s="1"/>
  <c r="D23" i="6" s="1"/>
  <c r="E97" i="11"/>
  <c r="E88" i="11"/>
  <c r="D49" i="6" s="1"/>
  <c r="E50" i="11"/>
  <c r="E8" i="1" s="1"/>
  <c r="E40" i="11"/>
  <c r="E34" i="11"/>
  <c r="E20" i="11"/>
  <c r="D89" i="12"/>
  <c r="D81" i="12"/>
  <c r="E15" i="2" s="1"/>
  <c r="E10" i="3" s="1"/>
  <c r="D77" i="12"/>
  <c r="E13" i="2"/>
  <c r="D133" i="6" s="1"/>
  <c r="D72" i="12"/>
  <c r="E14" i="2" s="1"/>
  <c r="D117" i="6" s="1"/>
  <c r="D68" i="12"/>
  <c r="D67" i="12"/>
  <c r="D108" i="6" s="1"/>
  <c r="D60" i="12"/>
  <c r="D36" i="12"/>
  <c r="E21" i="2"/>
  <c r="D17" i="12"/>
  <c r="D34" i="12"/>
  <c r="D43" i="12" s="1"/>
  <c r="D12" i="12"/>
  <c r="E8" i="2" s="1"/>
  <c r="I89" i="23"/>
  <c r="F89" i="23"/>
  <c r="F91" i="23"/>
  <c r="C89" i="23"/>
  <c r="B89" i="23"/>
  <c r="J87" i="23"/>
  <c r="H87" i="23"/>
  <c r="D87" i="23"/>
  <c r="J86" i="23"/>
  <c r="H86" i="23"/>
  <c r="D86" i="23"/>
  <c r="J85" i="23"/>
  <c r="H85" i="23"/>
  <c r="D85" i="23"/>
  <c r="J84" i="23"/>
  <c r="H84" i="23"/>
  <c r="D84" i="23"/>
  <c r="J83" i="23"/>
  <c r="H83" i="23"/>
  <c r="D83" i="23"/>
  <c r="J82" i="23"/>
  <c r="H82" i="23"/>
  <c r="D82" i="23"/>
  <c r="L82" i="23" s="1"/>
  <c r="J81" i="23"/>
  <c r="H81" i="23"/>
  <c r="D81" i="23"/>
  <c r="J80" i="23"/>
  <c r="H80" i="23"/>
  <c r="D80" i="23"/>
  <c r="L80" i="23" s="1"/>
  <c r="J79" i="23"/>
  <c r="H79" i="23"/>
  <c r="G89" i="23"/>
  <c r="D79" i="23"/>
  <c r="J78" i="23"/>
  <c r="H78" i="23"/>
  <c r="D78" i="23"/>
  <c r="L78" i="23"/>
  <c r="J77" i="23"/>
  <c r="H77" i="23"/>
  <c r="D77" i="23"/>
  <c r="J76" i="23"/>
  <c r="J89" i="23"/>
  <c r="H76" i="23"/>
  <c r="D76" i="23"/>
  <c r="F144" i="6"/>
  <c r="F123" i="6"/>
  <c r="F125" i="6"/>
  <c r="F126" i="6"/>
  <c r="F127" i="6"/>
  <c r="F128" i="6"/>
  <c r="F129" i="6"/>
  <c r="F131" i="6"/>
  <c r="F122" i="6"/>
  <c r="G95" i="6"/>
  <c r="G96" i="6"/>
  <c r="H95" i="6"/>
  <c r="H96" i="6"/>
  <c r="F96" i="6" s="1"/>
  <c r="I95" i="6"/>
  <c r="I96" i="6" s="1"/>
  <c r="E153" i="6"/>
  <c r="E150" i="6"/>
  <c r="E142" i="6"/>
  <c r="E145" i="6"/>
  <c r="E143" i="6"/>
  <c r="E137" i="6"/>
  <c r="E130" i="6"/>
  <c r="E124" i="6"/>
  <c r="E132" i="6" s="1"/>
  <c r="E115" i="6"/>
  <c r="E114" i="6"/>
  <c r="E116" i="6"/>
  <c r="E107" i="6"/>
  <c r="E95" i="6"/>
  <c r="E92" i="6"/>
  <c r="E90" i="6"/>
  <c r="E91" i="6" s="1"/>
  <c r="E75" i="6"/>
  <c r="E76" i="6"/>
  <c r="E74" i="6"/>
  <c r="E8" i="6"/>
  <c r="E6" i="6"/>
  <c r="E139" i="6"/>
  <c r="E103" i="6"/>
  <c r="E96" i="6"/>
  <c r="E69" i="6"/>
  <c r="E46" i="6"/>
  <c r="E29" i="6"/>
  <c r="E35" i="6" s="1"/>
  <c r="E12" i="6"/>
  <c r="E18" i="6" s="1"/>
  <c r="E39" i="6" s="1"/>
  <c r="E51" i="6" s="1"/>
  <c r="E72" i="6" s="1"/>
  <c r="E82" i="6" s="1"/>
  <c r="E89" i="6" s="1"/>
  <c r="E94" i="6" s="1"/>
  <c r="E99" i="6" s="1"/>
  <c r="E106" i="6" s="1"/>
  <c r="E113" i="6" s="1"/>
  <c r="E120" i="6" s="1"/>
  <c r="E136" i="6" s="1"/>
  <c r="E141" i="6" s="1"/>
  <c r="E149" i="6" s="1"/>
  <c r="F19" i="17"/>
  <c r="F17" i="17"/>
  <c r="F16" i="17"/>
  <c r="F13" i="17"/>
  <c r="F12" i="17"/>
  <c r="F42" i="11"/>
  <c r="F104" i="11"/>
  <c r="F51" i="11"/>
  <c r="E7" i="6" s="1"/>
  <c r="E71" i="12"/>
  <c r="E76" i="12"/>
  <c r="G52" i="23"/>
  <c r="H52" i="23"/>
  <c r="I62" i="23"/>
  <c r="G62" i="23"/>
  <c r="F62" i="23"/>
  <c r="C62" i="23"/>
  <c r="B62" i="23"/>
  <c r="J60" i="23"/>
  <c r="H60" i="23"/>
  <c r="D60" i="23"/>
  <c r="L60" i="23" s="1"/>
  <c r="J59" i="23"/>
  <c r="H59" i="23"/>
  <c r="D59" i="23"/>
  <c r="J58" i="23"/>
  <c r="H58" i="23"/>
  <c r="D58" i="23"/>
  <c r="L58" i="23"/>
  <c r="J57" i="23"/>
  <c r="H57" i="23"/>
  <c r="D57" i="23"/>
  <c r="J56" i="23"/>
  <c r="H56" i="23"/>
  <c r="D56" i="23"/>
  <c r="L56" i="23" s="1"/>
  <c r="J55" i="23"/>
  <c r="H55" i="23"/>
  <c r="D55" i="23"/>
  <c r="J54" i="23"/>
  <c r="H54" i="23"/>
  <c r="D54" i="23"/>
  <c r="L54" i="23"/>
  <c r="J53" i="23"/>
  <c r="H53" i="23"/>
  <c r="D53" i="23"/>
  <c r="J52" i="23"/>
  <c r="D52" i="23"/>
  <c r="J51" i="23"/>
  <c r="H51" i="23"/>
  <c r="D51" i="23"/>
  <c r="J50" i="23"/>
  <c r="H50" i="23"/>
  <c r="D50" i="23"/>
  <c r="J49" i="23"/>
  <c r="H49" i="23"/>
  <c r="D49" i="23"/>
  <c r="L49" i="23" s="1"/>
  <c r="F35" i="3"/>
  <c r="F39" i="3" s="1"/>
  <c r="F68" i="1"/>
  <c r="F67" i="1"/>
  <c r="F66" i="1"/>
  <c r="F65" i="1"/>
  <c r="F64" i="1"/>
  <c r="F61" i="1"/>
  <c r="F50" i="1"/>
  <c r="E45" i="6" s="1"/>
  <c r="F48" i="1"/>
  <c r="E83" i="6" s="1"/>
  <c r="E85" i="6" s="1"/>
  <c r="F46" i="1"/>
  <c r="E42" i="6"/>
  <c r="F45" i="1"/>
  <c r="E40" i="6"/>
  <c r="F43" i="1"/>
  <c r="E41" i="6"/>
  <c r="F27" i="1"/>
  <c r="F11" i="3"/>
  <c r="F26" i="1"/>
  <c r="F21" i="1"/>
  <c r="F20" i="1"/>
  <c r="F19" i="1"/>
  <c r="F23" i="1" s="1"/>
  <c r="F18" i="1"/>
  <c r="E17" i="3"/>
  <c r="F13" i="1"/>
  <c r="E20" i="6" s="1"/>
  <c r="D92" i="6" s="1"/>
  <c r="F12" i="1"/>
  <c r="E19" i="6"/>
  <c r="F9" i="2"/>
  <c r="F25" i="11"/>
  <c r="F20" i="11" s="1"/>
  <c r="E72" i="12"/>
  <c r="F14" i="2" s="1"/>
  <c r="E117" i="6" s="1"/>
  <c r="E67" i="12"/>
  <c r="E108" i="6"/>
  <c r="E109" i="6" s="1"/>
  <c r="F50" i="11"/>
  <c r="F8" i="1" s="1"/>
  <c r="E10" i="6" s="1"/>
  <c r="F40" i="11"/>
  <c r="F34" i="11"/>
  <c r="E89" i="12"/>
  <c r="E81" i="12"/>
  <c r="F15" i="2" s="1"/>
  <c r="F10" i="3" s="1"/>
  <c r="E77" i="12"/>
  <c r="F13" i="2"/>
  <c r="E133" i="6" s="1"/>
  <c r="E68" i="12"/>
  <c r="E65" i="12"/>
  <c r="F12" i="2"/>
  <c r="E60" i="12"/>
  <c r="E36" i="12"/>
  <c r="F21" i="2" s="1"/>
  <c r="E17" i="12"/>
  <c r="E34" i="12" s="1"/>
  <c r="E43" i="12" s="1"/>
  <c r="E12" i="12"/>
  <c r="F8" i="2"/>
  <c r="E97" i="6" s="1"/>
  <c r="H150" i="6"/>
  <c r="I150" i="6"/>
  <c r="G150" i="6"/>
  <c r="F106" i="6"/>
  <c r="H71" i="12"/>
  <c r="G71" i="12"/>
  <c r="F71" i="12"/>
  <c r="G34" i="3"/>
  <c r="G36" i="3"/>
  <c r="G33" i="3"/>
  <c r="G9" i="3"/>
  <c r="G12" i="3"/>
  <c r="G13" i="3"/>
  <c r="G14" i="3"/>
  <c r="G16" i="3"/>
  <c r="G153" i="6"/>
  <c r="H130" i="6"/>
  <c r="F130" i="6" s="1"/>
  <c r="G124" i="6"/>
  <c r="F124" i="6" s="1"/>
  <c r="H108" i="6"/>
  <c r="I108" i="6"/>
  <c r="J108" i="6"/>
  <c r="K108" i="6"/>
  <c r="L108" i="6"/>
  <c r="G108" i="6"/>
  <c r="H107" i="6"/>
  <c r="I107" i="6"/>
  <c r="G107" i="6"/>
  <c r="G75" i="6"/>
  <c r="H74" i="6"/>
  <c r="I74" i="6"/>
  <c r="J74" i="6"/>
  <c r="K74" i="6"/>
  <c r="L74" i="6"/>
  <c r="G69" i="6"/>
  <c r="H46" i="6"/>
  <c r="I46" i="6"/>
  <c r="G46" i="6"/>
  <c r="G29" i="6"/>
  <c r="G35" i="6"/>
  <c r="H76" i="6"/>
  <c r="H77" i="6"/>
  <c r="H78" i="6"/>
  <c r="G145" i="6"/>
  <c r="G143" i="6"/>
  <c r="G142" i="6"/>
  <c r="G146" i="6"/>
  <c r="G137" i="6"/>
  <c r="G138" i="6"/>
  <c r="G115" i="6"/>
  <c r="G114" i="6"/>
  <c r="G116" i="6"/>
  <c r="G103" i="6"/>
  <c r="G90" i="6"/>
  <c r="G91" i="6" s="1"/>
  <c r="G76" i="6"/>
  <c r="G74" i="6"/>
  <c r="G78" i="6"/>
  <c r="G12" i="6"/>
  <c r="G18" i="6" s="1"/>
  <c r="G39" i="6" s="1"/>
  <c r="G51" i="6" s="1"/>
  <c r="G72" i="6" s="1"/>
  <c r="G82" i="6" s="1"/>
  <c r="G89" i="6" s="1"/>
  <c r="G99" i="6"/>
  <c r="G106" i="6"/>
  <c r="G113" i="6" s="1"/>
  <c r="G120" i="6" s="1"/>
  <c r="G136" i="6" s="1"/>
  <c r="G141" i="6" s="1"/>
  <c r="G149" i="6" s="1"/>
  <c r="G8" i="6"/>
  <c r="G6" i="6"/>
  <c r="F9" i="17"/>
  <c r="F10" i="17"/>
  <c r="F11" i="17"/>
  <c r="F8" i="17"/>
  <c r="F22" i="17" s="1"/>
  <c r="G104" i="11"/>
  <c r="G51" i="11"/>
  <c r="G7" i="6" s="1"/>
  <c r="G77" i="12"/>
  <c r="F77" i="12"/>
  <c r="G76" i="12"/>
  <c r="F65" i="12"/>
  <c r="H104" i="11"/>
  <c r="H75" i="6" s="1"/>
  <c r="H45" i="11"/>
  <c r="G65" i="12"/>
  <c r="I35" i="3"/>
  <c r="H35" i="3"/>
  <c r="G35" i="3" s="1"/>
  <c r="K35" i="3"/>
  <c r="I71" i="12"/>
  <c r="I90" i="12"/>
  <c r="J104" i="11"/>
  <c r="C43" i="23"/>
  <c r="D43" i="23"/>
  <c r="E43" i="23"/>
  <c r="G43" i="23"/>
  <c r="H43" i="23"/>
  <c r="J43" i="23"/>
  <c r="K43" i="23"/>
  <c r="I38" i="23"/>
  <c r="G38" i="23"/>
  <c r="F38" i="23"/>
  <c r="C38" i="23"/>
  <c r="B38" i="23"/>
  <c r="J36" i="23"/>
  <c r="H36" i="23"/>
  <c r="D36" i="23"/>
  <c r="L36" i="23" s="1"/>
  <c r="J35" i="23"/>
  <c r="H35" i="23"/>
  <c r="D35" i="23"/>
  <c r="J34" i="23"/>
  <c r="H34" i="23"/>
  <c r="D34" i="23"/>
  <c r="L34" i="23"/>
  <c r="J33" i="23"/>
  <c r="H33" i="23"/>
  <c r="D33" i="23"/>
  <c r="J32" i="23"/>
  <c r="H32" i="23"/>
  <c r="D32" i="23"/>
  <c r="L32" i="23" s="1"/>
  <c r="J31" i="23"/>
  <c r="H31" i="23"/>
  <c r="D31" i="23"/>
  <c r="J30" i="23"/>
  <c r="H30" i="23"/>
  <c r="D30" i="23"/>
  <c r="L30" i="23"/>
  <c r="J29" i="23"/>
  <c r="H29" i="23"/>
  <c r="D29" i="23"/>
  <c r="J28" i="23"/>
  <c r="H28" i="23"/>
  <c r="D28" i="23"/>
  <c r="J27" i="23"/>
  <c r="H27" i="23"/>
  <c r="D27" i="23"/>
  <c r="J26" i="23"/>
  <c r="H26" i="23"/>
  <c r="D26" i="23"/>
  <c r="L26" i="23" s="1"/>
  <c r="J25" i="23"/>
  <c r="J38" i="23"/>
  <c r="H25" i="23"/>
  <c r="H38" i="23"/>
  <c r="I40" i="23" s="1"/>
  <c r="D25" i="23"/>
  <c r="H13" i="2"/>
  <c r="G133" i="6"/>
  <c r="H9" i="2"/>
  <c r="G68" i="1"/>
  <c r="G67" i="1"/>
  <c r="G66" i="1"/>
  <c r="G65" i="1"/>
  <c r="G64" i="1"/>
  <c r="G61" i="1"/>
  <c r="G50" i="1"/>
  <c r="G45" i="6" s="1"/>
  <c r="G80" i="6" s="1"/>
  <c r="G48" i="1"/>
  <c r="G44" i="6"/>
  <c r="G47" i="1"/>
  <c r="G43" i="6"/>
  <c r="G46" i="1"/>
  <c r="G42" i="6"/>
  <c r="G45" i="1"/>
  <c r="G52" i="6"/>
  <c r="G43" i="1"/>
  <c r="G41" i="6"/>
  <c r="G27" i="1"/>
  <c r="G26" i="1"/>
  <c r="G21" i="1"/>
  <c r="G20" i="1"/>
  <c r="G19" i="1"/>
  <c r="G18" i="1"/>
  <c r="G13" i="1"/>
  <c r="G20" i="6"/>
  <c r="G92" i="6" s="1"/>
  <c r="G12" i="1"/>
  <c r="G19" i="6" s="1"/>
  <c r="G22" i="6" s="1"/>
  <c r="G97" i="11"/>
  <c r="G88" i="11"/>
  <c r="G49" i="6" s="1"/>
  <c r="G50" i="11"/>
  <c r="G8" i="1"/>
  <c r="G10" i="6" s="1"/>
  <c r="G40" i="11"/>
  <c r="G34" i="11"/>
  <c r="G20" i="11"/>
  <c r="G12" i="11" s="1"/>
  <c r="F89" i="12"/>
  <c r="F81" i="12"/>
  <c r="H15" i="2"/>
  <c r="H10" i="3" s="1"/>
  <c r="F72" i="12"/>
  <c r="H14" i="2" s="1"/>
  <c r="G117" i="6" s="1"/>
  <c r="F68" i="12"/>
  <c r="H12" i="2"/>
  <c r="F60" i="12"/>
  <c r="F36" i="12"/>
  <c r="H21" i="2" s="1"/>
  <c r="F17" i="12"/>
  <c r="F34" i="12" s="1"/>
  <c r="F43" i="12" s="1"/>
  <c r="F12" i="12"/>
  <c r="H8" i="2"/>
  <c r="G97" i="6" s="1"/>
  <c r="I17" i="23"/>
  <c r="I43" i="23" s="1"/>
  <c r="G17" i="23"/>
  <c r="F17" i="23"/>
  <c r="C17" i="23"/>
  <c r="B17" i="23"/>
  <c r="J15" i="23"/>
  <c r="H15" i="23"/>
  <c r="D15" i="23"/>
  <c r="J14" i="23"/>
  <c r="H14" i="23"/>
  <c r="D14" i="23"/>
  <c r="L14" i="23"/>
  <c r="J13" i="23"/>
  <c r="H13" i="23"/>
  <c r="D13" i="23"/>
  <c r="J12" i="23"/>
  <c r="H12" i="23"/>
  <c r="D12" i="23"/>
  <c r="J11" i="23"/>
  <c r="H11" i="23"/>
  <c r="D11" i="23"/>
  <c r="J10" i="23"/>
  <c r="H10" i="23"/>
  <c r="D10" i="23"/>
  <c r="J9" i="23"/>
  <c r="H9" i="23"/>
  <c r="D9" i="23"/>
  <c r="J8" i="23"/>
  <c r="H8" i="23"/>
  <c r="D8" i="23"/>
  <c r="J7" i="23"/>
  <c r="H7" i="23"/>
  <c r="D7" i="23"/>
  <c r="J6" i="23"/>
  <c r="H6" i="23"/>
  <c r="D6" i="23"/>
  <c r="J5" i="23"/>
  <c r="H5" i="23"/>
  <c r="D5" i="23"/>
  <c r="J4" i="23"/>
  <c r="J17" i="23" s="1"/>
  <c r="H4" i="23"/>
  <c r="D4" i="23"/>
  <c r="H35" i="6"/>
  <c r="J40" i="11"/>
  <c r="H77" i="12"/>
  <c r="H142" i="6"/>
  <c r="F142" i="6"/>
  <c r="H143" i="6"/>
  <c r="F143" i="6"/>
  <c r="F95" i="6"/>
  <c r="K13" i="13"/>
  <c r="I13" i="13"/>
  <c r="I72" i="12"/>
  <c r="H114" i="6"/>
  <c r="F114" i="6"/>
  <c r="H115" i="6"/>
  <c r="F115" i="6"/>
  <c r="I20" i="13"/>
  <c r="K20" i="13"/>
  <c r="G68" i="12"/>
  <c r="H68" i="12"/>
  <c r="I68" i="12"/>
  <c r="H34" i="11"/>
  <c r="I34" i="11"/>
  <c r="J34" i="11"/>
  <c r="H68" i="1"/>
  <c r="H67" i="1"/>
  <c r="H66" i="1"/>
  <c r="H65" i="1"/>
  <c r="H64" i="1"/>
  <c r="H61" i="1"/>
  <c r="H50" i="1"/>
  <c r="H45" i="6"/>
  <c r="H80" i="6" s="1"/>
  <c r="H48" i="1"/>
  <c r="H86" i="6" s="1"/>
  <c r="H47" i="1"/>
  <c r="H46" i="1"/>
  <c r="H42" i="6"/>
  <c r="H45" i="1"/>
  <c r="H52" i="6"/>
  <c r="H40" i="6"/>
  <c r="H43" i="1"/>
  <c r="H41" i="6" s="1"/>
  <c r="H27" i="1"/>
  <c r="H11" i="3" s="1"/>
  <c r="H26" i="1"/>
  <c r="H21" i="1"/>
  <c r="H20" i="1"/>
  <c r="H19" i="1"/>
  <c r="H18" i="1"/>
  <c r="H13" i="6" s="1"/>
  <c r="H15" i="6" s="1"/>
  <c r="H13" i="1"/>
  <c r="H12" i="1"/>
  <c r="H19" i="6" s="1"/>
  <c r="I9" i="2"/>
  <c r="G9" i="2" s="1"/>
  <c r="H153" i="6"/>
  <c r="F153" i="6" s="1"/>
  <c r="H145" i="6"/>
  <c r="F145" i="6" s="1"/>
  <c r="H146" i="6"/>
  <c r="H137" i="6"/>
  <c r="F137" i="6"/>
  <c r="H138" i="6"/>
  <c r="H132" i="6"/>
  <c r="H103" i="6"/>
  <c r="H90" i="6"/>
  <c r="H91" i="6" s="1"/>
  <c r="H12" i="6"/>
  <c r="H18" i="6" s="1"/>
  <c r="H39" i="6" s="1"/>
  <c r="H51" i="6" s="1"/>
  <c r="H72" i="6" s="1"/>
  <c r="H82" i="6" s="1"/>
  <c r="H89" i="6" s="1"/>
  <c r="H99" i="6"/>
  <c r="H106" i="6"/>
  <c r="H113" i="6" s="1"/>
  <c r="H120" i="6" s="1"/>
  <c r="H136" i="6" s="1"/>
  <c r="H141" i="6" s="1"/>
  <c r="H149" i="6" s="1"/>
  <c r="H8" i="6"/>
  <c r="H7" i="6"/>
  <c r="H6" i="6"/>
  <c r="H97" i="11"/>
  <c r="H88" i="11"/>
  <c r="H49" i="6" s="1"/>
  <c r="H50" i="11"/>
  <c r="H8" i="1" s="1"/>
  <c r="H40" i="11"/>
  <c r="H20" i="11"/>
  <c r="H12" i="11"/>
  <c r="G89" i="12"/>
  <c r="G81" i="12"/>
  <c r="I15" i="2" s="1"/>
  <c r="G15" i="2" s="1"/>
  <c r="I13" i="2"/>
  <c r="H133" i="6"/>
  <c r="G72" i="12"/>
  <c r="I14" i="2"/>
  <c r="G14" i="2" s="1"/>
  <c r="G60" i="12"/>
  <c r="G36" i="12"/>
  <c r="I21" i="2"/>
  <c r="G17" i="12"/>
  <c r="G34" i="12"/>
  <c r="G43" i="12" s="1"/>
  <c r="G12" i="12"/>
  <c r="I8" i="2" s="1"/>
  <c r="G8" i="2"/>
  <c r="I145" i="6"/>
  <c r="I143" i="6"/>
  <c r="I142" i="6"/>
  <c r="I137" i="6"/>
  <c r="I139" i="6" s="1"/>
  <c r="I114" i="6"/>
  <c r="I115" i="6"/>
  <c r="I109" i="6"/>
  <c r="I90" i="6"/>
  <c r="I91" i="6"/>
  <c r="I76" i="6"/>
  <c r="I8" i="6"/>
  <c r="I7" i="6"/>
  <c r="I6" i="6"/>
  <c r="E27" i="20"/>
  <c r="D27" i="20"/>
  <c r="D11" i="20"/>
  <c r="I68" i="1"/>
  <c r="I67" i="1"/>
  <c r="I66" i="1"/>
  <c r="I65" i="1"/>
  <c r="I64" i="1"/>
  <c r="I50" i="1"/>
  <c r="I48" i="1"/>
  <c r="I83" i="6" s="1"/>
  <c r="I85" i="6"/>
  <c r="I46" i="1"/>
  <c r="I42" i="6"/>
  <c r="I45" i="1"/>
  <c r="I52" i="6"/>
  <c r="I43" i="1"/>
  <c r="I41" i="6"/>
  <c r="I27" i="1"/>
  <c r="I11" i="3"/>
  <c r="I26" i="1"/>
  <c r="I21" i="1"/>
  <c r="I20" i="1"/>
  <c r="I19" i="1"/>
  <c r="I18" i="1"/>
  <c r="I13" i="6"/>
  <c r="I15" i="6" s="1"/>
  <c r="I13" i="1"/>
  <c r="I20" i="6" s="1"/>
  <c r="I12" i="1"/>
  <c r="I40" i="11"/>
  <c r="I75" i="6"/>
  <c r="H17" i="12"/>
  <c r="H34" i="12"/>
  <c r="H43" i="12" s="1"/>
  <c r="H65" i="12"/>
  <c r="H72" i="12"/>
  <c r="H81" i="12"/>
  <c r="H89" i="12"/>
  <c r="J15" i="2"/>
  <c r="J14" i="2"/>
  <c r="I117" i="6"/>
  <c r="J13" i="2"/>
  <c r="I133" i="6"/>
  <c r="J9" i="2"/>
  <c r="H12" i="12"/>
  <c r="J8" i="2" s="1"/>
  <c r="I20" i="11"/>
  <c r="I33" i="1" s="1"/>
  <c r="I50" i="11"/>
  <c r="I8" i="1" s="1"/>
  <c r="I97" i="11"/>
  <c r="I88" i="11" s="1"/>
  <c r="I49" i="6" s="1"/>
  <c r="H60" i="12"/>
  <c r="H36" i="12"/>
  <c r="J21" i="2"/>
  <c r="I147" i="6" s="1"/>
  <c r="I153" i="6"/>
  <c r="I12" i="6"/>
  <c r="I18" i="6"/>
  <c r="I39" i="6" s="1"/>
  <c r="I51" i="6" s="1"/>
  <c r="I72" i="6" s="1"/>
  <c r="I82" i="6" s="1"/>
  <c r="I89" i="6" s="1"/>
  <c r="I94" i="6" s="1"/>
  <c r="I99" i="6" s="1"/>
  <c r="I106" i="6" s="1"/>
  <c r="I113" i="6" s="1"/>
  <c r="I120" i="6" s="1"/>
  <c r="I136" i="6" s="1"/>
  <c r="I141" i="6" s="1"/>
  <c r="I149" i="6" s="1"/>
  <c r="I138" i="6"/>
  <c r="I103" i="6"/>
  <c r="I86" i="6"/>
  <c r="I45" i="6"/>
  <c r="I80" i="6"/>
  <c r="I40" i="6"/>
  <c r="I16" i="6"/>
  <c r="I9" i="6"/>
  <c r="L9" i="2"/>
  <c r="K43" i="1"/>
  <c r="K45" i="1"/>
  <c r="K46" i="1"/>
  <c r="K47" i="1"/>
  <c r="K48" i="1"/>
  <c r="K50" i="1"/>
  <c r="K27" i="1"/>
  <c r="K12" i="1"/>
  <c r="K13" i="1"/>
  <c r="K20" i="6" s="1"/>
  <c r="K92" i="6" s="1"/>
  <c r="K26" i="1"/>
  <c r="K21" i="1"/>
  <c r="K20" i="1"/>
  <c r="K19" i="1"/>
  <c r="K18" i="1"/>
  <c r="K64" i="1"/>
  <c r="K65" i="1"/>
  <c r="K66" i="1"/>
  <c r="K67" i="1"/>
  <c r="K68" i="1"/>
  <c r="J64" i="1"/>
  <c r="J65" i="1"/>
  <c r="J66" i="1"/>
  <c r="J67" i="1"/>
  <c r="J68" i="1"/>
  <c r="J69" i="1"/>
  <c r="K9" i="2"/>
  <c r="J43" i="1"/>
  <c r="J45" i="1"/>
  <c r="J40" i="6"/>
  <c r="J46" i="1"/>
  <c r="J42" i="6"/>
  <c r="J48" i="1"/>
  <c r="J83" i="6"/>
  <c r="J85" i="6" s="1"/>
  <c r="J50" i="1"/>
  <c r="J45" i="6" s="1"/>
  <c r="J27" i="1"/>
  <c r="J12" i="1"/>
  <c r="J19" i="6"/>
  <c r="J26" i="1"/>
  <c r="J21" i="1"/>
  <c r="J20" i="1"/>
  <c r="J13" i="6"/>
  <c r="J15" i="6" s="1"/>
  <c r="J19" i="1"/>
  <c r="J18" i="1"/>
  <c r="J35" i="3"/>
  <c r="J10" i="3"/>
  <c r="I61" i="1"/>
  <c r="I23" i="1"/>
  <c r="J145" i="6"/>
  <c r="J107" i="6"/>
  <c r="J41" i="6"/>
  <c r="E11" i="20"/>
  <c r="K18" i="13"/>
  <c r="L35" i="3"/>
  <c r="L39" i="3"/>
  <c r="J50" i="11"/>
  <c r="I65" i="12"/>
  <c r="K14" i="2"/>
  <c r="I77" i="12"/>
  <c r="J131" i="6" s="1"/>
  <c r="J153" i="6" s="1"/>
  <c r="I81" i="12"/>
  <c r="K15" i="2" s="1"/>
  <c r="I89" i="12"/>
  <c r="I17" i="12"/>
  <c r="I34" i="12" s="1"/>
  <c r="I43" i="12" s="1"/>
  <c r="L14" i="2"/>
  <c r="K117" i="6"/>
  <c r="L15" i="2"/>
  <c r="J61" i="1"/>
  <c r="J20" i="11"/>
  <c r="I12" i="12"/>
  <c r="K8" i="2" s="1"/>
  <c r="I36" i="12"/>
  <c r="K21" i="2" s="1"/>
  <c r="L8" i="2"/>
  <c r="L21" i="2"/>
  <c r="K147" i="6"/>
  <c r="K33" i="1"/>
  <c r="K69" i="1"/>
  <c r="J122" i="6"/>
  <c r="J132" i="6"/>
  <c r="J12" i="6"/>
  <c r="J18" i="6"/>
  <c r="J39" i="6" s="1"/>
  <c r="J51" i="6" s="1"/>
  <c r="J72" i="6" s="1"/>
  <c r="J82" i="6" s="1"/>
  <c r="J89" i="6" s="1"/>
  <c r="J94" i="6" s="1"/>
  <c r="J99" i="6" s="1"/>
  <c r="J106" i="6" s="1"/>
  <c r="J113" i="6" s="1"/>
  <c r="J120" i="6" s="1"/>
  <c r="J136" i="6" s="1"/>
  <c r="J141" i="6" s="1"/>
  <c r="J142" i="6"/>
  <c r="J143" i="6"/>
  <c r="J137" i="6"/>
  <c r="J139" i="6"/>
  <c r="J114" i="6"/>
  <c r="J115" i="6"/>
  <c r="J103" i="6"/>
  <c r="J95" i="6"/>
  <c r="J96" i="6" s="1"/>
  <c r="J90" i="6"/>
  <c r="J91" i="6" s="1"/>
  <c r="J75" i="6"/>
  <c r="J76" i="6"/>
  <c r="J97" i="11"/>
  <c r="J88" i="11" s="1"/>
  <c r="J46" i="6"/>
  <c r="J6" i="6"/>
  <c r="J7" i="6"/>
  <c r="J8" i="6"/>
  <c r="I60" i="12"/>
  <c r="J12" i="11"/>
  <c r="K131" i="6"/>
  <c r="K153" i="6"/>
  <c r="K142" i="6"/>
  <c r="K146" i="6"/>
  <c r="K143" i="6"/>
  <c r="K145" i="6"/>
  <c r="K137" i="6"/>
  <c r="K139" i="6"/>
  <c r="K123" i="6"/>
  <c r="K122" i="6"/>
  <c r="K132" i="6" s="1"/>
  <c r="K114" i="6"/>
  <c r="K115" i="6"/>
  <c r="K107" i="6"/>
  <c r="K103" i="6"/>
  <c r="K95" i="6"/>
  <c r="K90" i="6"/>
  <c r="K91" i="6"/>
  <c r="K86" i="6"/>
  <c r="K83" i="6"/>
  <c r="K85" i="6" s="1"/>
  <c r="K75" i="6"/>
  <c r="K52" i="6"/>
  <c r="K46" i="6"/>
  <c r="K45" i="6"/>
  <c r="K80" i="6"/>
  <c r="K44" i="6"/>
  <c r="K43" i="6"/>
  <c r="K41" i="6"/>
  <c r="K40" i="6"/>
  <c r="K48" i="6" s="1"/>
  <c r="K19" i="6"/>
  <c r="K22" i="6" s="1"/>
  <c r="K16" i="6"/>
  <c r="K13" i="6"/>
  <c r="K15" i="6"/>
  <c r="K8" i="1"/>
  <c r="L44" i="3"/>
  <c r="E12" i="20"/>
  <c r="J29" i="14"/>
  <c r="I29" i="14"/>
  <c r="J28" i="14"/>
  <c r="J30" i="14" s="1"/>
  <c r="I28" i="14"/>
  <c r="D16" i="13"/>
  <c r="E16" i="13"/>
  <c r="F16" i="13"/>
  <c r="G16" i="13"/>
  <c r="J16" i="13"/>
  <c r="J23" i="13"/>
  <c r="C16" i="13"/>
  <c r="C23" i="13" s="1"/>
  <c r="K49" i="6"/>
  <c r="G39" i="20"/>
  <c r="D39" i="20"/>
  <c r="G23" i="20"/>
  <c r="D23" i="20"/>
  <c r="K61" i="1"/>
  <c r="K55" i="1"/>
  <c r="K23" i="1"/>
  <c r="K16" i="1"/>
  <c r="K76" i="6"/>
  <c r="K42" i="6"/>
  <c r="K23" i="6"/>
  <c r="K12" i="6"/>
  <c r="K18" i="6" s="1"/>
  <c r="K6" i="6"/>
  <c r="K7" i="6"/>
  <c r="K8" i="6"/>
  <c r="E28" i="20"/>
  <c r="E44" i="20"/>
  <c r="E26" i="20"/>
  <c r="D28" i="20"/>
  <c r="D26" i="20"/>
  <c r="D33" i="20" s="1"/>
  <c r="F11" i="20"/>
  <c r="G11" i="20"/>
  <c r="F12" i="20"/>
  <c r="F10" i="20"/>
  <c r="D12" i="20"/>
  <c r="G12" i="20"/>
  <c r="D10" i="20"/>
  <c r="D42" i="20" s="1"/>
  <c r="G40" i="20"/>
  <c r="G41" i="20"/>
  <c r="E42" i="20"/>
  <c r="F42" i="20"/>
  <c r="F49" i="20" s="1"/>
  <c r="D43" i="20"/>
  <c r="E43" i="20"/>
  <c r="F43" i="20"/>
  <c r="F44" i="20"/>
  <c r="G45" i="20"/>
  <c r="G46" i="20"/>
  <c r="G47" i="20"/>
  <c r="G48" i="20"/>
  <c r="G24" i="20"/>
  <c r="G25" i="20"/>
  <c r="G26" i="20"/>
  <c r="G27" i="20"/>
  <c r="G30" i="20"/>
  <c r="G31" i="20"/>
  <c r="G32" i="20"/>
  <c r="F33" i="20"/>
  <c r="G8" i="20"/>
  <c r="G17" i="20" s="1"/>
  <c r="G9" i="20"/>
  <c r="G10" i="20"/>
  <c r="G13" i="20"/>
  <c r="G14" i="20"/>
  <c r="G15" i="20"/>
  <c r="G16" i="20"/>
  <c r="F17" i="20"/>
  <c r="E17" i="20"/>
  <c r="F28" i="14"/>
  <c r="G28" i="14"/>
  <c r="H28" i="14"/>
  <c r="L28" i="14" s="1"/>
  <c r="L30" i="14" s="1"/>
  <c r="K28" i="14"/>
  <c r="F29" i="14"/>
  <c r="G29" i="14"/>
  <c r="G30" i="14" s="1"/>
  <c r="H29" i="14"/>
  <c r="K29" i="14"/>
  <c r="K30" i="14" s="1"/>
  <c r="I30" i="14"/>
  <c r="H30" i="14"/>
  <c r="F30" i="14"/>
  <c r="L26" i="14"/>
  <c r="L25" i="14"/>
  <c r="L24" i="14"/>
  <c r="L22" i="14"/>
  <c r="L21" i="14"/>
  <c r="L19" i="14"/>
  <c r="L18" i="14"/>
  <c r="L17" i="14"/>
  <c r="L14" i="14"/>
  <c r="L13" i="14"/>
  <c r="I132" i="6"/>
  <c r="K13" i="2"/>
  <c r="L13" i="2"/>
  <c r="L12" i="2"/>
  <c r="K110" i="6" s="1"/>
  <c r="K12" i="2"/>
  <c r="J110" i="6" s="1"/>
  <c r="L17" i="3"/>
  <c r="J12" i="2"/>
  <c r="I110" i="6"/>
  <c r="I47" i="1"/>
  <c r="I55" i="1"/>
  <c r="H55" i="1"/>
  <c r="H16" i="1"/>
  <c r="H23" i="6" s="1"/>
  <c r="H33" i="1"/>
  <c r="J17" i="3"/>
  <c r="J20" i="6"/>
  <c r="J92" i="6" s="1"/>
  <c r="K78" i="6"/>
  <c r="K96" i="6"/>
  <c r="H9" i="6"/>
  <c r="K109" i="6"/>
  <c r="H33" i="11"/>
  <c r="I12" i="2"/>
  <c r="I33" i="11"/>
  <c r="H64" i="12"/>
  <c r="H88" i="12"/>
  <c r="H96" i="12" s="1"/>
  <c r="J52" i="6"/>
  <c r="J9" i="6"/>
  <c r="J15" i="3"/>
  <c r="J117" i="6"/>
  <c r="G64" i="12"/>
  <c r="G88" i="12" s="1"/>
  <c r="G96" i="12" s="1"/>
  <c r="J25" i="2"/>
  <c r="I64" i="12"/>
  <c r="I88" i="12"/>
  <c r="I96" i="12" s="1"/>
  <c r="K25" i="2"/>
  <c r="K18" i="3" s="1"/>
  <c r="K9" i="6"/>
  <c r="J116" i="6"/>
  <c r="J138" i="6"/>
  <c r="J146" i="6"/>
  <c r="I78" i="6"/>
  <c r="L37" i="3"/>
  <c r="J16" i="6"/>
  <c r="J11" i="3"/>
  <c r="K10" i="6"/>
  <c r="K10" i="1"/>
  <c r="K29" i="1"/>
  <c r="K38" i="1" s="1"/>
  <c r="K36" i="1"/>
  <c r="J44" i="6"/>
  <c r="I19" i="6"/>
  <c r="I16" i="1"/>
  <c r="I23" i="6"/>
  <c r="I12" i="11"/>
  <c r="I60" i="11"/>
  <c r="K116" i="6"/>
  <c r="L43" i="3"/>
  <c r="L10" i="3"/>
  <c r="L26" i="3"/>
  <c r="L31" i="3" s="1"/>
  <c r="K97" i="6"/>
  <c r="L16" i="2"/>
  <c r="L23" i="2"/>
  <c r="H139" i="6"/>
  <c r="L25" i="2"/>
  <c r="L18" i="3"/>
  <c r="K70" i="1"/>
  <c r="K71" i="1"/>
  <c r="K73" i="1" s="1"/>
  <c r="D44" i="20"/>
  <c r="J33" i="11"/>
  <c r="J60" i="11"/>
  <c r="H23" i="1"/>
  <c r="H109" i="6"/>
  <c r="J18" i="3"/>
  <c r="H97" i="6"/>
  <c r="J10" i="6"/>
  <c r="H44" i="6"/>
  <c r="H83" i="6"/>
  <c r="H85" i="6"/>
  <c r="I69" i="1"/>
  <c r="E33" i="20"/>
  <c r="G28" i="20"/>
  <c r="G33" i="20"/>
  <c r="D17" i="20"/>
  <c r="I44" i="6"/>
  <c r="I97" i="6"/>
  <c r="E22" i="22"/>
  <c r="L35" i="23"/>
  <c r="L33" i="23"/>
  <c r="L31" i="23"/>
  <c r="L29" i="23"/>
  <c r="L28" i="23"/>
  <c r="L25" i="23"/>
  <c r="L27" i="23"/>
  <c r="F40" i="23"/>
  <c r="B40" i="23"/>
  <c r="D38" i="23"/>
  <c r="L4" i="23"/>
  <c r="J55" i="1"/>
  <c r="J16" i="1"/>
  <c r="J23" i="6" s="1"/>
  <c r="I43" i="6"/>
  <c r="J86" i="6"/>
  <c r="L15" i="3"/>
  <c r="L11" i="3"/>
  <c r="H17" i="23"/>
  <c r="I19" i="23" s="1"/>
  <c r="I41" i="23" s="1"/>
  <c r="L6" i="23"/>
  <c r="L8" i="23"/>
  <c r="L10" i="23"/>
  <c r="L15" i="23"/>
  <c r="F19" i="23"/>
  <c r="F43" i="23"/>
  <c r="L12" i="23"/>
  <c r="D17" i="23"/>
  <c r="D39" i="23" s="1"/>
  <c r="L5" i="23"/>
  <c r="L7" i="23"/>
  <c r="L9" i="23"/>
  <c r="L11" i="23"/>
  <c r="L13" i="23"/>
  <c r="B19" i="23"/>
  <c r="B43" i="23"/>
  <c r="I146" i="6"/>
  <c r="G33" i="11"/>
  <c r="G60" i="11" s="1"/>
  <c r="G16" i="1"/>
  <c r="G23" i="6" s="1"/>
  <c r="G33" i="1"/>
  <c r="G36" i="1" s="1"/>
  <c r="G38" i="1" s="1"/>
  <c r="F64" i="12"/>
  <c r="F88" i="12" s="1"/>
  <c r="F96" i="12" s="1"/>
  <c r="H60" i="11"/>
  <c r="I17" i="3"/>
  <c r="H17" i="3"/>
  <c r="H36" i="1"/>
  <c r="H10" i="1"/>
  <c r="H29" i="1"/>
  <c r="H38" i="1" s="1"/>
  <c r="H10" i="6"/>
  <c r="H15" i="3"/>
  <c r="I15" i="3"/>
  <c r="G15" i="3" s="1"/>
  <c r="H20" i="6"/>
  <c r="H22" i="6" s="1"/>
  <c r="H92" i="6"/>
  <c r="H43" i="6"/>
  <c r="I10" i="3"/>
  <c r="I26" i="3"/>
  <c r="I16" i="2"/>
  <c r="H117" i="6"/>
  <c r="I36" i="1"/>
  <c r="I10" i="6"/>
  <c r="I10" i="1"/>
  <c r="I29" i="1" s="1"/>
  <c r="I38" i="1" s="1"/>
  <c r="J43" i="6"/>
  <c r="J36" i="1"/>
  <c r="J26" i="3"/>
  <c r="J31" i="3"/>
  <c r="J10" i="1"/>
  <c r="I116" i="6"/>
  <c r="J16" i="2"/>
  <c r="J23" i="2" s="1"/>
  <c r="H26" i="3"/>
  <c r="H31" i="3" s="1"/>
  <c r="J71" i="1"/>
  <c r="J73" i="1" s="1"/>
  <c r="J79" i="1" s="1"/>
  <c r="H39" i="3"/>
  <c r="J78" i="6"/>
  <c r="K138" i="6"/>
  <c r="J109" i="6"/>
  <c r="F107" i="6"/>
  <c r="G9" i="6"/>
  <c r="G13" i="2"/>
  <c r="E64" i="12"/>
  <c r="E88" i="12"/>
  <c r="E96" i="12" s="1"/>
  <c r="F33" i="11"/>
  <c r="G17" i="3"/>
  <c r="K15" i="3"/>
  <c r="J37" i="3"/>
  <c r="J39" i="3" s="1"/>
  <c r="G10" i="1"/>
  <c r="K37" i="3"/>
  <c r="K39" i="3"/>
  <c r="K17" i="3"/>
  <c r="K11" i="3"/>
  <c r="G26" i="3"/>
  <c r="G31" i="3"/>
  <c r="G23" i="1"/>
  <c r="G29" i="1"/>
  <c r="G83" i="6"/>
  <c r="G85" i="6"/>
  <c r="H16" i="6"/>
  <c r="G40" i="6"/>
  <c r="G86" i="6"/>
  <c r="G13" i="6"/>
  <c r="G15" i="6" s="1"/>
  <c r="I31" i="3"/>
  <c r="H110" i="6"/>
  <c r="F19" i="18"/>
  <c r="L59" i="23"/>
  <c r="L57" i="23"/>
  <c r="L55" i="23"/>
  <c r="J62" i="23"/>
  <c r="L53" i="23"/>
  <c r="L51" i="23"/>
  <c r="F64" i="23"/>
  <c r="H62" i="23"/>
  <c r="I64" i="23" s="1"/>
  <c r="L50" i="23"/>
  <c r="L52" i="23"/>
  <c r="B64" i="23"/>
  <c r="D62" i="23"/>
  <c r="H116" i="6"/>
  <c r="F116" i="6" s="1"/>
  <c r="F150" i="6"/>
  <c r="E78" i="6"/>
  <c r="E9" i="6"/>
  <c r="E138" i="6"/>
  <c r="G43" i="20"/>
  <c r="F16" i="1"/>
  <c r="E23" i="6" s="1"/>
  <c r="F97" i="11"/>
  <c r="F88" i="11" s="1"/>
  <c r="F47" i="1"/>
  <c r="E80" i="6" s="1"/>
  <c r="E43" i="6"/>
  <c r="F132" i="6"/>
  <c r="G109" i="6"/>
  <c r="F109" i="6" s="1"/>
  <c r="L29" i="14"/>
  <c r="D10" i="6"/>
  <c r="E10" i="1"/>
  <c r="E33" i="11"/>
  <c r="E15" i="3"/>
  <c r="D19" i="6"/>
  <c r="D22" i="6" s="1"/>
  <c r="E55" i="1"/>
  <c r="D40" i="6"/>
  <c r="D41" i="6"/>
  <c r="E12" i="11"/>
  <c r="E60" i="11"/>
  <c r="E33" i="1"/>
  <c r="E36" i="1"/>
  <c r="D97" i="6"/>
  <c r="L85" i="23"/>
  <c r="L83" i="23"/>
  <c r="D138" i="6"/>
  <c r="G139" i="6"/>
  <c r="F138" i="6"/>
  <c r="F146" i="6"/>
  <c r="F108" i="6"/>
  <c r="F15" i="3"/>
  <c r="F17" i="3"/>
  <c r="G16" i="6"/>
  <c r="F10" i="1"/>
  <c r="F29" i="1"/>
  <c r="E16" i="6"/>
  <c r="E52" i="6"/>
  <c r="E86" i="6"/>
  <c r="E44" i="6"/>
  <c r="L79" i="23"/>
  <c r="H89" i="23"/>
  <c r="I91" i="23"/>
  <c r="L77" i="23"/>
  <c r="L84" i="23"/>
  <c r="L86" i="23"/>
  <c r="L87" i="23"/>
  <c r="L81" i="23"/>
  <c r="B91" i="23"/>
  <c r="F92" i="23" s="1"/>
  <c r="L62" i="23"/>
  <c r="L76" i="23"/>
  <c r="G115" i="23"/>
  <c r="L112" i="23"/>
  <c r="L110" i="23"/>
  <c r="L106" i="23"/>
  <c r="L104" i="23"/>
  <c r="D115" i="23"/>
  <c r="B117" i="23"/>
  <c r="H115" i="23"/>
  <c r="L103" i="23"/>
  <c r="L105" i="23"/>
  <c r="L107" i="23"/>
  <c r="L109" i="23"/>
  <c r="L111" i="23"/>
  <c r="L113" i="23"/>
  <c r="F117" i="23"/>
  <c r="I117" i="23"/>
  <c r="L102" i="23"/>
  <c r="F133" i="6"/>
  <c r="G10" i="3"/>
  <c r="G48" i="6"/>
  <c r="J23" i="1"/>
  <c r="J29" i="1" s="1"/>
  <c r="J38" i="1" s="1"/>
  <c r="I48" i="6"/>
  <c r="G55" i="1"/>
  <c r="E22" i="6"/>
  <c r="E13" i="6"/>
  <c r="E15" i="6" s="1"/>
  <c r="J22" i="6"/>
  <c r="H48" i="6"/>
  <c r="E48" i="6"/>
  <c r="D80" i="6"/>
  <c r="G11" i="3"/>
  <c r="I92" i="6"/>
  <c r="I22" i="6"/>
  <c r="E23" i="1"/>
  <c r="E29" i="1" s="1"/>
  <c r="E38" i="1" s="1"/>
  <c r="D13" i="6"/>
  <c r="D15" i="6"/>
  <c r="D86" i="6"/>
  <c r="D44" i="6"/>
  <c r="D48" i="6" s="1"/>
  <c r="L27" i="2"/>
  <c r="K152" i="6"/>
  <c r="L8" i="3"/>
  <c r="L19" i="3"/>
  <c r="L23" i="3" s="1"/>
  <c r="L41" i="3" s="1"/>
  <c r="E110" i="6"/>
  <c r="F16" i="2"/>
  <c r="F12" i="11"/>
  <c r="F60" i="11"/>
  <c r="F33" i="1"/>
  <c r="D109" i="6"/>
  <c r="D65" i="12"/>
  <c r="F118" i="23"/>
  <c r="L115" i="23"/>
  <c r="D64" i="12"/>
  <c r="D88" i="12" s="1"/>
  <c r="D96" i="12" s="1"/>
  <c r="E12" i="2"/>
  <c r="F26" i="3"/>
  <c r="F31" i="3" s="1"/>
  <c r="F36" i="1"/>
  <c r="F38" i="1" s="1"/>
  <c r="E26" i="3"/>
  <c r="E31" i="3" s="1"/>
  <c r="K154" i="6"/>
  <c r="K156" i="6" s="1"/>
  <c r="K158" i="6" s="1"/>
  <c r="D110" i="6"/>
  <c r="E16" i="2"/>
  <c r="E49" i="20"/>
  <c r="G44" i="20"/>
  <c r="D55" i="1"/>
  <c r="D33" i="11"/>
  <c r="D16" i="1"/>
  <c r="C23" i="6" s="1"/>
  <c r="D15" i="3"/>
  <c r="D26" i="3"/>
  <c r="D31" i="3" s="1"/>
  <c r="D10" i="3"/>
  <c r="D16" i="2"/>
  <c r="C64" i="12"/>
  <c r="C88" i="12" s="1"/>
  <c r="C96" i="12"/>
  <c r="C102" i="12"/>
  <c r="D25" i="2"/>
  <c r="D18" i="3" s="1"/>
  <c r="C138" i="6"/>
  <c r="C40" i="6"/>
  <c r="G110" i="6"/>
  <c r="G12" i="2"/>
  <c r="G16" i="2"/>
  <c r="H16" i="2"/>
  <c r="J147" i="6"/>
  <c r="H147" i="6"/>
  <c r="I23" i="2"/>
  <c r="G21" i="2"/>
  <c r="G23" i="2"/>
  <c r="H23" i="2"/>
  <c r="G147" i="6"/>
  <c r="E147" i="6"/>
  <c r="F23" i="2"/>
  <c r="D147" i="6"/>
  <c r="E23" i="2"/>
  <c r="C147" i="6"/>
  <c r="D23" i="2"/>
  <c r="D8" i="3"/>
  <c r="D27" i="2"/>
  <c r="E8" i="3"/>
  <c r="F8" i="3"/>
  <c r="H8" i="3"/>
  <c r="I8" i="3"/>
  <c r="G8" i="3" s="1"/>
  <c r="F147" i="6"/>
  <c r="C151" i="6" l="1"/>
  <c r="C152" i="6" s="1"/>
  <c r="C97" i="12"/>
  <c r="C100" i="12" s="1"/>
  <c r="C105" i="12" s="1"/>
  <c r="D77" i="11" s="1"/>
  <c r="D70" i="1" s="1"/>
  <c r="H19" i="13" s="1"/>
  <c r="I19" i="13" s="1"/>
  <c r="K19" i="13" s="1"/>
  <c r="J8" i="3"/>
  <c r="J19" i="3" s="1"/>
  <c r="J23" i="3" s="1"/>
  <c r="J27" i="2"/>
  <c r="G151" i="6"/>
  <c r="G152" i="6" s="1"/>
  <c r="F97" i="12"/>
  <c r="F100" i="12" s="1"/>
  <c r="I151" i="6"/>
  <c r="I152" i="6" s="1"/>
  <c r="H97" i="12"/>
  <c r="H100" i="12" s="1"/>
  <c r="H105" i="12" s="1"/>
  <c r="I77" i="11" s="1"/>
  <c r="G42" i="20"/>
  <c r="G49" i="20" s="1"/>
  <c r="D49" i="20"/>
  <c r="J49" i="6"/>
  <c r="J97" i="6"/>
  <c r="K16" i="2"/>
  <c r="K23" i="2" s="1"/>
  <c r="I97" i="12"/>
  <c r="I100" i="12" s="1"/>
  <c r="I105" i="12" s="1"/>
  <c r="J77" i="11" s="1"/>
  <c r="J67" i="11" s="1"/>
  <c r="J66" i="11" s="1"/>
  <c r="J111" i="11" s="1"/>
  <c r="J118" i="11" s="1"/>
  <c r="K10" i="3"/>
  <c r="K26" i="3"/>
  <c r="K31" i="3" s="1"/>
  <c r="D151" i="6"/>
  <c r="D152" i="6" s="1"/>
  <c r="D97" i="12"/>
  <c r="D100" i="12" s="1"/>
  <c r="E49" i="6"/>
  <c r="J41" i="3"/>
  <c r="J44" i="3" s="1"/>
  <c r="I43" i="3" s="1"/>
  <c r="E151" i="6"/>
  <c r="E152" i="6" s="1"/>
  <c r="E97" i="12"/>
  <c r="E100" i="12" s="1"/>
  <c r="K79" i="1"/>
  <c r="G97" i="12"/>
  <c r="G100" i="12" s="1"/>
  <c r="H151" i="6"/>
  <c r="J48" i="6"/>
  <c r="J80" i="6"/>
  <c r="L89" i="23"/>
  <c r="F55" i="1"/>
  <c r="L38" i="23"/>
  <c r="L17" i="23"/>
  <c r="G132" i="6"/>
  <c r="D89" i="23"/>
  <c r="E146" i="6"/>
  <c r="D17" i="3"/>
  <c r="D19" i="3" s="1"/>
  <c r="D23" i="3" s="1"/>
  <c r="D41" i="3" s="1"/>
  <c r="D12" i="11"/>
  <c r="D60" i="11" s="1"/>
  <c r="C13" i="6"/>
  <c r="C15" i="6" s="1"/>
  <c r="C44" i="6"/>
  <c r="C48" i="6" s="1"/>
  <c r="C80" i="6"/>
  <c r="C83" i="6"/>
  <c r="C85" i="6" s="1"/>
  <c r="C108" i="6"/>
  <c r="C109" i="6" s="1"/>
  <c r="D10" i="1"/>
  <c r="D23" i="1"/>
  <c r="D29" i="1" s="1"/>
  <c r="D38" i="1" s="1"/>
  <c r="D36" i="1"/>
  <c r="G101" i="12" l="1"/>
  <c r="G102" i="12" s="1"/>
  <c r="I25" i="2" s="1"/>
  <c r="G105" i="12"/>
  <c r="H77" i="11" s="1"/>
  <c r="H70" i="1" s="1"/>
  <c r="E154" i="6"/>
  <c r="E156" i="6" s="1"/>
  <c r="E158" i="6"/>
  <c r="D101" i="12"/>
  <c r="D102" i="12" s="1"/>
  <c r="E25" i="2" s="1"/>
  <c r="D105" i="12"/>
  <c r="E77" i="11" s="1"/>
  <c r="E70" i="1" s="1"/>
  <c r="H12" i="13" s="1"/>
  <c r="I154" i="6"/>
  <c r="I158" i="6"/>
  <c r="G154" i="6"/>
  <c r="G156" i="6" s="1"/>
  <c r="G158" i="6"/>
  <c r="C154" i="6"/>
  <c r="C158" i="6"/>
  <c r="L43" i="23"/>
  <c r="F151" i="6"/>
  <c r="H152" i="6"/>
  <c r="E101" i="12"/>
  <c r="E102" i="12" s="1"/>
  <c r="F25" i="2" s="1"/>
  <c r="D154" i="6"/>
  <c r="D156" i="6" s="1"/>
  <c r="D158" i="6" s="1"/>
  <c r="K27" i="2"/>
  <c r="K8" i="3"/>
  <c r="K19" i="3" s="1"/>
  <c r="K23" i="3" s="1"/>
  <c r="K41" i="3" s="1"/>
  <c r="J152" i="6"/>
  <c r="H76" i="11"/>
  <c r="I70" i="1"/>
  <c r="I71" i="1" s="1"/>
  <c r="I73" i="1" s="1"/>
  <c r="I79" i="1" s="1"/>
  <c r="I67" i="11"/>
  <c r="I66" i="11" s="1"/>
  <c r="I111" i="11" s="1"/>
  <c r="I118" i="11" s="1"/>
  <c r="F101" i="12"/>
  <c r="F102" i="12" s="1"/>
  <c r="H25" i="2" s="1"/>
  <c r="H18" i="3" l="1"/>
  <c r="H19" i="3" s="1"/>
  <c r="H23" i="3" s="1"/>
  <c r="H41" i="3" s="1"/>
  <c r="H27" i="2"/>
  <c r="J154" i="6"/>
  <c r="J156" i="6" s="1"/>
  <c r="J158" i="6" s="1"/>
  <c r="F18" i="3"/>
  <c r="F19" i="3" s="1"/>
  <c r="F23" i="3" s="1"/>
  <c r="F41" i="3" s="1"/>
  <c r="F27" i="2"/>
  <c r="F152" i="6"/>
  <c r="H154" i="6"/>
  <c r="K12" i="13"/>
  <c r="I12" i="13"/>
  <c r="F105" i="12"/>
  <c r="G77" i="11" s="1"/>
  <c r="G70" i="1" s="1"/>
  <c r="H67" i="11"/>
  <c r="H66" i="11" s="1"/>
  <c r="H111" i="11" s="1"/>
  <c r="H118" i="11" s="1"/>
  <c r="H69" i="1"/>
  <c r="G76" i="11"/>
  <c r="E105" i="12"/>
  <c r="F77" i="11" s="1"/>
  <c r="F70" i="1" s="1"/>
  <c r="E18" i="3"/>
  <c r="E19" i="3" s="1"/>
  <c r="E23" i="3" s="1"/>
  <c r="E41" i="3" s="1"/>
  <c r="E27" i="2"/>
  <c r="I18" i="3"/>
  <c r="G25" i="2"/>
  <c r="G27" i="2" s="1"/>
  <c r="I27" i="2"/>
  <c r="G69" i="1" l="1"/>
  <c r="G71" i="1" s="1"/>
  <c r="G73" i="1" s="1"/>
  <c r="G79" i="1" s="1"/>
  <c r="F76" i="11"/>
  <c r="G67" i="11"/>
  <c r="G66" i="11" s="1"/>
  <c r="G111" i="11" s="1"/>
  <c r="G118" i="11" s="1"/>
  <c r="F154" i="6"/>
  <c r="H156" i="6"/>
  <c r="H71" i="1"/>
  <c r="H73" i="1" s="1"/>
  <c r="H79" i="1" s="1"/>
  <c r="I37" i="3"/>
  <c r="G18" i="3"/>
  <c r="G19" i="3" s="1"/>
  <c r="G23" i="3" s="1"/>
  <c r="I19" i="3"/>
  <c r="I23" i="3" s="1"/>
  <c r="F67" i="11" l="1"/>
  <c r="F66" i="11" s="1"/>
  <c r="F111" i="11" s="1"/>
  <c r="F118" i="11" s="1"/>
  <c r="E76" i="11"/>
  <c r="F69" i="1"/>
  <c r="F71" i="1" s="1"/>
  <c r="F73" i="1" s="1"/>
  <c r="F79" i="1" s="1"/>
  <c r="G37" i="3"/>
  <c r="G39" i="3" s="1"/>
  <c r="G41" i="3" s="1"/>
  <c r="G44" i="3" s="1"/>
  <c r="F43" i="3" s="1"/>
  <c r="F44" i="3" s="1"/>
  <c r="E43" i="3" s="1"/>
  <c r="E44" i="3" s="1"/>
  <c r="D43" i="3" s="1"/>
  <c r="D44" i="3" s="1"/>
  <c r="I39" i="3"/>
  <c r="I41" i="3" s="1"/>
  <c r="I44" i="3" s="1"/>
  <c r="H43" i="3" s="1"/>
  <c r="H44" i="3" s="1"/>
  <c r="F156" i="6"/>
  <c r="H158" i="6"/>
  <c r="F158" i="6" s="1"/>
  <c r="E67" i="11" l="1"/>
  <c r="E66" i="11" s="1"/>
  <c r="E111" i="11" s="1"/>
  <c r="E118" i="11" s="1"/>
  <c r="E69" i="1"/>
  <c r="D76" i="11"/>
  <c r="H7" i="13" l="1"/>
  <c r="E71" i="1"/>
  <c r="E73" i="1" s="1"/>
  <c r="E79" i="1" s="1"/>
  <c r="D69" i="1"/>
  <c r="D71" i="1" s="1"/>
  <c r="D73" i="1" s="1"/>
  <c r="D79" i="1" s="1"/>
  <c r="D67" i="11"/>
  <c r="D66" i="11" s="1"/>
  <c r="D111" i="11" s="1"/>
  <c r="D118" i="11" s="1"/>
  <c r="I7" i="13" l="1"/>
  <c r="H16" i="13"/>
  <c r="H23" i="13" s="1"/>
  <c r="I16" i="13" l="1"/>
  <c r="I23" i="13" s="1"/>
  <c r="K7" i="13"/>
  <c r="K16" i="13" s="1"/>
  <c r="K23" i="13" s="1"/>
</calcChain>
</file>

<file path=xl/sharedStrings.xml><?xml version="1.0" encoding="utf-8"?>
<sst xmlns="http://schemas.openxmlformats.org/spreadsheetml/2006/main" count="1186" uniqueCount="726">
  <si>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</si>
  <si>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</si>
  <si>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</si>
  <si>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</si>
  <si>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</si>
  <si>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</si>
  <si>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</si>
  <si>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</si>
  <si>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</si>
  <si>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</si>
  <si>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</si>
  <si>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</si>
  <si>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</si>
  <si>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</si>
  <si>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</si>
  <si>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</si>
  <si>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</si>
  <si>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</si>
  <si>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</si>
  <si>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</si>
  <si>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</si>
  <si>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</si>
  <si>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</si>
  <si>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</si>
  <si>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</si>
  <si>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</si>
  <si>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</si>
  <si>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</si>
  <si>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</si>
  <si>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</si>
  <si>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</si>
  <si>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</si>
  <si>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</si>
  <si>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</si>
  <si>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</si>
  <si>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</si>
  <si>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</si>
  <si>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</si>
  <si>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</si>
  <si>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</si>
  <si>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</si>
  <si>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</si>
  <si>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</si>
  <si>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</si>
  <si>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</si>
  <si>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</si>
  <si>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</si>
  <si>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</si>
  <si>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</si>
  <si>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</si>
  <si>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</si>
  <si>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</si>
  <si>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</si>
  <si>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</si>
  <si>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</si>
  <si>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</si>
  <si>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</si>
  <si>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</si>
  <si>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</si>
  <si>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</si>
  <si>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</si>
  <si>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</si>
  <si>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</si>
  <si>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</si>
  <si>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</si>
  <si>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</si>
  <si>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</si>
  <si>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</si>
  <si>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</si>
  <si>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</si>
  <si>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</si>
  <si>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</si>
  <si>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</si>
  <si>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</si>
  <si>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</si>
  <si>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</si>
  <si>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</si>
  <si>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</si>
  <si>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</si>
  <si>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</si>
  <si>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</si>
  <si>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</si>
  <si>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</si>
  <si>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</si>
  <si>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</si>
  <si>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</si>
  <si>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</si>
  <si>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</si>
  <si>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</si>
  <si>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</si>
  <si>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</si>
  <si>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</si>
  <si>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Te tjera detyrime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</si>
  <si>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</si>
  <si>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</si>
  <si>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</si>
  <si>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</si>
  <si>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</si>
  <si>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</si>
  <si>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</si>
  <si>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</si>
  <si>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</si>
  <si>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</si>
  <si>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</si>
  <si>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Pasivet Afatshkurter</t>
  </si>
  <si>
    <t xml:space="preserve">Paga  </t>
  </si>
  <si>
    <t>Te tjera</t>
  </si>
  <si>
    <t>Fitim nga kembime valutore</t>
  </si>
  <si>
    <t>Te ardhura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</si>
  <si>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</si>
  <si>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</si>
  <si>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</si>
  <si>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</si>
  <si>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</si>
  <si>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</si>
  <si>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</si>
  <si>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</si>
  <si>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Te ardhura nga interesat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</si>
  <si>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</si>
  <si>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</si>
  <si>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</si>
  <si>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</si>
  <si>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</si>
  <si>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</si>
  <si>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</si>
  <si>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</si>
  <si>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</si>
  <si>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</si>
  <si>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</si>
  <si>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</si>
  <si>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</si>
  <si>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</si>
  <si>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</si>
  <si>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</si>
  <si>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</si>
  <si>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</si>
  <si>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</si>
  <si>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</si>
  <si>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</si>
  <si>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</si>
  <si>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</si>
  <si>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</si>
  <si>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</si>
  <si>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</si>
  <si>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</si>
  <si>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</si>
  <si>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</si>
  <si>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</si>
  <si>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</si>
  <si>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</si>
  <si>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</si>
  <si>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</si>
  <si>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</si>
  <si>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</si>
  <si>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</si>
  <si>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</si>
  <si>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</si>
  <si>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</si>
  <si>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</si>
  <si>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</si>
  <si>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</si>
  <si>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</si>
  <si>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</si>
  <si>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</si>
  <si>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</si>
  <si>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</si>
  <si>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</si>
  <si>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</si>
  <si>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</si>
  <si>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</si>
  <si>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</si>
  <si>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</si>
  <si>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</si>
  <si>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</si>
  <si>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</si>
  <si>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</si>
  <si>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</si>
  <si>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</si>
  <si>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</si>
  <si>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</si>
  <si>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</si>
  <si>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</si>
  <si>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</si>
  <si>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</si>
  <si>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</si>
  <si>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</si>
  <si>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</si>
  <si>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</si>
  <si>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</si>
  <si>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</si>
  <si>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</si>
  <si>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</si>
  <si>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</si>
  <si>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</si>
  <si>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</si>
  <si>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</si>
  <si>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</si>
  <si>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</si>
  <si>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</si>
  <si>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</si>
  <si>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</si>
  <si>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</si>
  <si>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</si>
  <si>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</si>
  <si>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</si>
  <si>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</si>
  <si>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</si>
  <si>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</si>
  <si>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</si>
  <si>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</si>
  <si>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</si>
  <si>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</si>
  <si>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</si>
  <si>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</si>
  <si>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</si>
  <si>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</si>
  <si>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</si>
  <si>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</si>
  <si>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</si>
  <si>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</si>
  <si>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</si>
  <si>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</si>
  <si>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</si>
  <si>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</si>
  <si>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</si>
  <si>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</si>
  <si>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</si>
  <si>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</si>
  <si>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</si>
  <si>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</si>
  <si>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</si>
  <si>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</si>
  <si>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</si>
  <si>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</si>
  <si>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</si>
  <si>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</si>
  <si>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</si>
  <si>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</si>
  <si>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</si>
  <si>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</si>
  <si>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</si>
  <si>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</si>
  <si>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</si>
  <si>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</si>
  <si>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</si>
  <si>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</si>
  <si>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</si>
  <si>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</si>
  <si>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</si>
  <si>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</si>
  <si>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</si>
  <si>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</si>
  <si>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</si>
  <si>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</si>
  <si>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</si>
  <si>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</si>
  <si>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</si>
  <si>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</si>
  <si>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</si>
  <si>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</si>
  <si>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</si>
  <si>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</si>
  <si>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</si>
  <si>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</si>
  <si>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</si>
  <si>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</si>
  <si>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</si>
  <si>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</si>
  <si>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</si>
  <si>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</si>
  <si>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</si>
  <si>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</si>
  <si>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</si>
  <si>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</si>
  <si>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</si>
  <si>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</si>
  <si>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</si>
  <si>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</si>
  <si>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</si>
  <si>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</si>
  <si>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</si>
  <si>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</si>
  <si>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</si>
  <si>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</si>
  <si>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</si>
  <si>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</si>
  <si>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</si>
  <si>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</si>
  <si>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</si>
  <si>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</si>
  <si>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</si>
  <si>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</si>
  <si>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</si>
  <si>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</si>
  <si>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</si>
  <si>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</si>
  <si>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</si>
  <si>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</si>
  <si>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</si>
  <si>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</si>
  <si>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</si>
  <si>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</si>
  <si>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</si>
  <si>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</si>
  <si>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</si>
  <si>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</si>
  <si>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</si>
  <si>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</si>
  <si>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</si>
  <si>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</si>
  <si>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</si>
  <si>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</si>
  <si>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</si>
  <si>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86</t>
  </si>
  <si>
    <t>87</t>
  </si>
  <si>
    <t>g</t>
  </si>
  <si>
    <t>88</t>
  </si>
  <si>
    <t>i</t>
  </si>
  <si>
    <t>Te Tjera Detyrime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</si>
  <si>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</si>
  <si>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</si>
  <si>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</si>
  <si>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</si>
  <si>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</si>
  <si>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</si>
  <si>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</si>
  <si>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</si>
  <si>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</si>
  <si>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</si>
  <si>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</si>
  <si>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</si>
  <si>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</si>
  <si>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</si>
  <si>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</si>
  <si>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</si>
  <si>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</si>
  <si>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</si>
  <si>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</si>
  <si>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</si>
  <si>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</si>
  <si>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</si>
  <si>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</si>
  <si>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</si>
  <si>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</si>
  <si>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</si>
  <si>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</si>
  <si>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</si>
  <si>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</si>
  <si>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</si>
  <si>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</si>
  <si>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</si>
  <si>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</si>
  <si>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</si>
  <si>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</si>
  <si>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</si>
  <si>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</si>
  <si>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</si>
  <si>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</si>
  <si>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</si>
  <si>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</si>
  <si>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</si>
  <si>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</si>
  <si>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</si>
  <si>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</si>
  <si>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</si>
  <si>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</si>
  <si>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</si>
  <si>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</si>
  <si>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</si>
  <si>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</si>
  <si>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</si>
  <si>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</si>
  <si>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</si>
  <si>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</si>
  <si>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</si>
  <si>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</si>
  <si>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</si>
  <si>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</si>
  <si>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</si>
  <si>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</si>
  <si>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</si>
  <si>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</si>
  <si>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</si>
  <si>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</si>
  <si>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</si>
  <si>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</si>
  <si>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</si>
  <si>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</si>
  <si>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</si>
  <si>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</si>
  <si>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</si>
  <si>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</si>
  <si>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</si>
  <si>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</si>
  <si>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</si>
  <si>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</si>
  <si>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</si>
  <si>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</si>
  <si>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</si>
  <si>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</si>
  <si>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</si>
  <si>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</si>
  <si>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</si>
  <si>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</si>
  <si>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</si>
  <si>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</si>
  <si>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</si>
  <si>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</si>
  <si>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</si>
  <si>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</si>
  <si>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</si>
  <si>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</si>
  <si>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</si>
  <si>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</si>
  <si>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</si>
  <si>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</si>
  <si>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Diferenca konvertimi</t>
  </si>
  <si>
    <t>Hua Bankare</t>
  </si>
  <si>
    <t>Te ardhura nga shitja e AQ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</si>
  <si>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</si>
  <si>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</si>
  <si>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</si>
  <si>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</si>
  <si>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</si>
  <si>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</si>
  <si>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</si>
  <si>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</si>
  <si>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</si>
  <si>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</si>
  <si>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</si>
  <si>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ADMINISTRATORI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</si>
  <si>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</si>
  <si>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</si>
  <si>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</si>
  <si>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</si>
  <si>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</si>
  <si>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</si>
  <si>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</si>
  <si>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</si>
  <si>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</si>
  <si>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</si>
  <si>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</si>
  <si>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</si>
  <si>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</si>
  <si>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</si>
  <si>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</si>
  <si>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</si>
  <si>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</si>
  <si>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</si>
  <si>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</si>
  <si>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</si>
  <si>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</si>
  <si>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</si>
  <si>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</si>
  <si>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</si>
  <si>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</si>
  <si>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</si>
  <si>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</si>
  <si>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</si>
  <si>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</si>
  <si>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</si>
  <si>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</si>
  <si>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</si>
  <si>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</si>
  <si>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</si>
  <si>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</si>
  <si>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</si>
  <si>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</si>
  <si>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</si>
  <si>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</si>
  <si>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</si>
  <si>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</si>
  <si>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</si>
  <si>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</si>
  <si>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</si>
  <si>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</si>
  <si>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</si>
  <si>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</si>
  <si>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</si>
  <si>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</si>
  <si>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</si>
  <si>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</si>
  <si>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</si>
  <si>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</si>
  <si>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</si>
  <si>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</si>
  <si>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</si>
  <si>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</si>
  <si>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Page Punonjesh</t>
  </si>
  <si>
    <t>Kerkese mbi debitoret Shteti</t>
  </si>
  <si>
    <t>Te Ardhurat</t>
  </si>
  <si>
    <t>Penalitete,gjoba,demshperblime</t>
  </si>
  <si>
    <t>Amortizime dhe provizione</t>
  </si>
  <si>
    <t>Amortizimi AQT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</si>
  <si>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</si>
  <si>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</si>
  <si>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</si>
  <si>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</si>
  <si>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</si>
  <si>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</si>
  <si>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</si>
  <si>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</si>
  <si>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</si>
  <si>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</si>
  <si>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</si>
  <si>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</si>
  <si>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</si>
  <si>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</si>
  <si>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</si>
  <si>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</si>
  <si>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 xml:space="preserve"> </t>
  </si>
  <si>
    <t>Ortaku</t>
  </si>
  <si>
    <t>Ngurtesim Banke</t>
  </si>
  <si>
    <t>Pajisje zyre</t>
  </si>
  <si>
    <t>PERSHKRIM</t>
  </si>
  <si>
    <t>Vendi</t>
  </si>
  <si>
    <t>Produkte te Gatshme,Mallra</t>
  </si>
  <si>
    <t xml:space="preserve">I N V E N T A R I  i </t>
  </si>
  <si>
    <t>Sasia</t>
  </si>
  <si>
    <t xml:space="preserve">Per Drejtimin e Shoqerise </t>
  </si>
  <si>
    <t>V.O.Kjo pasqyre do te plotesohet e vecante per</t>
  </si>
  <si>
    <t>Lenden e Pare ; Mallrat ; Produktin e Gateshem dhe Prodhimin ne Proces</t>
  </si>
  <si>
    <t>Emertimi</t>
  </si>
  <si>
    <t>Gjendje</t>
  </si>
  <si>
    <t>Shtesa</t>
  </si>
  <si>
    <t>Pakesime</t>
  </si>
  <si>
    <t>Ndertime</t>
  </si>
  <si>
    <t>Makineri,paisje</t>
  </si>
  <si>
    <t>Mjete transporti</t>
  </si>
  <si>
    <t>kompjuterike,zyre,etj</t>
  </si>
  <si>
    <t xml:space="preserve">             TOTALI</t>
  </si>
  <si>
    <t>Makineri,paisje,vegla</t>
  </si>
  <si>
    <t>Administratori</t>
  </si>
  <si>
    <t>31 Dhjetor 2011</t>
  </si>
  <si>
    <t>Viti 2011</t>
  </si>
  <si>
    <t>VITI 2011</t>
  </si>
  <si>
    <t>Totale</t>
  </si>
  <si>
    <t>Vlefta 2012</t>
  </si>
  <si>
    <t>31 Dhjetor 2012</t>
  </si>
  <si>
    <t>Viti 2012</t>
  </si>
  <si>
    <t xml:space="preserve">Inventari   i   automjeteve  ne  pronesi   te  Subjektit </t>
  </si>
  <si>
    <t>rend</t>
  </si>
  <si>
    <t xml:space="preserve">Lloji   I   automjetit </t>
  </si>
  <si>
    <t>Kapaciteti</t>
  </si>
  <si>
    <t xml:space="preserve">Targa </t>
  </si>
  <si>
    <t xml:space="preserve">Vlera </t>
  </si>
  <si>
    <t>Per Drejtimin e Shoqerise</t>
  </si>
  <si>
    <t>Vlera arke te tjera(ngurtesim ne banke)</t>
  </si>
  <si>
    <t>Totali i të ardhurave apo  shpenzimeve, që nuk janë njohur  në pasqyrën e të ardhurave dhe  shpenzimeve veprim rregu me humb mbartur</t>
  </si>
  <si>
    <t>Shpenzime Telefonike</t>
  </si>
  <si>
    <t>Vlefta 2014</t>
  </si>
  <si>
    <t>Ushtrimi 14</t>
  </si>
  <si>
    <t>Per periudhen: 01/01/2009deri:31/12/2014</t>
  </si>
  <si>
    <t>31 Dhjetor 2014</t>
  </si>
  <si>
    <t>Viti 2014</t>
  </si>
  <si>
    <t>VITI 2014</t>
  </si>
  <si>
    <t>Sigurime Shoqerore dhe te Ngjashme,Tap</t>
  </si>
  <si>
    <t>Shteti - Tatime dhe Taksa,Tatim Fitim</t>
  </si>
  <si>
    <t>Emertimi I artikullit</t>
  </si>
  <si>
    <t>Cmimi furnizues per njesi</t>
  </si>
  <si>
    <t>Njesia</t>
  </si>
  <si>
    <t>Vlera pa TVSH:</t>
  </si>
  <si>
    <t>Totali:</t>
  </si>
  <si>
    <t>Ndryshimi gjendjes</t>
  </si>
  <si>
    <t>Inventar per Asetet(Aktivetet Afatgjata)</t>
  </si>
  <si>
    <t>Televizor</t>
  </si>
  <si>
    <t>GJENDJE Leke</t>
  </si>
  <si>
    <t>Shitje Sherbimeve</t>
  </si>
  <si>
    <t>Totale Aktivet</t>
  </si>
  <si>
    <t>Vlera Historike</t>
  </si>
  <si>
    <t>L42019004I</t>
  </si>
  <si>
    <t>ARKONSTUDIO</t>
  </si>
  <si>
    <t xml:space="preserve">Rruga Frosina Plaku, Pallati nr.21, </t>
  </si>
  <si>
    <t>Shkalla A, Apartamenti nr.5, Kati III - te,Tirane</t>
  </si>
  <si>
    <t>19.08.2014</t>
  </si>
  <si>
    <t>QKR</t>
  </si>
  <si>
    <t>Studio projektimi, supervizioni dhe kolaudimi:</t>
  </si>
  <si>
    <t>Masterplane - studime e plane racionale urbanistike</t>
  </si>
  <si>
    <t>plan rregullues te pergjithshem per qendra te banuara - qytete,</t>
  </si>
  <si>
    <t>studime pjesore urbanistike</t>
  </si>
  <si>
    <t>projektim objekte civile - industrial - turistike deri 5 kate</t>
  </si>
  <si>
    <t xml:space="preserve"> Shoqeria  "ARKONSTUDIO" </t>
  </si>
  <si>
    <t xml:space="preserve">               KONTABILIST</t>
  </si>
  <si>
    <r>
      <t xml:space="preserve">NIPT   </t>
    </r>
    <r>
      <rPr>
        <u/>
        <sz val="14"/>
        <rFont val="Arial"/>
        <family val="2"/>
      </rPr>
      <t>L42019004I</t>
    </r>
  </si>
  <si>
    <t>Ushtrimi 15</t>
  </si>
  <si>
    <t>Ecohealth.Tirana</t>
  </si>
  <si>
    <t>Shitje</t>
  </si>
  <si>
    <t>Vendas</t>
  </si>
  <si>
    <t>Sh.Perj</t>
  </si>
  <si>
    <t>Tvsh</t>
  </si>
  <si>
    <t>Bl.Perj</t>
  </si>
  <si>
    <t>Blerje</t>
  </si>
  <si>
    <t>Tvsh e Paguar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</si>
  <si>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</si>
  <si>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</si>
  <si>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</si>
  <si>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</si>
  <si>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</si>
  <si>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</si>
  <si>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</si>
  <si>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</si>
  <si>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</si>
  <si>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</si>
  <si>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</si>
  <si>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</si>
  <si>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Sh.Af</t>
  </si>
  <si>
    <t>FDP 2015</t>
  </si>
  <si>
    <t>Investime</t>
  </si>
  <si>
    <t>30 Prill/Viti 2015</t>
  </si>
  <si>
    <t>31/Dhjetor/Viti 2015</t>
  </si>
  <si>
    <t>Materiale te Para</t>
  </si>
  <si>
    <t>Kondicioner</t>
  </si>
  <si>
    <t>Cmim</t>
  </si>
  <si>
    <t>cope</t>
  </si>
  <si>
    <t>Kompjuter</t>
  </si>
  <si>
    <r>
      <t xml:space="preserve">NIPT   </t>
    </r>
    <r>
      <rPr>
        <b/>
        <u/>
        <sz val="14"/>
        <rFont val="Arial"/>
        <family val="2"/>
      </rPr>
      <t>L42019004I</t>
    </r>
  </si>
  <si>
    <t>Krenar Dila</t>
  </si>
  <si>
    <t>30 Prill 2015</t>
  </si>
  <si>
    <t>31 Dhjetor 2015</t>
  </si>
  <si>
    <t>Qira</t>
  </si>
  <si>
    <t>Aurora Konstruksion</t>
  </si>
  <si>
    <t>Aleksander Coti</t>
  </si>
  <si>
    <t>Drejtoria e  Sherbimit te Trupit Diplomatik</t>
  </si>
  <si>
    <t>Dhimitraq Talo</t>
  </si>
  <si>
    <t>Deja 2013 shpk</t>
  </si>
  <si>
    <t>Ligor Rembeci</t>
  </si>
  <si>
    <t>Ministria e Integrimit Europian</t>
  </si>
  <si>
    <t>Operatori i Sistemit te Transmentimit sha</t>
  </si>
  <si>
    <t>Egnatia O Albania</t>
  </si>
  <si>
    <t>Te tjera kerkesa te arketueshme(TTHF)</t>
  </si>
  <si>
    <t>ALB-SERVIS shpk</t>
  </si>
  <si>
    <t>AHF SHPK</t>
  </si>
  <si>
    <t>Denisa shpk</t>
  </si>
  <si>
    <t>Eurobeton 2005 shpk</t>
  </si>
  <si>
    <t>EPE Shpk</t>
  </si>
  <si>
    <t>Goxhaj Shpk</t>
  </si>
  <si>
    <t>ISPP</t>
  </si>
  <si>
    <t>JAHO XHAFERRI</t>
  </si>
  <si>
    <t>KMPK shpk</t>
  </si>
  <si>
    <t>OLT-FLOR</t>
  </si>
  <si>
    <t>Rafaelo 2002 sha</t>
  </si>
  <si>
    <t>Rig Cert Albania</t>
  </si>
  <si>
    <t xml:space="preserve">R.S&amp;m </t>
  </si>
  <si>
    <t>Sali Elektrik</t>
  </si>
  <si>
    <t>Timex shpk</t>
  </si>
  <si>
    <t>Personel Jashte Nderrmarjes</t>
  </si>
  <si>
    <t>Shpenzime udhetim dieta</t>
  </si>
  <si>
    <t>Shpenzime Transport ne blerje</t>
  </si>
  <si>
    <t>Taksa dhe tarifa vendore etj,</t>
  </si>
  <si>
    <t>Detyrime Fiskale</t>
  </si>
  <si>
    <t>Vlera</t>
  </si>
  <si>
    <t>ToTale</t>
  </si>
  <si>
    <t>Viti 2015</t>
  </si>
  <si>
    <t xml:space="preserve">                                    ADMINISTRATORI</t>
  </si>
  <si>
    <t>01/05-31/12/2015</t>
  </si>
  <si>
    <t>01/05 - 31/12/2015</t>
  </si>
  <si>
    <t>01/01- 30/04/2015</t>
  </si>
  <si>
    <t>01/01-30/04/2015</t>
  </si>
  <si>
    <t>Blerje materiale  dhe te tjera</t>
  </si>
  <si>
    <t>Komisione Bankare</t>
  </si>
  <si>
    <t>Shpenzime</t>
  </si>
  <si>
    <t>Vlefta 2015</t>
  </si>
  <si>
    <t>Vlefta 2016</t>
  </si>
  <si>
    <t>Ushtrimi 16</t>
  </si>
  <si>
    <t>FDP 2016</t>
  </si>
  <si>
    <t>fotokopje toshi</t>
  </si>
  <si>
    <t>usb kriptograf</t>
  </si>
  <si>
    <t>komp4</t>
  </si>
  <si>
    <t>mont</t>
  </si>
  <si>
    <t>5Vende</t>
  </si>
  <si>
    <t>Auto</t>
  </si>
  <si>
    <t>Arkon Studio</t>
  </si>
  <si>
    <t>Viti 2016</t>
  </si>
  <si>
    <t>Informatike</t>
  </si>
  <si>
    <t>AA010OO</t>
  </si>
  <si>
    <t>Fotokopje toshiba</t>
  </si>
  <si>
    <t>Usb kriptograf</t>
  </si>
  <si>
    <t>Monitor Kompjut</t>
  </si>
  <si>
    <t>Auto mercedez AA010OO</t>
  </si>
  <si>
    <t>Auto Mercedez</t>
  </si>
  <si>
    <t>31 Dhjetor 2016</t>
  </si>
  <si>
    <t>Bl Energji Uje,avull</t>
  </si>
  <si>
    <t>Pagese per sherbime,sigurime</t>
  </si>
  <si>
    <t>FDP 2017</t>
  </si>
  <si>
    <t>Vlefta 2017</t>
  </si>
  <si>
    <t>Ushtrimi 17</t>
  </si>
  <si>
    <t>Viti 2017</t>
  </si>
  <si>
    <t>31 Dhjetor 2017</t>
  </si>
  <si>
    <t>Gjenerator 12 Kva</t>
  </si>
  <si>
    <t>Mobile zyre</t>
  </si>
  <si>
    <t>Set</t>
  </si>
  <si>
    <t>Tatim Qiraje</t>
  </si>
  <si>
    <t>Tatim Fitim I mbipaguar</t>
  </si>
  <si>
    <t>Shpenzime interesa over-draft</t>
  </si>
  <si>
    <t>VITI  2018</t>
  </si>
  <si>
    <t>Nga 01.01.2018 deri 31.12.2018</t>
  </si>
  <si>
    <t>31.12.2018</t>
  </si>
  <si>
    <t>Vlefta 2018</t>
  </si>
  <si>
    <t>Ushtrimi 18</t>
  </si>
  <si>
    <t>Viti 2018</t>
  </si>
  <si>
    <t>Bilanci   Kontabel  me  31 Dhjetor  2018</t>
  </si>
  <si>
    <t>Llogaria te Ardhura &amp; Shpenzime per vitin e mbyllur me 31 Dhjetor  2018</t>
  </si>
  <si>
    <t>Periudha kontabel     01 Janar-31 Dhjetor 2018</t>
  </si>
  <si>
    <t>Pasqyra e levizjes se kapitaleve te veta  me 31 Dhjetor  2016 - 31 Dhjetor  2018</t>
  </si>
  <si>
    <t>Pozicioni më 31 Dhjetor  2016</t>
  </si>
  <si>
    <t>Pozicioni më 31 dhjetor 2017</t>
  </si>
  <si>
    <t>Pozicioni më 31 Dhjetor  2018</t>
  </si>
  <si>
    <t>Periudha kontabel     01 Janar - 31 Dhjetor 2018</t>
  </si>
  <si>
    <t>Bilanci i Celjes     01.01.2018</t>
  </si>
  <si>
    <t>Hyrjet  2018</t>
  </si>
  <si>
    <t>Daljet  2018</t>
  </si>
  <si>
    <t>Bilanci i Mbylljes 31.12.2018</t>
  </si>
  <si>
    <t>31,12,2018</t>
  </si>
  <si>
    <t>Aktivet Afatgjata Materiale  me vlere fillestare   2018</t>
  </si>
  <si>
    <t>Amortizimi A.A.Materiale   2018</t>
  </si>
  <si>
    <t>Vlera Kontabel Neto e A.A.Materiale  2018</t>
  </si>
  <si>
    <t>FDP 2018</t>
  </si>
  <si>
    <t>Investimet financiare afatgjata(Blerje Aksione)</t>
  </si>
  <si>
    <t>4.a</t>
  </si>
  <si>
    <t>Auto Audi</t>
  </si>
  <si>
    <t>AA010UO</t>
  </si>
  <si>
    <t>Auto Smart</t>
  </si>
  <si>
    <t>AA615VA</t>
  </si>
  <si>
    <t>Printer</t>
  </si>
  <si>
    <t>31 Dhjetor 2018</t>
  </si>
  <si>
    <t>Mirembajtje,etj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</si>
</sst>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9" formatCode="_(* #,##0_);_(* \(#,##0\);_(* &quot;-&quot;_);_(@_)"/>
    <numFmt numFmtId="171" formatCode="_(* #,##0.00_);_(* \(#,##0.00\);_(* &quot;-&quot;??_);_(@_)"/>
    <numFmt numFmtId="182" formatCode="#,##0.00_);\-#,##0.00"/>
    <numFmt numFmtId="193" formatCode="#,##0.00_ ;\-#,##0.00\ 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  <numFmt numFmtId="199" formatCode="[$EUR]\ #,##0.00"/>
  </numFmts>
  <fonts count="82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  <family val="2"/>
    </font>
    <font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11.05"/>
      <color indexed="8"/>
      <name val="Times New Roman"/>
      <family val="1"/>
    </font>
    <font>
      <sz val="9"/>
      <color indexed="8"/>
      <name val="Arial"/>
      <family val="2"/>
    </font>
    <font>
      <b/>
      <i/>
      <sz val="9.85"/>
      <color indexed="8"/>
      <name val="Times New Roman"/>
      <family val="1"/>
    </font>
    <font>
      <b/>
      <sz val="9"/>
      <color indexed="8"/>
      <name val="Arial"/>
      <family val="2"/>
    </font>
    <font>
      <b/>
      <i/>
      <sz val="12.6"/>
      <color indexed="8"/>
      <name val="Arial"/>
      <family val="2"/>
    </font>
    <font>
      <sz val="9.85"/>
      <color indexed="8"/>
      <name val="Times New Roman"/>
      <family val="1"/>
    </font>
    <font>
      <b/>
      <i/>
      <sz val="8.9"/>
      <color indexed="8"/>
      <name val="Arial"/>
      <family val="2"/>
    </font>
    <font>
      <b/>
      <i/>
      <sz val="9.9499999999999993"/>
      <color indexed="8"/>
      <name val="Arial"/>
      <family val="2"/>
    </font>
    <font>
      <b/>
      <i/>
      <sz val="13.45"/>
      <color indexed="8"/>
      <name val="Times New Roman"/>
      <family val="1"/>
    </font>
    <font>
      <b/>
      <i/>
      <sz val="10.7"/>
      <color indexed="8"/>
      <name val="Times New Roman"/>
      <family val="1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1"/>
      <name val="Arial Narrow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u/>
      <sz val="12"/>
      <name val="Arial"/>
      <family val="2"/>
    </font>
    <font>
      <u/>
      <sz val="12"/>
      <name val="Arial Narrow"/>
      <family val="2"/>
    </font>
    <font>
      <sz val="11"/>
      <name val="Calibri"/>
      <family val="2"/>
    </font>
    <font>
      <b/>
      <sz val="11"/>
      <name val="Arial"/>
      <family val="2"/>
    </font>
    <font>
      <b/>
      <i/>
      <sz val="9.85"/>
      <color indexed="8"/>
      <name val="Times New Roman"/>
      <family val="1"/>
    </font>
    <font>
      <b/>
      <u/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Times New Roman"/>
      <family val="1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1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29" fillId="0" borderId="0" applyFont="0" applyFill="0" applyBorder="0" applyAlignment="0" applyProtection="0"/>
    <xf numFmtId="0" fontId="67" fillId="0" borderId="0"/>
    <xf numFmtId="0" fontId="75" fillId="0" borderId="0"/>
    <xf numFmtId="0" fontId="11" fillId="0" borderId="0"/>
    <xf numFmtId="0" fontId="11" fillId="0" borderId="0"/>
    <xf numFmtId="0" fontId="30" fillId="0" borderId="0"/>
    <xf numFmtId="0" fontId="29" fillId="0" borderId="0"/>
  </cellStyleXfs>
  <cellXfs count="517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71" fontId="2" fillId="0" borderId="0" xfId="1" applyFont="1"/>
    <xf numFmtId="171" fontId="2" fillId="0" borderId="1" xfId="1" applyFont="1" applyBorder="1"/>
    <xf numFmtId="171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39" fontId="6" fillId="0" borderId="0" xfId="0" applyNumberFormat="1" applyFont="1"/>
    <xf numFmtId="171" fontId="4" fillId="0" borderId="2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1" fontId="6" fillId="0" borderId="0" xfId="0" applyNumberFormat="1" applyFont="1" applyFill="1"/>
    <xf numFmtId="171" fontId="2" fillId="0" borderId="0" xfId="1" applyFont="1" applyFill="1"/>
    <xf numFmtId="40" fontId="2" fillId="0" borderId="1" xfId="0" applyNumberFormat="1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0" fontId="13" fillId="0" borderId="0" xfId="0" applyFont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182" fontId="17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right" vertical="center"/>
    </xf>
    <xf numFmtId="0" fontId="11" fillId="0" borderId="0" xfId="7" applyNumberFormat="1" applyFill="1" applyBorder="1" applyAlignment="1" applyProtection="1"/>
    <xf numFmtId="0" fontId="21" fillId="0" borderId="0" xfId="7" applyFont="1" applyAlignment="1">
      <alignment vertical="center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vertical="center"/>
    </xf>
    <xf numFmtId="182" fontId="17" fillId="0" borderId="0" xfId="7" applyNumberFormat="1" applyFont="1" applyAlignment="1">
      <alignment horizontal="right" vertical="center"/>
    </xf>
    <xf numFmtId="0" fontId="23" fillId="0" borderId="0" xfId="7" applyFont="1" applyAlignment="1">
      <alignment vertical="center"/>
    </xf>
    <xf numFmtId="0" fontId="11" fillId="0" borderId="0" xfId="6" applyNumberFormat="1" applyFill="1" applyBorder="1" applyAlignment="1" applyProtection="1"/>
    <xf numFmtId="0" fontId="2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vertical="center"/>
    </xf>
    <xf numFmtId="182" fontId="17" fillId="0" borderId="0" xfId="6" applyNumberFormat="1" applyFont="1" applyAlignment="1">
      <alignment horizontal="right" vertical="center"/>
    </xf>
    <xf numFmtId="0" fontId="18" fillId="0" borderId="0" xfId="6" applyFont="1" applyAlignment="1">
      <alignment vertical="center"/>
    </xf>
    <xf numFmtId="0" fontId="22" fillId="0" borderId="0" xfId="7" applyFont="1" applyAlignment="1">
      <alignment horizontal="left" vertical="center"/>
    </xf>
    <xf numFmtId="0" fontId="20" fillId="0" borderId="0" xfId="7" applyFont="1" applyAlignment="1">
      <alignment horizontal="left" vertical="center"/>
    </xf>
    <xf numFmtId="182" fontId="26" fillId="0" borderId="0" xfId="7" applyNumberFormat="1" applyFont="1" applyAlignment="1">
      <alignment horizontal="right" vertical="center"/>
    </xf>
    <xf numFmtId="0" fontId="26" fillId="2" borderId="0" xfId="7" applyFont="1" applyFill="1" applyAlignment="1">
      <alignment vertical="center"/>
    </xf>
    <xf numFmtId="0" fontId="16" fillId="2" borderId="0" xfId="7" applyFont="1" applyFill="1" applyAlignment="1">
      <alignment horizontal="center" vertical="center"/>
    </xf>
    <xf numFmtId="182" fontId="17" fillId="2" borderId="0" xfId="7" applyNumberFormat="1" applyFont="1" applyFill="1" applyAlignment="1">
      <alignment horizontal="right" vertical="center"/>
    </xf>
    <xf numFmtId="0" fontId="11" fillId="2" borderId="0" xfId="7" applyNumberFormat="1" applyFill="1" applyBorder="1" applyAlignment="1" applyProtection="1"/>
    <xf numFmtId="182" fontId="26" fillId="0" borderId="0" xfId="6" applyNumberFormat="1" applyFont="1" applyAlignment="1">
      <alignment horizontal="right" vertical="center"/>
    </xf>
    <xf numFmtId="0" fontId="9" fillId="0" borderId="0" xfId="0" applyFont="1" applyFill="1"/>
    <xf numFmtId="2" fontId="11" fillId="0" borderId="0" xfId="7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0" fontId="32" fillId="0" borderId="4" xfId="0" applyFont="1" applyBorder="1"/>
    <xf numFmtId="0" fontId="31" fillId="0" borderId="0" xfId="0" applyFont="1"/>
    <xf numFmtId="0" fontId="32" fillId="0" borderId="5" xfId="0" applyFont="1" applyBorder="1"/>
    <xf numFmtId="0" fontId="32" fillId="0" borderId="6" xfId="0" applyFont="1" applyBorder="1"/>
    <xf numFmtId="0" fontId="32" fillId="0" borderId="7" xfId="0" applyFont="1" applyBorder="1"/>
    <xf numFmtId="0" fontId="32" fillId="0" borderId="8" xfId="0" applyFont="1" applyBorder="1"/>
    <xf numFmtId="0" fontId="33" fillId="0" borderId="0" xfId="0" applyFont="1" applyBorder="1"/>
    <xf numFmtId="0" fontId="33" fillId="0" borderId="0" xfId="0" applyFont="1" applyBorder="1" applyAlignment="1">
      <alignment horizontal="left"/>
    </xf>
    <xf numFmtId="0" fontId="33" fillId="0" borderId="4" xfId="0" applyFont="1" applyBorder="1"/>
    <xf numFmtId="0" fontId="32" fillId="0" borderId="0" xfId="0" applyFont="1" applyBorder="1"/>
    <xf numFmtId="0" fontId="35" fillId="0" borderId="0" xfId="0" applyNumberFormat="1" applyFont="1" applyFill="1" applyBorder="1" applyAlignment="1" applyProtection="1"/>
    <xf numFmtId="0" fontId="36" fillId="0" borderId="0" xfId="0" applyFont="1" applyBorder="1"/>
    <xf numFmtId="0" fontId="32" fillId="0" borderId="8" xfId="0" applyFont="1" applyBorder="1" applyAlignment="1">
      <alignment horizontal="left"/>
    </xf>
    <xf numFmtId="0" fontId="38" fillId="0" borderId="0" xfId="0" applyFont="1" applyBorder="1"/>
    <xf numFmtId="0" fontId="32" fillId="0" borderId="9" xfId="0" applyFont="1" applyBorder="1"/>
    <xf numFmtId="0" fontId="32" fillId="0" borderId="10" xfId="0" applyFont="1" applyBorder="1"/>
    <xf numFmtId="0" fontId="32" fillId="0" borderId="11" xfId="0" applyFont="1" applyBorder="1"/>
    <xf numFmtId="0" fontId="32" fillId="0" borderId="0" xfId="0" applyFont="1"/>
    <xf numFmtId="182" fontId="11" fillId="0" borderId="0" xfId="7" applyNumberFormat="1" applyFill="1" applyBorder="1" applyAlignment="1" applyProtection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0" xfId="0" applyFont="1" applyFill="1"/>
    <xf numFmtId="0" fontId="39" fillId="0" borderId="0" xfId="0" applyFont="1"/>
    <xf numFmtId="0" fontId="40" fillId="0" borderId="0" xfId="0" applyFont="1"/>
    <xf numFmtId="0" fontId="13" fillId="0" borderId="0" xfId="0" applyFont="1" applyBorder="1"/>
    <xf numFmtId="0" fontId="13" fillId="0" borderId="2" xfId="0" applyFont="1" applyFill="1" applyBorder="1" applyAlignment="1">
      <alignment horizontal="center"/>
    </xf>
    <xf numFmtId="171" fontId="39" fillId="0" borderId="0" xfId="1" applyFont="1" applyFill="1"/>
    <xf numFmtId="171" fontId="41" fillId="0" borderId="0" xfId="1" applyFont="1" applyFill="1" applyAlignment="1">
      <alignment horizontal="right" vertical="center"/>
    </xf>
    <xf numFmtId="171" fontId="39" fillId="0" borderId="0" xfId="0" applyNumberFormat="1" applyFont="1" applyFill="1"/>
    <xf numFmtId="171" fontId="39" fillId="0" borderId="12" xfId="1" applyFont="1" applyFill="1" applyBorder="1"/>
    <xf numFmtId="182" fontId="41" fillId="0" borderId="0" xfId="0" applyNumberFormat="1" applyFont="1" applyFill="1" applyAlignment="1">
      <alignment horizontal="right" vertical="center"/>
    </xf>
    <xf numFmtId="40" fontId="39" fillId="0" borderId="0" xfId="0" applyNumberFormat="1" applyFont="1" applyFill="1"/>
    <xf numFmtId="0" fontId="13" fillId="0" borderId="0" xfId="0" applyFont="1" applyBorder="1" applyAlignment="1">
      <alignment horizontal="center"/>
    </xf>
    <xf numFmtId="171" fontId="39" fillId="0" borderId="1" xfId="1" applyFont="1" applyFill="1" applyBorder="1"/>
    <xf numFmtId="171" fontId="13" fillId="0" borderId="0" xfId="1" applyFont="1" applyFill="1"/>
    <xf numFmtId="171" fontId="39" fillId="0" borderId="0" xfId="0" applyNumberFormat="1" applyFont="1"/>
    <xf numFmtId="0" fontId="13" fillId="0" borderId="0" xfId="0" applyFont="1" applyFill="1"/>
    <xf numFmtId="171" fontId="13" fillId="0" borderId="0" xfId="0" applyNumberFormat="1" applyFont="1" applyFill="1" applyAlignment="1">
      <alignment horizontal="center"/>
    </xf>
    <xf numFmtId="0" fontId="39" fillId="0" borderId="0" xfId="0" applyFont="1" applyFill="1" applyBorder="1"/>
    <xf numFmtId="39" fontId="39" fillId="0" borderId="0" xfId="0" applyNumberFormat="1" applyFont="1" applyFill="1"/>
    <xf numFmtId="4" fontId="39" fillId="0" borderId="0" xfId="0" applyNumberFormat="1" applyFont="1"/>
    <xf numFmtId="0" fontId="42" fillId="0" borderId="0" xfId="0" applyFont="1" applyBorder="1"/>
    <xf numFmtId="0" fontId="40" fillId="0" borderId="0" xfId="0" applyFont="1" applyBorder="1"/>
    <xf numFmtId="39" fontId="39" fillId="0" borderId="0" xfId="0" applyNumberFormat="1" applyFont="1" applyFill="1" applyBorder="1"/>
    <xf numFmtId="0" fontId="39" fillId="0" borderId="0" xfId="0" applyFont="1" applyBorder="1" applyAlignment="1">
      <alignment horizontal="left" wrapText="1"/>
    </xf>
    <xf numFmtId="39" fontId="39" fillId="0" borderId="0" xfId="0" applyNumberFormat="1" applyFont="1" applyFill="1" applyBorder="1" applyAlignment="1">
      <alignment horizontal="left" wrapText="1"/>
    </xf>
    <xf numFmtId="39" fontId="13" fillId="0" borderId="2" xfId="0" applyNumberFormat="1" applyFont="1" applyFill="1" applyBorder="1" applyAlignment="1">
      <alignment horizontal="center" wrapText="1"/>
    </xf>
    <xf numFmtId="39" fontId="39" fillId="0" borderId="0" xfId="0" applyNumberFormat="1" applyFont="1" applyFill="1" applyBorder="1" applyAlignment="1">
      <alignment horizontal="right" wrapText="1"/>
    </xf>
    <xf numFmtId="0" fontId="39" fillId="0" borderId="0" xfId="0" applyFont="1" applyAlignment="1">
      <alignment horizontal="left" vertical="justify"/>
    </xf>
    <xf numFmtId="39" fontId="39" fillId="0" borderId="10" xfId="0" applyNumberFormat="1" applyFont="1" applyFill="1" applyBorder="1" applyAlignment="1">
      <alignment horizontal="right" wrapText="1"/>
    </xf>
    <xf numFmtId="39" fontId="39" fillId="0" borderId="0" xfId="0" applyNumberFormat="1" applyFont="1" applyBorder="1"/>
    <xf numFmtId="0" fontId="13" fillId="0" borderId="0" xfId="0" applyFont="1" applyBorder="1" applyAlignment="1">
      <alignment horizontal="left"/>
    </xf>
    <xf numFmtId="39" fontId="39" fillId="0" borderId="10" xfId="0" applyNumberFormat="1" applyFont="1" applyFill="1" applyBorder="1"/>
    <xf numFmtId="171" fontId="39" fillId="0" borderId="0" xfId="1" applyFont="1" applyFill="1" applyBorder="1" applyAlignment="1">
      <alignment horizontal="center" wrapText="1"/>
    </xf>
    <xf numFmtId="171" fontId="39" fillId="0" borderId="0" xfId="0" applyNumberFormat="1" applyFont="1" applyFill="1" applyBorder="1"/>
    <xf numFmtId="39" fontId="39" fillId="0" borderId="12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/>
    <xf numFmtId="0" fontId="12" fillId="0" borderId="0" xfId="7" applyFont="1" applyAlignment="1">
      <alignment vertical="center"/>
    </xf>
    <xf numFmtId="3" fontId="2" fillId="0" borderId="13" xfId="0" applyNumberFormat="1" applyFont="1" applyFill="1" applyBorder="1" applyAlignment="1" applyProtection="1"/>
    <xf numFmtId="3" fontId="4" fillId="0" borderId="14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0" fontId="28" fillId="0" borderId="16" xfId="0" applyNumberFormat="1" applyFont="1" applyFill="1" applyBorder="1" applyAlignment="1" applyProtection="1">
      <alignment wrapText="1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171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0" xfId="9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Border="1"/>
    <xf numFmtId="0" fontId="44" fillId="0" borderId="0" xfId="0" applyFont="1" applyBorder="1"/>
    <xf numFmtId="0" fontId="2" fillId="0" borderId="0" xfId="9" applyFont="1" applyBorder="1" applyAlignment="1">
      <alignment horizontal="left"/>
    </xf>
    <xf numFmtId="0" fontId="44" fillId="0" borderId="0" xfId="0" applyFont="1"/>
    <xf numFmtId="0" fontId="2" fillId="0" borderId="0" xfId="9" applyFont="1" applyBorder="1"/>
    <xf numFmtId="196" fontId="4" fillId="0" borderId="0" xfId="8" applyNumberFormat="1" applyFont="1" applyFill="1" applyBorder="1" applyAlignment="1">
      <alignment horizontal="center" vertical="center"/>
    </xf>
    <xf numFmtId="196" fontId="4" fillId="0" borderId="21" xfId="8" applyNumberFormat="1" applyFont="1" applyFill="1" applyBorder="1" applyAlignment="1">
      <alignment horizontal="center" vertical="center"/>
    </xf>
    <xf numFmtId="0" fontId="45" fillId="0" borderId="22" xfId="0" applyNumberFormat="1" applyFont="1" applyFill="1" applyBorder="1" applyAlignment="1" applyProtection="1"/>
    <xf numFmtId="196" fontId="2" fillId="0" borderId="0" xfId="8" applyNumberFormat="1" applyFont="1" applyFill="1" applyBorder="1" applyAlignment="1" applyProtection="1">
      <alignment horizontal="center" vertical="center"/>
    </xf>
    <xf numFmtId="196" fontId="4" fillId="0" borderId="23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5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0" xfId="8" applyNumberFormat="1" applyFont="1" applyFill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 applyProtection="1">
      <alignment horizontal="center" vertical="center"/>
      <protection locked="0"/>
    </xf>
    <xf numFmtId="0" fontId="2" fillId="0" borderId="0" xfId="9" applyFont="1" applyBorder="1" applyAlignment="1">
      <alignment horizontal="center" vertical="center"/>
    </xf>
    <xf numFmtId="0" fontId="45" fillId="0" borderId="26" xfId="0" applyNumberFormat="1" applyFont="1" applyFill="1" applyBorder="1" applyAlignment="1" applyProtection="1"/>
    <xf numFmtId="0" fontId="45" fillId="0" borderId="27" xfId="0" applyNumberFormat="1" applyFont="1" applyFill="1" applyBorder="1" applyAlignment="1" applyProtection="1"/>
    <xf numFmtId="0" fontId="45" fillId="0" borderId="28" xfId="0" applyNumberFormat="1" applyFont="1" applyFill="1" applyBorder="1" applyAlignment="1" applyProtection="1"/>
    <xf numFmtId="0" fontId="45" fillId="0" borderId="29" xfId="0" applyNumberFormat="1" applyFont="1" applyFill="1" applyBorder="1" applyAlignment="1" applyProtection="1"/>
    <xf numFmtId="0" fontId="45" fillId="0" borderId="30" xfId="0" applyNumberFormat="1" applyFont="1" applyFill="1" applyBorder="1" applyAlignment="1" applyProtection="1"/>
    <xf numFmtId="196" fontId="4" fillId="0" borderId="0" xfId="9" applyNumberFormat="1" applyFont="1" applyFill="1" applyBorder="1" applyAlignment="1" applyProtection="1">
      <alignment horizontal="center" vertical="center"/>
      <protection locked="0"/>
    </xf>
    <xf numFmtId="196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196" fontId="46" fillId="0" borderId="0" xfId="8" applyNumberFormat="1" applyFont="1" applyBorder="1" applyAlignment="1" applyProtection="1">
      <alignment horizontal="center" vertical="center" wrapText="1"/>
      <protection locked="0"/>
    </xf>
    <xf numFmtId="196" fontId="4" fillId="0" borderId="31" xfId="8" applyNumberFormat="1" applyFont="1" applyFill="1" applyBorder="1" applyAlignment="1">
      <alignment horizontal="center" vertical="center"/>
    </xf>
    <xf numFmtId="196" fontId="4" fillId="0" borderId="32" xfId="8" applyNumberFormat="1" applyFont="1" applyFill="1" applyBorder="1" applyAlignment="1">
      <alignment horizontal="center" vertical="center"/>
    </xf>
    <xf numFmtId="196" fontId="4" fillId="0" borderId="33" xfId="8" applyNumberFormat="1" applyFont="1" applyBorder="1" applyAlignment="1" applyProtection="1">
      <alignment horizontal="center" vertical="center" wrapText="1"/>
      <protection locked="0"/>
    </xf>
    <xf numFmtId="196" fontId="4" fillId="0" borderId="34" xfId="8" applyNumberFormat="1" applyFont="1" applyFill="1" applyBorder="1" applyAlignment="1">
      <alignment horizontal="center" vertical="center"/>
    </xf>
    <xf numFmtId="196" fontId="4" fillId="0" borderId="35" xfId="8" applyNumberFormat="1" applyFont="1" applyFill="1" applyBorder="1" applyAlignment="1">
      <alignment horizontal="center" vertical="center"/>
    </xf>
    <xf numFmtId="196" fontId="4" fillId="0" borderId="36" xfId="9" applyNumberFormat="1" applyFont="1" applyFill="1" applyBorder="1" applyAlignment="1" applyProtection="1">
      <alignment horizontal="center" vertical="center"/>
      <protection locked="0"/>
    </xf>
    <xf numFmtId="196" fontId="4" fillId="0" borderId="37" xfId="9" applyNumberFormat="1" applyFont="1" applyFill="1" applyBorder="1" applyAlignment="1" applyProtection="1">
      <alignment horizontal="center" vertical="center"/>
      <protection locked="0"/>
    </xf>
    <xf numFmtId="196" fontId="4" fillId="0" borderId="38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9" xfId="8" applyNumberFormat="1" applyFont="1" applyFill="1" applyBorder="1" applyAlignment="1" applyProtection="1">
      <alignment horizontal="center" vertical="center"/>
      <protection locked="0"/>
    </xf>
    <xf numFmtId="196" fontId="4" fillId="0" borderId="39" xfId="8" applyNumberFormat="1" applyFont="1" applyBorder="1" applyAlignment="1" applyProtection="1">
      <alignment horizontal="center" vertical="center" wrapText="1"/>
      <protection locked="0"/>
    </xf>
    <xf numFmtId="196" fontId="2" fillId="0" borderId="0" xfId="8" applyNumberFormat="1" applyFont="1" applyFill="1" applyBorder="1" applyAlignment="1" applyProtection="1">
      <alignment horizontal="center" vertical="center"/>
      <protection locked="0"/>
    </xf>
    <xf numFmtId="196" fontId="4" fillId="0" borderId="40" xfId="9" applyNumberFormat="1" applyFont="1" applyFill="1" applyBorder="1" applyAlignment="1" applyProtection="1">
      <alignment horizontal="center" vertical="center"/>
      <protection locked="0"/>
    </xf>
    <xf numFmtId="196" fontId="4" fillId="0" borderId="41" xfId="9" applyNumberFormat="1" applyFont="1" applyFill="1" applyBorder="1" applyAlignment="1" applyProtection="1">
      <alignment horizontal="center" vertical="center"/>
      <protection locked="0"/>
    </xf>
    <xf numFmtId="196" fontId="4" fillId="0" borderId="42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8" applyNumberFormat="1" applyFont="1" applyFill="1" applyBorder="1" applyAlignment="1" applyProtection="1">
      <alignment horizontal="center" vertical="center"/>
      <protection locked="0"/>
    </xf>
    <xf numFmtId="196" fontId="4" fillId="0" borderId="43" xfId="8" applyNumberFormat="1" applyFont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>
      <alignment horizontal="left"/>
    </xf>
    <xf numFmtId="196" fontId="4" fillId="0" borderId="44" xfId="8" applyNumberFormat="1" applyFont="1" applyFill="1" applyBorder="1" applyAlignment="1">
      <alignment horizontal="left"/>
    </xf>
    <xf numFmtId="196" fontId="4" fillId="0" borderId="45" xfId="8" applyNumberFormat="1" applyFont="1" applyFill="1" applyBorder="1" applyAlignment="1">
      <alignment horizontal="left"/>
    </xf>
    <xf numFmtId="196" fontId="47" fillId="0" borderId="0" xfId="8" quotePrefix="1" applyNumberFormat="1" applyFont="1" applyFill="1" applyBorder="1" applyAlignment="1">
      <alignment horizontal="center"/>
    </xf>
    <xf numFmtId="196" fontId="4" fillId="0" borderId="44" xfId="8" applyNumberFormat="1" applyFont="1" applyFill="1" applyBorder="1" applyAlignment="1" applyProtection="1">
      <protection locked="0"/>
    </xf>
    <xf numFmtId="197" fontId="4" fillId="0" borderId="46" xfId="3" applyNumberFormat="1" applyFont="1" applyFill="1" applyBorder="1" applyAlignment="1" applyProtection="1">
      <protection locked="0"/>
    </xf>
    <xf numFmtId="196" fontId="4" fillId="0" borderId="47" xfId="8" applyNumberFormat="1" applyFont="1" applyFill="1" applyBorder="1" applyAlignment="1" applyProtection="1">
      <alignment wrapText="1"/>
      <protection locked="0"/>
    </xf>
    <xf numFmtId="196" fontId="4" fillId="0" borderId="46" xfId="8" applyNumberFormat="1" applyFont="1" applyFill="1" applyBorder="1" applyAlignment="1" applyProtection="1">
      <protection locked="0"/>
    </xf>
    <xf numFmtId="196" fontId="4" fillId="0" borderId="48" xfId="8" applyNumberFormat="1" applyFont="1" applyFill="1" applyBorder="1" applyAlignment="1" applyProtection="1">
      <protection locked="0"/>
    </xf>
    <xf numFmtId="196" fontId="4" fillId="0" borderId="49" xfId="8" applyNumberFormat="1" applyFont="1" applyFill="1" applyBorder="1" applyAlignment="1" applyProtection="1">
      <protection locked="0"/>
    </xf>
    <xf numFmtId="196" fontId="4" fillId="0" borderId="50" xfId="8" applyNumberFormat="1" applyFont="1" applyFill="1" applyBorder="1" applyAlignment="1" applyProtection="1">
      <alignment horizontal="right"/>
    </xf>
    <xf numFmtId="196" fontId="4" fillId="0" borderId="0" xfId="8" applyNumberFormat="1" applyFont="1" applyFill="1" applyBorder="1" applyAlignment="1" applyProtection="1">
      <alignment horizontal="right"/>
    </xf>
    <xf numFmtId="0" fontId="2" fillId="0" borderId="0" xfId="9" applyFont="1" applyFill="1" applyBorder="1"/>
    <xf numFmtId="196" fontId="4" fillId="0" borderId="0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>
      <alignment horizontal="left" vertical="top"/>
    </xf>
    <xf numFmtId="196" fontId="4" fillId="0" borderId="51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 applyProtection="1">
      <protection locked="0"/>
    </xf>
    <xf numFmtId="196" fontId="4" fillId="0" borderId="37" xfId="8" applyNumberFormat="1" applyFont="1" applyFill="1" applyBorder="1" applyAlignment="1" applyProtection="1">
      <protection locked="0"/>
    </xf>
    <xf numFmtId="196" fontId="4" fillId="0" borderId="38" xfId="8" applyNumberFormat="1" applyFont="1" applyFill="1" applyBorder="1" applyAlignment="1" applyProtection="1">
      <alignment wrapText="1"/>
      <protection locked="0"/>
    </xf>
    <xf numFmtId="196" fontId="4" fillId="0" borderId="52" xfId="8" applyNumberFormat="1" applyFont="1" applyFill="1" applyBorder="1" applyAlignment="1" applyProtection="1">
      <protection locked="0"/>
    </xf>
    <xf numFmtId="196" fontId="4" fillId="0" borderId="53" xfId="8" applyNumberFormat="1" applyFont="1" applyFill="1" applyBorder="1" applyAlignment="1" applyProtection="1">
      <protection locked="0"/>
    </xf>
    <xf numFmtId="196" fontId="4" fillId="0" borderId="39" xfId="8" applyNumberFormat="1" applyFont="1" applyFill="1" applyBorder="1" applyAlignment="1" applyProtection="1">
      <alignment horizontal="right"/>
    </xf>
    <xf numFmtId="196" fontId="4" fillId="0" borderId="54" xfId="8" applyNumberFormat="1" applyFont="1" applyFill="1" applyBorder="1" applyAlignment="1">
      <alignment horizontal="left" vertical="top"/>
    </xf>
    <xf numFmtId="196" fontId="4" fillId="0" borderId="55" xfId="8" applyNumberFormat="1" applyFont="1" applyFill="1" applyBorder="1" applyAlignment="1">
      <alignment horizontal="left" vertical="top"/>
    </xf>
    <xf numFmtId="196" fontId="4" fillId="0" borderId="54" xfId="8" applyNumberFormat="1" applyFont="1" applyFill="1" applyBorder="1" applyAlignment="1" applyProtection="1">
      <protection locked="0"/>
    </xf>
    <xf numFmtId="196" fontId="4" fillId="0" borderId="56" xfId="8" applyNumberFormat="1" applyFont="1" applyFill="1" applyBorder="1" applyAlignment="1" applyProtection="1">
      <protection locked="0"/>
    </xf>
    <xf numFmtId="196" fontId="4" fillId="0" borderId="57" xfId="8" applyNumberFormat="1" applyFont="1" applyFill="1" applyBorder="1" applyAlignment="1" applyProtection="1">
      <alignment wrapText="1"/>
      <protection locked="0"/>
    </xf>
    <xf numFmtId="196" fontId="4" fillId="0" borderId="58" xfId="8" applyNumberFormat="1" applyFont="1" applyFill="1" applyBorder="1" applyAlignment="1" applyProtection="1">
      <protection locked="0"/>
    </xf>
    <xf numFmtId="196" fontId="4" fillId="0" borderId="59" xfId="8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60" xfId="8" applyNumberFormat="1" applyFont="1" applyFill="1" applyBorder="1" applyAlignment="1">
      <alignment horizontal="left" vertical="top"/>
    </xf>
    <xf numFmtId="196" fontId="4" fillId="0" borderId="61" xfId="8" applyNumberFormat="1" applyFont="1" applyFill="1" applyBorder="1" applyAlignment="1">
      <alignment horizontal="left" vertical="top"/>
    </xf>
    <xf numFmtId="196" fontId="2" fillId="0" borderId="60" xfId="8" applyNumberFormat="1" applyFont="1" applyFill="1" applyBorder="1" applyAlignment="1" applyProtection="1">
      <protection locked="0"/>
    </xf>
    <xf numFmtId="196" fontId="2" fillId="0" borderId="62" xfId="8" applyNumberFormat="1" applyFont="1" applyFill="1" applyBorder="1" applyAlignment="1" applyProtection="1">
      <protection locked="0"/>
    </xf>
    <xf numFmtId="196" fontId="2" fillId="0" borderId="63" xfId="8" applyNumberFormat="1" applyFont="1" applyFill="1" applyBorder="1" applyAlignment="1" applyProtection="1">
      <alignment wrapText="1"/>
      <protection locked="0"/>
    </xf>
    <xf numFmtId="196" fontId="2" fillId="0" borderId="64" xfId="8" applyNumberFormat="1" applyFont="1" applyFill="1" applyBorder="1" applyAlignment="1" applyProtection="1">
      <protection locked="0"/>
    </xf>
    <xf numFmtId="196" fontId="2" fillId="0" borderId="65" xfId="8" applyNumberFormat="1" applyFont="1" applyFill="1" applyBorder="1" applyAlignment="1" applyProtection="1">
      <protection locked="0"/>
    </xf>
    <xf numFmtId="196" fontId="2" fillId="0" borderId="66" xfId="8" applyNumberFormat="1" applyFont="1" applyFill="1" applyBorder="1" applyAlignment="1" applyProtection="1">
      <alignment horizontal="right"/>
    </xf>
    <xf numFmtId="196" fontId="2" fillId="0" borderId="0" xfId="8" applyNumberFormat="1" applyFont="1" applyFill="1" applyBorder="1" applyAlignment="1" applyProtection="1">
      <alignment horizontal="right"/>
    </xf>
    <xf numFmtId="196" fontId="4" fillId="0" borderId="36" xfId="8" applyNumberFormat="1" applyFont="1" applyFill="1" applyBorder="1" applyAlignment="1">
      <alignment horizontal="left"/>
    </xf>
    <xf numFmtId="196" fontId="4" fillId="0" borderId="51" xfId="8" applyNumberFormat="1" applyFont="1" applyFill="1" applyBorder="1" applyAlignment="1">
      <alignment horizontal="left"/>
    </xf>
    <xf numFmtId="196" fontId="2" fillId="0" borderId="36" xfId="8" applyNumberFormat="1" applyFont="1" applyFill="1" applyBorder="1" applyAlignment="1" applyProtection="1">
      <protection locked="0"/>
    </xf>
    <xf numFmtId="196" fontId="2" fillId="0" borderId="37" xfId="8" applyNumberFormat="1" applyFont="1" applyFill="1" applyBorder="1" applyAlignment="1" applyProtection="1">
      <protection locked="0"/>
    </xf>
    <xf numFmtId="196" fontId="2" fillId="0" borderId="38" xfId="8" applyNumberFormat="1" applyFont="1" applyFill="1" applyBorder="1" applyAlignment="1" applyProtection="1">
      <alignment wrapText="1"/>
      <protection locked="0"/>
    </xf>
    <xf numFmtId="196" fontId="2" fillId="0" borderId="52" xfId="8" applyNumberFormat="1" applyFont="1" applyFill="1" applyBorder="1" applyAlignment="1" applyProtection="1">
      <protection locked="0"/>
    </xf>
    <xf numFmtId="196" fontId="2" fillId="0" borderId="53" xfId="8" applyNumberFormat="1" applyFont="1" applyFill="1" applyBorder="1" applyAlignment="1" applyProtection="1">
      <protection locked="0"/>
    </xf>
    <xf numFmtId="196" fontId="2" fillId="0" borderId="39" xfId="8" applyNumberFormat="1" applyFont="1" applyFill="1" applyBorder="1" applyAlignment="1" applyProtection="1">
      <alignment horizontal="right"/>
    </xf>
    <xf numFmtId="3" fontId="2" fillId="0" borderId="38" xfId="8" applyNumberFormat="1" applyFont="1" applyFill="1" applyBorder="1" applyAlignment="1" applyProtection="1">
      <alignment wrapText="1"/>
      <protection locked="0"/>
    </xf>
    <xf numFmtId="3" fontId="2" fillId="0" borderId="53" xfId="8" applyNumberFormat="1" applyFont="1" applyFill="1" applyBorder="1" applyAlignment="1" applyProtection="1">
      <protection locked="0"/>
    </xf>
    <xf numFmtId="196" fontId="4" fillId="0" borderId="34" xfId="8" applyNumberFormat="1" applyFont="1" applyFill="1" applyBorder="1" applyAlignment="1">
      <alignment horizontal="left"/>
    </xf>
    <xf numFmtId="196" fontId="4" fillId="0" borderId="35" xfId="8" applyNumberFormat="1" applyFont="1" applyFill="1" applyBorder="1" applyAlignment="1">
      <alignment horizontal="left"/>
    </xf>
    <xf numFmtId="196" fontId="2" fillId="0" borderId="26" xfId="8" applyNumberFormat="1" applyFont="1" applyFill="1" applyBorder="1" applyAlignment="1" applyProtection="1">
      <protection locked="0"/>
    </xf>
    <xf numFmtId="196" fontId="2" fillId="0" borderId="29" xfId="8" applyNumberFormat="1" applyFont="1" applyFill="1" applyBorder="1" applyAlignment="1" applyProtection="1">
      <protection locked="0"/>
    </xf>
    <xf numFmtId="196" fontId="2" fillId="0" borderId="67" xfId="8" applyNumberFormat="1" applyFont="1" applyFill="1" applyBorder="1" applyAlignment="1" applyProtection="1">
      <alignment wrapText="1"/>
      <protection locked="0"/>
    </xf>
    <xf numFmtId="196" fontId="2" fillId="0" borderId="68" xfId="8" applyNumberFormat="1" applyFont="1" applyFill="1" applyBorder="1" applyAlignment="1" applyProtection="1">
      <protection locked="0"/>
    </xf>
    <xf numFmtId="196" fontId="2" fillId="0" borderId="69" xfId="8" applyNumberFormat="1" applyFont="1" applyFill="1" applyBorder="1" applyAlignment="1" applyProtection="1">
      <protection locked="0"/>
    </xf>
    <xf numFmtId="196" fontId="2" fillId="0" borderId="59" xfId="8" applyNumberFormat="1" applyFont="1" applyFill="1" applyBorder="1" applyAlignment="1" applyProtection="1">
      <alignment horizontal="right"/>
    </xf>
    <xf numFmtId="196" fontId="47" fillId="0" borderId="0" xfId="8" applyNumberFormat="1" applyFont="1" applyFill="1" applyBorder="1" applyAlignment="1">
      <alignment horizontal="center"/>
    </xf>
    <xf numFmtId="196" fontId="4" fillId="0" borderId="70" xfId="8" applyNumberFormat="1" applyFont="1" applyFill="1" applyBorder="1" applyAlignment="1" applyProtection="1"/>
    <xf numFmtId="196" fontId="4" fillId="0" borderId="46" xfId="8" applyNumberFormat="1" applyFont="1" applyFill="1" applyBorder="1" applyAlignment="1" applyProtection="1"/>
    <xf numFmtId="196" fontId="4" fillId="0" borderId="48" xfId="8" applyNumberFormat="1" applyFont="1" applyFill="1" applyBorder="1" applyAlignment="1" applyProtection="1"/>
    <xf numFmtId="196" fontId="4" fillId="0" borderId="71" xfId="8" applyNumberFormat="1" applyFont="1" applyFill="1" applyBorder="1" applyAlignment="1" applyProtection="1"/>
    <xf numFmtId="196" fontId="4" fillId="0" borderId="37" xfId="8" applyNumberFormat="1" applyFont="1" applyFill="1" applyBorder="1" applyAlignment="1" applyProtection="1"/>
    <xf numFmtId="196" fontId="4" fillId="0" borderId="52" xfId="8" applyNumberFormat="1" applyFont="1" applyFill="1" applyBorder="1" applyAlignment="1" applyProtection="1"/>
    <xf numFmtId="196" fontId="4" fillId="0" borderId="0" xfId="8" applyNumberFormat="1" applyFont="1" applyFill="1" applyBorder="1" applyAlignment="1" applyProtection="1">
      <alignment horizontal="left"/>
      <protection locked="0"/>
    </xf>
    <xf numFmtId="196" fontId="2" fillId="0" borderId="0" xfId="8" applyNumberFormat="1" applyFont="1" applyFill="1" applyBorder="1"/>
    <xf numFmtId="196" fontId="4" fillId="0" borderId="72" xfId="8" applyNumberFormat="1" applyFont="1" applyFill="1" applyBorder="1" applyAlignment="1" applyProtection="1"/>
    <xf numFmtId="196" fontId="4" fillId="0" borderId="56" xfId="8" applyNumberFormat="1" applyFont="1" applyFill="1" applyBorder="1" applyAlignment="1" applyProtection="1"/>
    <xf numFmtId="196" fontId="4" fillId="0" borderId="73" xfId="8" applyNumberFormat="1" applyFont="1" applyFill="1" applyBorder="1" applyAlignment="1" applyProtection="1"/>
    <xf numFmtId="0" fontId="2" fillId="0" borderId="0" xfId="9" applyFont="1" applyFill="1" applyBorder="1" applyAlignment="1">
      <alignment horizontal="left"/>
    </xf>
    <xf numFmtId="196" fontId="2" fillId="0" borderId="0" xfId="9" applyNumberFormat="1" applyFont="1" applyFill="1" applyBorder="1"/>
    <xf numFmtId="196" fontId="2" fillId="0" borderId="0" xfId="9" applyNumberFormat="1" applyFont="1" applyBorder="1"/>
    <xf numFmtId="0" fontId="28" fillId="0" borderId="69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3" fontId="49" fillId="0" borderId="0" xfId="0" applyNumberFormat="1" applyFont="1"/>
    <xf numFmtId="171" fontId="17" fillId="0" borderId="0" xfId="6" applyNumberFormat="1" applyFont="1" applyAlignment="1">
      <alignment horizontal="right" vertical="center"/>
    </xf>
    <xf numFmtId="171" fontId="11" fillId="0" borderId="0" xfId="6" applyNumberFormat="1" applyFill="1" applyBorder="1" applyAlignment="1" applyProtection="1"/>
    <xf numFmtId="171" fontId="26" fillId="0" borderId="0" xfId="6" applyNumberFormat="1" applyFont="1" applyAlignment="1">
      <alignment horizontal="right" vertical="center"/>
    </xf>
    <xf numFmtId="4" fontId="50" fillId="0" borderId="0" xfId="0" applyNumberFormat="1" applyFont="1" applyAlignment="1">
      <alignment horizontal="right" vertical="top" wrapText="1"/>
    </xf>
    <xf numFmtId="0" fontId="51" fillId="0" borderId="0" xfId="0" applyFont="1"/>
    <xf numFmtId="0" fontId="52" fillId="0" borderId="10" xfId="0" applyFont="1" applyBorder="1"/>
    <xf numFmtId="0" fontId="53" fillId="0" borderId="0" xfId="0" applyFont="1"/>
    <xf numFmtId="0" fontId="54" fillId="0" borderId="0" xfId="0" applyFont="1"/>
    <xf numFmtId="0" fontId="0" fillId="0" borderId="3" xfId="0" applyBorder="1"/>
    <xf numFmtId="0" fontId="57" fillId="0" borderId="0" xfId="0" applyFont="1"/>
    <xf numFmtId="0" fontId="58" fillId="0" borderId="0" xfId="0" applyFont="1"/>
    <xf numFmtId="0" fontId="48" fillId="0" borderId="0" xfId="0" applyFont="1"/>
    <xf numFmtId="0" fontId="60" fillId="0" borderId="0" xfId="0" applyFont="1"/>
    <xf numFmtId="0" fontId="59" fillId="0" borderId="0" xfId="0" applyFont="1"/>
    <xf numFmtId="0" fontId="30" fillId="0" borderId="15" xfId="0" applyFont="1" applyBorder="1" applyAlignment="1">
      <alignment horizontal="center"/>
    </xf>
    <xf numFmtId="14" fontId="30" fillId="0" borderId="74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1" fillId="0" borderId="3" xfId="2" applyNumberFormat="1" applyBorder="1"/>
    <xf numFmtId="3" fontId="60" fillId="0" borderId="0" xfId="0" applyNumberFormat="1" applyFont="1" applyBorder="1"/>
    <xf numFmtId="3" fontId="0" fillId="0" borderId="0" xfId="0" applyNumberFormat="1" applyBorder="1"/>
    <xf numFmtId="0" fontId="60" fillId="0" borderId="3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3" fontId="1" fillId="0" borderId="15" xfId="2" applyNumberFormat="1" applyBorder="1"/>
    <xf numFmtId="0" fontId="30" fillId="0" borderId="16" xfId="0" applyFont="1" applyBorder="1" applyAlignment="1">
      <alignment vertical="center"/>
    </xf>
    <xf numFmtId="0" fontId="61" fillId="0" borderId="17" xfId="0" applyFont="1" applyBorder="1" applyAlignment="1">
      <alignment vertical="center"/>
    </xf>
    <xf numFmtId="0" fontId="61" fillId="0" borderId="17" xfId="0" applyFont="1" applyBorder="1" applyAlignment="1">
      <alignment horizontal="center" vertical="center"/>
    </xf>
    <xf numFmtId="3" fontId="61" fillId="0" borderId="17" xfId="2" applyNumberFormat="1" applyFont="1" applyBorder="1" applyAlignment="1">
      <alignment vertical="center"/>
    </xf>
    <xf numFmtId="3" fontId="61" fillId="0" borderId="75" xfId="2" applyNumberFormat="1" applyFont="1" applyBorder="1" applyAlignment="1">
      <alignment vertical="center"/>
    </xf>
    <xf numFmtId="3" fontId="0" fillId="0" borderId="0" xfId="0" applyNumberFormat="1"/>
    <xf numFmtId="169" fontId="0" fillId="0" borderId="3" xfId="0" applyNumberFormat="1" applyBorder="1"/>
    <xf numFmtId="169" fontId="1" fillId="0" borderId="3" xfId="2" applyNumberFormat="1" applyBorder="1"/>
    <xf numFmtId="1" fontId="0" fillId="0" borderId="0" xfId="0" applyNumberFormat="1"/>
    <xf numFmtId="0" fontId="48" fillId="0" borderId="0" xfId="0" applyFont="1" applyBorder="1"/>
    <xf numFmtId="3" fontId="1" fillId="0" borderId="0" xfId="2" applyNumberFormat="1" applyFill="1" applyBorder="1"/>
    <xf numFmtId="0" fontId="48" fillId="0" borderId="0" xfId="0" applyFont="1" applyAlignment="1">
      <alignment horizontal="center"/>
    </xf>
    <xf numFmtId="39" fontId="6" fillId="0" borderId="3" xfId="0" applyNumberFormat="1" applyFont="1" applyFill="1" applyBorder="1"/>
    <xf numFmtId="39" fontId="7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/>
    <xf numFmtId="171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7" fontId="9" fillId="0" borderId="3" xfId="0" applyNumberFormat="1" applyFont="1" applyFill="1" applyBorder="1"/>
    <xf numFmtId="39" fontId="9" fillId="0" borderId="3" xfId="0" applyNumberFormat="1" applyFont="1" applyFill="1" applyBorder="1"/>
    <xf numFmtId="0" fontId="6" fillId="0" borderId="3" xfId="0" applyFont="1" applyFill="1" applyBorder="1"/>
    <xf numFmtId="171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171" fontId="6" fillId="0" borderId="3" xfId="0" applyNumberFormat="1" applyFont="1" applyFill="1" applyBorder="1"/>
    <xf numFmtId="171" fontId="10" fillId="0" borderId="3" xfId="0" applyNumberFormat="1" applyFont="1" applyFill="1" applyBorder="1"/>
    <xf numFmtId="0" fontId="27" fillId="0" borderId="3" xfId="0" applyFont="1" applyFill="1" applyBorder="1"/>
    <xf numFmtId="182" fontId="14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171" fontId="6" fillId="0" borderId="3" xfId="1" applyFont="1" applyFill="1" applyBorder="1" applyAlignment="1">
      <alignment horizontal="right"/>
    </xf>
    <xf numFmtId="171" fontId="6" fillId="0" borderId="3" xfId="1" applyFont="1" applyFill="1" applyBorder="1" applyAlignment="1">
      <alignment horizontal="center"/>
    </xf>
    <xf numFmtId="171" fontId="10" fillId="0" borderId="3" xfId="1" applyFont="1" applyFill="1" applyBorder="1"/>
    <xf numFmtId="0" fontId="48" fillId="0" borderId="3" xfId="0" applyFont="1" applyFill="1" applyBorder="1" applyAlignment="1">
      <alignment horizontal="center"/>
    </xf>
    <xf numFmtId="39" fontId="10" fillId="0" borderId="3" xfId="0" applyNumberFormat="1" applyFont="1" applyFill="1" applyBorder="1"/>
    <xf numFmtId="39" fontId="27" fillId="0" borderId="3" xfId="0" applyNumberFormat="1" applyFont="1" applyFill="1" applyBorder="1"/>
    <xf numFmtId="171" fontId="6" fillId="0" borderId="3" xfId="1" applyNumberFormat="1" applyFont="1" applyFill="1" applyBorder="1" applyAlignment="1">
      <alignment horizontal="right"/>
    </xf>
    <xf numFmtId="0" fontId="10" fillId="0" borderId="3" xfId="0" applyFont="1" applyFill="1" applyBorder="1"/>
    <xf numFmtId="182" fontId="15" fillId="0" borderId="3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center"/>
    </xf>
    <xf numFmtId="169" fontId="9" fillId="0" borderId="3" xfId="0" applyNumberFormat="1" applyFont="1" applyFill="1" applyBorder="1" applyAlignment="1">
      <alignment horizontal="right"/>
    </xf>
    <xf numFmtId="169" fontId="6" fillId="0" borderId="3" xfId="0" applyNumberFormat="1" applyFont="1" applyFill="1" applyBorder="1" applyAlignment="1">
      <alignment horizontal="right"/>
    </xf>
    <xf numFmtId="171" fontId="50" fillId="0" borderId="0" xfId="0" applyNumberFormat="1" applyFont="1" applyBorder="1"/>
    <xf numFmtId="182" fontId="26" fillId="3" borderId="0" xfId="6" applyNumberFormat="1" applyFont="1" applyFill="1" applyAlignment="1">
      <alignment horizontal="right" vertical="center"/>
    </xf>
    <xf numFmtId="171" fontId="26" fillId="3" borderId="0" xfId="6" applyNumberFormat="1" applyFont="1" applyFill="1" applyBorder="1" applyAlignment="1">
      <alignment horizontal="right" vertical="center"/>
    </xf>
    <xf numFmtId="171" fontId="12" fillId="0" borderId="0" xfId="6" applyNumberFormat="1" applyFont="1" applyAlignment="1">
      <alignment horizontal="right" vertical="center"/>
    </xf>
    <xf numFmtId="3" fontId="2" fillId="0" borderId="76" xfId="0" applyNumberFormat="1" applyFont="1" applyFill="1" applyBorder="1" applyAlignment="1" applyProtection="1"/>
    <xf numFmtId="0" fontId="28" fillId="0" borderId="15" xfId="0" applyNumberFormat="1" applyFont="1" applyFill="1" applyBorder="1" applyAlignment="1" applyProtection="1">
      <alignment horizontal="center" vertical="center" wrapText="1"/>
    </xf>
    <xf numFmtId="0" fontId="28" fillId="0" borderId="5" xfId="0" applyNumberFormat="1" applyFont="1" applyFill="1" applyBorder="1" applyAlignment="1" applyProtection="1">
      <alignment horizontal="center" vertical="center" wrapText="1"/>
    </xf>
    <xf numFmtId="0" fontId="28" fillId="0" borderId="20" xfId="0" applyNumberFormat="1" applyFont="1" applyFill="1" applyBorder="1" applyAlignment="1" applyProtection="1">
      <alignment horizontal="center" vertical="center" wrapText="1"/>
    </xf>
    <xf numFmtId="0" fontId="28" fillId="0" borderId="6" xfId="0" applyNumberFormat="1" applyFont="1" applyFill="1" applyBorder="1" applyAlignment="1" applyProtection="1">
      <alignment horizontal="center" vertical="center" wrapText="1"/>
    </xf>
    <xf numFmtId="3" fontId="2" fillId="0" borderId="74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0" fontId="28" fillId="0" borderId="77" xfId="0" applyNumberFormat="1" applyFont="1" applyFill="1" applyBorder="1" applyAlignment="1" applyProtection="1">
      <alignment wrapText="1"/>
    </xf>
    <xf numFmtId="3" fontId="2" fillId="0" borderId="16" xfId="0" applyNumberFormat="1" applyFont="1" applyFill="1" applyBorder="1" applyAlignment="1" applyProtection="1"/>
    <xf numFmtId="196" fontId="4" fillId="0" borderId="44" xfId="9" applyNumberFormat="1" applyFont="1" applyFill="1" applyBorder="1" applyAlignment="1" applyProtection="1">
      <alignment horizontal="center" vertical="center"/>
      <protection locked="0"/>
    </xf>
    <xf numFmtId="196" fontId="4" fillId="0" borderId="46" xfId="9" applyNumberFormat="1" applyFont="1" applyFill="1" applyBorder="1" applyAlignment="1" applyProtection="1">
      <alignment horizontal="center" vertical="center"/>
      <protection locked="0"/>
    </xf>
    <xf numFmtId="196" fontId="4" fillId="0" borderId="4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6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50" xfId="8" applyNumberFormat="1" applyFont="1" applyFill="1" applyBorder="1" applyAlignment="1" applyProtection="1">
      <alignment horizontal="center" vertical="center"/>
      <protection locked="0"/>
    </xf>
    <xf numFmtId="196" fontId="4" fillId="0" borderId="55" xfId="8" applyNumberFormat="1" applyFont="1" applyFill="1" applyBorder="1" applyAlignment="1" applyProtection="1">
      <alignment wrapText="1"/>
      <protection locked="0"/>
    </xf>
    <xf numFmtId="171" fontId="2" fillId="0" borderId="0" xfId="0" applyNumberFormat="1" applyFont="1" applyFill="1" applyBorder="1" applyAlignment="1" applyProtection="1"/>
    <xf numFmtId="0" fontId="56" fillId="0" borderId="0" xfId="0" applyFont="1" applyAlignment="1">
      <alignment horizontal="center"/>
    </xf>
    <xf numFmtId="0" fontId="56" fillId="0" borderId="0" xfId="0" applyFont="1"/>
    <xf numFmtId="3" fontId="11" fillId="0" borderId="0" xfId="6" applyNumberFormat="1" applyFill="1" applyBorder="1" applyAlignment="1" applyProtection="1"/>
    <xf numFmtId="0" fontId="55" fillId="0" borderId="0" xfId="0" applyFont="1"/>
    <xf numFmtId="0" fontId="54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0" fillId="0" borderId="78" xfId="0" applyBorder="1"/>
    <xf numFmtId="0" fontId="0" fillId="0" borderId="79" xfId="0" applyBorder="1"/>
    <xf numFmtId="41" fontId="48" fillId="0" borderId="80" xfId="0" applyNumberFormat="1" applyFont="1" applyBorder="1"/>
    <xf numFmtId="0" fontId="64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196" fontId="4" fillId="0" borderId="59" xfId="8" applyNumberFormat="1" applyFont="1" applyFill="1" applyBorder="1" applyAlignment="1" applyProtection="1"/>
    <xf numFmtId="0" fontId="65" fillId="0" borderId="0" xfId="0" applyFont="1"/>
    <xf numFmtId="3" fontId="66" fillId="0" borderId="0" xfId="0" applyNumberFormat="1" applyFont="1"/>
    <xf numFmtId="171" fontId="1" fillId="0" borderId="3" xfId="0" applyNumberFormat="1" applyFont="1" applyFill="1" applyBorder="1"/>
    <xf numFmtId="0" fontId="62" fillId="0" borderId="10" xfId="0" applyFont="1" applyBorder="1" applyAlignment="1">
      <alignment horizontal="right"/>
    </xf>
    <xf numFmtId="0" fontId="62" fillId="0" borderId="6" xfId="0" applyFont="1" applyBorder="1" applyAlignment="1">
      <alignment horizontal="right"/>
    </xf>
    <xf numFmtId="0" fontId="62" fillId="0" borderId="10" xfId="0" applyFont="1" applyBorder="1"/>
    <xf numFmtId="0" fontId="69" fillId="0" borderId="0" xfId="0" applyNumberFormat="1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54" fillId="0" borderId="10" xfId="0" applyFont="1" applyBorder="1"/>
    <xf numFmtId="0" fontId="33" fillId="0" borderId="10" xfId="0" applyFont="1" applyBorder="1" applyAlignment="1">
      <alignment horizontal="left"/>
    </xf>
    <xf numFmtId="0" fontId="70" fillId="0" borderId="10" xfId="0" applyFont="1" applyBorder="1" applyAlignment="1">
      <alignment horizontal="left"/>
    </xf>
    <xf numFmtId="0" fontId="56" fillId="0" borderId="10" xfId="0" applyFont="1" applyBorder="1" applyAlignment="1">
      <alignment horizontal="left"/>
    </xf>
    <xf numFmtId="3" fontId="4" fillId="0" borderId="81" xfId="0" applyNumberFormat="1" applyFont="1" applyFill="1" applyBorder="1" applyAlignment="1" applyProtection="1"/>
    <xf numFmtId="3" fontId="4" fillId="0" borderId="82" xfId="0" applyNumberFormat="1" applyFont="1" applyFill="1" applyBorder="1" applyAlignment="1" applyProtection="1"/>
    <xf numFmtId="0" fontId="2" fillId="0" borderId="83" xfId="0" applyNumberFormat="1" applyFont="1" applyFill="1" applyBorder="1" applyAlignment="1" applyProtection="1">
      <alignment wrapText="1"/>
    </xf>
    <xf numFmtId="3" fontId="2" fillId="0" borderId="84" xfId="0" applyNumberFormat="1" applyFont="1" applyFill="1" applyBorder="1" applyAlignment="1" applyProtection="1"/>
    <xf numFmtId="3" fontId="2" fillId="0" borderId="85" xfId="0" applyNumberFormat="1" applyFont="1" applyFill="1" applyBorder="1" applyAlignment="1" applyProtection="1"/>
    <xf numFmtId="0" fontId="2" fillId="0" borderId="86" xfId="0" applyNumberFormat="1" applyFont="1" applyFill="1" applyBorder="1" applyAlignment="1" applyProtection="1">
      <alignment wrapText="1"/>
    </xf>
    <xf numFmtId="3" fontId="2" fillId="0" borderId="87" xfId="0" applyNumberFormat="1" applyFont="1" applyFill="1" applyBorder="1" applyAlignment="1" applyProtection="1"/>
    <xf numFmtId="0" fontId="28" fillId="0" borderId="86" xfId="0" applyNumberFormat="1" applyFont="1" applyFill="1" applyBorder="1" applyAlignment="1" applyProtection="1">
      <alignment wrapText="1"/>
    </xf>
    <xf numFmtId="0" fontId="2" fillId="0" borderId="88" xfId="0" applyNumberFormat="1" applyFont="1" applyFill="1" applyBorder="1" applyAlignment="1" applyProtection="1">
      <alignment wrapText="1"/>
    </xf>
    <xf numFmtId="3" fontId="2" fillId="0" borderId="89" xfId="0" applyNumberFormat="1" applyFont="1" applyFill="1" applyBorder="1" applyAlignment="1" applyProtection="1"/>
    <xf numFmtId="3" fontId="2" fillId="0" borderId="90" xfId="0" applyNumberFormat="1" applyFont="1" applyFill="1" applyBorder="1" applyAlignment="1" applyProtection="1"/>
    <xf numFmtId="3" fontId="4" fillId="0" borderId="91" xfId="0" applyNumberFormat="1" applyFont="1" applyFill="1" applyBorder="1" applyAlignment="1" applyProtection="1"/>
    <xf numFmtId="3" fontId="4" fillId="0" borderId="92" xfId="0" applyNumberFormat="1" applyFont="1" applyFill="1" applyBorder="1" applyAlignment="1" applyProtection="1"/>
    <xf numFmtId="3" fontId="2" fillId="0" borderId="75" xfId="0" applyNumberFormat="1" applyFont="1" applyFill="1" applyBorder="1" applyAlignment="1" applyProtection="1"/>
    <xf numFmtId="0" fontId="2" fillId="0" borderId="16" xfId="0" applyNumberFormat="1" applyFont="1" applyFill="1" applyBorder="1" applyAlignment="1" applyProtection="1">
      <alignment wrapText="1"/>
    </xf>
    <xf numFmtId="3" fontId="2" fillId="0" borderId="93" xfId="0" applyNumberFormat="1" applyFont="1" applyFill="1" applyBorder="1" applyAlignment="1" applyProtection="1"/>
    <xf numFmtId="3" fontId="4" fillId="0" borderId="94" xfId="0" applyNumberFormat="1" applyFont="1" applyFill="1" applyBorder="1" applyAlignment="1" applyProtection="1"/>
    <xf numFmtId="3" fontId="2" fillId="0" borderId="95" xfId="0" applyNumberFormat="1" applyFont="1" applyFill="1" applyBorder="1" applyAlignment="1" applyProtection="1"/>
    <xf numFmtId="3" fontId="2" fillId="0" borderId="92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4" fillId="0" borderId="96" xfId="0" applyNumberFormat="1" applyFont="1" applyFill="1" applyBorder="1" applyAlignment="1" applyProtection="1"/>
    <xf numFmtId="3" fontId="4" fillId="0" borderId="97" xfId="0" applyNumberFormat="1" applyFont="1" applyFill="1" applyBorder="1" applyAlignment="1" applyProtection="1"/>
    <xf numFmtId="3" fontId="4" fillId="0" borderId="77" xfId="0" applyNumberFormat="1" applyFont="1" applyFill="1" applyBorder="1" applyAlignment="1" applyProtection="1"/>
    <xf numFmtId="3" fontId="4" fillId="0" borderId="98" xfId="0" applyNumberFormat="1" applyFont="1" applyFill="1" applyBorder="1" applyAlignment="1" applyProtection="1"/>
    <xf numFmtId="3" fontId="2" fillId="0" borderId="99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0" fontId="0" fillId="0" borderId="0" xfId="0" applyFont="1" applyFill="1"/>
    <xf numFmtId="1" fontId="0" fillId="0" borderId="0" xfId="0" applyNumberFormat="1" applyFont="1" applyFill="1"/>
    <xf numFmtId="0" fontId="30" fillId="0" borderId="3" xfId="0" applyFont="1" applyFill="1" applyBorder="1"/>
    <xf numFmtId="0" fontId="76" fillId="0" borderId="3" xfId="4" applyFont="1" applyFill="1" applyBorder="1"/>
    <xf numFmtId="199" fontId="76" fillId="0" borderId="3" xfId="4" applyNumberFormat="1" applyFont="1" applyFill="1" applyBorder="1"/>
    <xf numFmtId="4" fontId="76" fillId="0" borderId="3" xfId="4" applyNumberFormat="1" applyFont="1" applyFill="1" applyBorder="1"/>
    <xf numFmtId="1" fontId="76" fillId="0" borderId="3" xfId="4" applyNumberFormat="1" applyFont="1" applyFill="1" applyBorder="1"/>
    <xf numFmtId="0" fontId="0" fillId="0" borderId="3" xfId="0" applyFont="1" applyFill="1" applyBorder="1"/>
    <xf numFmtId="0" fontId="71" fillId="0" borderId="3" xfId="4" applyFont="1" applyFill="1" applyBorder="1" applyProtection="1">
      <protection locked="0"/>
    </xf>
    <xf numFmtId="1" fontId="71" fillId="0" borderId="3" xfId="4" applyNumberFormat="1" applyFont="1" applyFill="1" applyBorder="1"/>
    <xf numFmtId="1" fontId="77" fillId="0" borderId="3" xfId="4" applyNumberFormat="1" applyFont="1" applyFill="1" applyBorder="1"/>
    <xf numFmtId="0" fontId="77" fillId="0" borderId="3" xfId="4" applyFont="1" applyFill="1" applyBorder="1" applyProtection="1">
      <protection locked="0"/>
    </xf>
    <xf numFmtId="0" fontId="0" fillId="0" borderId="77" xfId="0" applyFont="1" applyFill="1" applyBorder="1"/>
    <xf numFmtId="0" fontId="71" fillId="0" borderId="76" xfId="4" applyFont="1" applyFill="1" applyBorder="1"/>
    <xf numFmtId="1" fontId="78" fillId="0" borderId="98" xfId="4" applyNumberFormat="1" applyFont="1" applyFill="1" applyBorder="1"/>
    <xf numFmtId="39" fontId="79" fillId="0" borderId="3" xfId="0" applyNumberFormat="1" applyFont="1" applyFill="1" applyBorder="1"/>
    <xf numFmtId="43" fontId="9" fillId="0" borderId="3" xfId="0" applyNumberFormat="1" applyFont="1" applyFill="1" applyBorder="1" applyAlignment="1">
      <alignment horizontal="right"/>
    </xf>
    <xf numFmtId="0" fontId="68" fillId="0" borderId="10" xfId="0" applyFont="1" applyBorder="1"/>
    <xf numFmtId="0" fontId="68" fillId="0" borderId="12" xfId="0" applyFont="1" applyBorder="1"/>
    <xf numFmtId="0" fontId="75" fillId="0" borderId="3" xfId="5" applyBorder="1"/>
    <xf numFmtId="2" fontId="30" fillId="0" borderId="3" xfId="0" applyNumberFormat="1" applyFont="1" applyFill="1" applyBorder="1"/>
    <xf numFmtId="2" fontId="54" fillId="0" borderId="3" xfId="0" applyNumberFormat="1" applyFont="1" applyFill="1" applyBorder="1" applyAlignment="1">
      <alignment vertical="center"/>
    </xf>
    <xf numFmtId="0" fontId="56" fillId="0" borderId="12" xfId="0" applyFont="1" applyBorder="1"/>
    <xf numFmtId="0" fontId="62" fillId="0" borderId="12" xfId="0" applyFont="1" applyBorder="1"/>
    <xf numFmtId="0" fontId="33" fillId="0" borderId="12" xfId="0" applyFont="1" applyBorder="1" applyAlignment="1">
      <alignment horizontal="left"/>
    </xf>
    <xf numFmtId="0" fontId="56" fillId="0" borderId="10" xfId="0" applyFont="1" applyBorder="1"/>
    <xf numFmtId="0" fontId="72" fillId="0" borderId="12" xfId="0" applyFont="1" applyBorder="1"/>
    <xf numFmtId="0" fontId="70" fillId="0" borderId="4" xfId="0" applyFont="1" applyBorder="1"/>
    <xf numFmtId="0" fontId="73" fillId="0" borderId="0" xfId="7" applyFont="1" applyAlignment="1">
      <alignment horizontal="center" vertical="center"/>
    </xf>
    <xf numFmtId="0" fontId="5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1" fontId="2" fillId="0" borderId="0" xfId="1" applyFont="1" applyFill="1" applyBorder="1"/>
    <xf numFmtId="39" fontId="2" fillId="0" borderId="1" xfId="0" applyNumberFormat="1" applyFont="1" applyFill="1" applyBorder="1"/>
    <xf numFmtId="196" fontId="4" fillId="0" borderId="100" xfId="8" applyNumberFormat="1" applyFont="1" applyFill="1" applyBorder="1" applyAlignment="1">
      <alignment horizontal="left"/>
    </xf>
    <xf numFmtId="196" fontId="4" fillId="0" borderId="101" xfId="8" applyNumberFormat="1" applyFont="1" applyFill="1" applyBorder="1" applyAlignment="1">
      <alignment horizontal="left"/>
    </xf>
    <xf numFmtId="196" fontId="4" fillId="0" borderId="102" xfId="8" applyNumberFormat="1" applyFont="1" applyFill="1" applyBorder="1" applyAlignment="1">
      <alignment horizontal="left" vertical="top"/>
    </xf>
    <xf numFmtId="196" fontId="4" fillId="0" borderId="103" xfId="8" applyNumberFormat="1" applyFont="1" applyFill="1" applyBorder="1" applyAlignment="1">
      <alignment horizontal="left" vertical="top"/>
    </xf>
    <xf numFmtId="196" fontId="4" fillId="0" borderId="104" xfId="8" applyNumberFormat="1" applyFont="1" applyFill="1" applyBorder="1" applyAlignment="1">
      <alignment horizontal="left" vertical="top"/>
    </xf>
    <xf numFmtId="196" fontId="4" fillId="0" borderId="105" xfId="8" applyNumberFormat="1" applyFont="1" applyFill="1" applyBorder="1" applyAlignment="1">
      <alignment horizontal="left"/>
    </xf>
    <xf numFmtId="0" fontId="54" fillId="0" borderId="3" xfId="0" applyNumberFormat="1" applyFont="1" applyFill="1" applyBorder="1" applyAlignment="1">
      <alignment vertical="center"/>
    </xf>
    <xf numFmtId="1" fontId="54" fillId="0" borderId="83" xfId="0" applyNumberFormat="1" applyFont="1" applyFill="1" applyBorder="1"/>
    <xf numFmtId="2" fontId="54" fillId="0" borderId="84" xfId="0" applyNumberFormat="1" applyFont="1" applyFill="1" applyBorder="1" applyAlignment="1">
      <alignment vertical="center"/>
    </xf>
    <xf numFmtId="0" fontId="54" fillId="0" borderId="84" xfId="0" applyNumberFormat="1" applyFont="1" applyFill="1" applyBorder="1" applyAlignment="1">
      <alignment vertical="center"/>
    </xf>
    <xf numFmtId="1" fontId="54" fillId="0" borderId="86" xfId="0" applyNumberFormat="1" applyFont="1" applyFill="1" applyBorder="1"/>
    <xf numFmtId="2" fontId="54" fillId="0" borderId="89" xfId="0" applyNumberFormat="1" applyFont="1" applyFill="1" applyBorder="1" applyAlignment="1">
      <alignment vertical="center"/>
    </xf>
    <xf numFmtId="0" fontId="54" fillId="0" borderId="89" xfId="0" applyNumberFormat="1" applyFont="1" applyFill="1" applyBorder="1" applyAlignment="1">
      <alignment vertical="center"/>
    </xf>
    <xf numFmtId="0" fontId="80" fillId="0" borderId="3" xfId="5" applyFont="1" applyBorder="1"/>
    <xf numFmtId="41" fontId="80" fillId="0" borderId="3" xfId="5" applyNumberFormat="1" applyFont="1" applyBorder="1"/>
    <xf numFmtId="0" fontId="2" fillId="0" borderId="84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106" xfId="0" applyNumberFormat="1" applyFont="1" applyFill="1" applyBorder="1" applyAlignment="1" applyProtection="1">
      <alignment wrapText="1"/>
    </xf>
    <xf numFmtId="0" fontId="2" fillId="0" borderId="107" xfId="0" applyNumberFormat="1" applyFont="1" applyFill="1" applyBorder="1" applyAlignment="1" applyProtection="1">
      <alignment wrapText="1"/>
    </xf>
    <xf numFmtId="3" fontId="2" fillId="0" borderId="32" xfId="0" applyNumberFormat="1" applyFont="1" applyFill="1" applyBorder="1" applyAlignment="1" applyProtection="1"/>
    <xf numFmtId="193" fontId="6" fillId="0" borderId="3" xfId="0" applyNumberFormat="1" applyFont="1" applyFill="1" applyBorder="1"/>
    <xf numFmtId="0" fontId="56" fillId="0" borderId="0" xfId="0" applyFont="1" applyFill="1"/>
    <xf numFmtId="0" fontId="54" fillId="0" borderId="0" xfId="0" applyFont="1" applyFill="1"/>
    <xf numFmtId="0" fontId="56" fillId="0" borderId="23" xfId="0" applyFont="1" applyFill="1" applyBorder="1"/>
    <xf numFmtId="0" fontId="56" fillId="0" borderId="108" xfId="0" applyFont="1" applyFill="1" applyBorder="1"/>
    <xf numFmtId="0" fontId="56" fillId="0" borderId="17" xfId="0" applyFont="1" applyFill="1" applyBorder="1"/>
    <xf numFmtId="0" fontId="56" fillId="0" borderId="18" xfId="0" applyFont="1" applyFill="1" applyBorder="1"/>
    <xf numFmtId="0" fontId="56" fillId="0" borderId="75" xfId="0" applyFont="1" applyFill="1" applyBorder="1"/>
    <xf numFmtId="0" fontId="54" fillId="0" borderId="92" xfId="0" applyFont="1" applyFill="1" applyBorder="1"/>
    <xf numFmtId="169" fontId="54" fillId="0" borderId="109" xfId="0" applyNumberFormat="1" applyFont="1" applyFill="1" applyBorder="1"/>
    <xf numFmtId="169" fontId="54" fillId="0" borderId="84" xfId="0" applyNumberFormat="1" applyFont="1" applyFill="1" applyBorder="1"/>
    <xf numFmtId="169" fontId="54" fillId="0" borderId="110" xfId="0" applyNumberFormat="1" applyFont="1" applyFill="1" applyBorder="1"/>
    <xf numFmtId="169" fontId="54" fillId="0" borderId="83" xfId="0" applyNumberFormat="1" applyFont="1" applyFill="1" applyBorder="1"/>
    <xf numFmtId="169" fontId="54" fillId="0" borderId="85" xfId="0" applyNumberFormat="1" applyFont="1" applyFill="1" applyBorder="1"/>
    <xf numFmtId="169" fontId="54" fillId="0" borderId="111" xfId="0" applyNumberFormat="1" applyFont="1" applyFill="1" applyBorder="1"/>
    <xf numFmtId="0" fontId="54" fillId="0" borderId="14" xfId="0" applyFont="1" applyFill="1" applyBorder="1"/>
    <xf numFmtId="169" fontId="54" fillId="0" borderId="112" xfId="0" applyNumberFormat="1" applyFont="1" applyFill="1" applyBorder="1"/>
    <xf numFmtId="169" fontId="54" fillId="0" borderId="3" xfId="0" applyNumberFormat="1" applyFont="1" applyFill="1" applyBorder="1"/>
    <xf numFmtId="169" fontId="54" fillId="0" borderId="74" xfId="0" applyNumberFormat="1" applyFont="1" applyFill="1" applyBorder="1"/>
    <xf numFmtId="169" fontId="54" fillId="0" borderId="12" xfId="0" applyNumberFormat="1" applyFont="1" applyFill="1" applyBorder="1"/>
    <xf numFmtId="169" fontId="54" fillId="0" borderId="86" xfId="0" applyNumberFormat="1" applyFont="1" applyFill="1" applyBorder="1"/>
    <xf numFmtId="169" fontId="54" fillId="0" borderId="113" xfId="0" applyNumberFormat="1" applyFont="1" applyFill="1" applyBorder="1"/>
    <xf numFmtId="169" fontId="54" fillId="0" borderId="10" xfId="0" applyNumberFormat="1" applyFont="1" applyFill="1" applyBorder="1"/>
    <xf numFmtId="169" fontId="54" fillId="0" borderId="0" xfId="0" applyNumberFormat="1" applyFont="1" applyFill="1"/>
    <xf numFmtId="169" fontId="54" fillId="0" borderId="87" xfId="0" applyNumberFormat="1" applyFont="1" applyFill="1" applyBorder="1"/>
    <xf numFmtId="0" fontId="54" fillId="0" borderId="93" xfId="0" applyFont="1" applyFill="1" applyBorder="1"/>
    <xf numFmtId="169" fontId="54" fillId="0" borderId="114" xfId="0" applyNumberFormat="1" applyFont="1" applyFill="1" applyBorder="1"/>
    <xf numFmtId="169" fontId="54" fillId="0" borderId="89" xfId="0" applyNumberFormat="1" applyFont="1" applyFill="1" applyBorder="1"/>
    <xf numFmtId="169" fontId="54" fillId="0" borderId="29" xfId="0" applyNumberFormat="1" applyFont="1" applyFill="1" applyBorder="1"/>
    <xf numFmtId="169" fontId="54" fillId="0" borderId="115" xfId="0" applyNumberFormat="1" applyFont="1" applyFill="1" applyBorder="1"/>
    <xf numFmtId="169" fontId="54" fillId="0" borderId="88" xfId="0" applyNumberFormat="1" applyFont="1" applyFill="1" applyBorder="1"/>
    <xf numFmtId="169" fontId="54" fillId="0" borderId="90" xfId="0" applyNumberFormat="1" applyFont="1" applyFill="1" applyBorder="1"/>
    <xf numFmtId="169" fontId="54" fillId="0" borderId="30" xfId="0" applyNumberFormat="1" applyFont="1" applyFill="1" applyBorder="1"/>
    <xf numFmtId="0" fontId="54" fillId="0" borderId="74" xfId="0" applyFont="1" applyFill="1" applyBorder="1"/>
    <xf numFmtId="0" fontId="54" fillId="0" borderId="3" xfId="0" applyFont="1" applyFill="1" applyBorder="1"/>
    <xf numFmtId="1" fontId="56" fillId="0" borderId="28" xfId="0" applyNumberFormat="1" applyFont="1" applyFill="1" applyBorder="1"/>
    <xf numFmtId="2" fontId="56" fillId="0" borderId="29" xfId="0" applyNumberFormat="1" applyFont="1" applyFill="1" applyBorder="1"/>
    <xf numFmtId="0" fontId="56" fillId="0" borderId="29" xfId="0" applyNumberFormat="1" applyFont="1" applyFill="1" applyBorder="1"/>
    <xf numFmtId="41" fontId="56" fillId="0" borderId="69" xfId="0" applyNumberFormat="1" applyFont="1" applyFill="1" applyBorder="1"/>
    <xf numFmtId="2" fontId="6" fillId="0" borderId="3" xfId="0" applyNumberFormat="1" applyFont="1" applyFill="1" applyBorder="1"/>
    <xf numFmtId="193" fontId="11" fillId="0" borderId="0" xfId="7" applyNumberFormat="1" applyFill="1" applyBorder="1" applyAlignment="1" applyProtection="1"/>
    <xf numFmtId="2" fontId="54" fillId="0" borderId="23" xfId="0" applyNumberFormat="1" applyFont="1" applyFill="1" applyBorder="1"/>
    <xf numFmtId="2" fontId="54" fillId="0" borderId="24" xfId="0" applyNumberFormat="1" applyFont="1" applyFill="1" applyBorder="1"/>
    <xf numFmtId="2" fontId="54" fillId="0" borderId="25" xfId="0" applyNumberFormat="1" applyFont="1" applyFill="1" applyBorder="1"/>
    <xf numFmtId="41" fontId="54" fillId="0" borderId="85" xfId="0" applyNumberFormat="1" applyFont="1" applyFill="1" applyBorder="1" applyAlignment="1">
      <alignment vertical="center"/>
    </xf>
    <xf numFmtId="41" fontId="54" fillId="0" borderId="87" xfId="0" applyNumberFormat="1" applyFont="1" applyFill="1" applyBorder="1" applyAlignment="1">
      <alignment vertical="center"/>
    </xf>
    <xf numFmtId="41" fontId="54" fillId="0" borderId="90" xfId="0" applyNumberFormat="1" applyFont="1" applyFill="1" applyBorder="1" applyAlignment="1">
      <alignment vertical="center"/>
    </xf>
    <xf numFmtId="41" fontId="48" fillId="0" borderId="3" xfId="0" applyNumberFormat="1" applyFont="1" applyBorder="1"/>
    <xf numFmtId="0" fontId="0" fillId="0" borderId="74" xfId="0" applyBorder="1"/>
    <xf numFmtId="0" fontId="30" fillId="0" borderId="74" xfId="0" applyFont="1" applyBorder="1"/>
    <xf numFmtId="0" fontId="54" fillId="0" borderId="23" xfId="0" applyFont="1" applyBorder="1" applyAlignment="1">
      <alignment horizontal="center"/>
    </xf>
    <xf numFmtId="0" fontId="54" fillId="0" borderId="24" xfId="0" applyFont="1" applyBorder="1"/>
    <xf numFmtId="0" fontId="54" fillId="0" borderId="25" xfId="0" applyFont="1" applyBorder="1"/>
    <xf numFmtId="0" fontId="54" fillId="0" borderId="28" xfId="0" applyFont="1" applyBorder="1" applyAlignment="1">
      <alignment horizontal="center"/>
    </xf>
    <xf numFmtId="0" fontId="54" fillId="0" borderId="29" xfId="0" applyFont="1" applyBorder="1" applyAlignment="1">
      <alignment horizontal="center"/>
    </xf>
    <xf numFmtId="0" fontId="54" fillId="0" borderId="69" xfId="0" applyFont="1" applyBorder="1" applyAlignment="1">
      <alignment horizontal="center"/>
    </xf>
    <xf numFmtId="0" fontId="54" fillId="0" borderId="3" xfId="0" applyFont="1" applyBorder="1"/>
    <xf numFmtId="41" fontId="54" fillId="0" borderId="3" xfId="0" applyNumberFormat="1" applyFont="1" applyBorder="1"/>
    <xf numFmtId="3" fontId="30" fillId="0" borderId="74" xfId="0" applyNumberFormat="1" applyFont="1" applyBorder="1"/>
    <xf numFmtId="41" fontId="30" fillId="0" borderId="3" xfId="0" applyNumberFormat="1" applyFont="1" applyBorder="1"/>
    <xf numFmtId="0" fontId="37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2" fillId="0" borderId="83" xfId="0" applyNumberFormat="1" applyFont="1" applyFill="1" applyBorder="1" applyAlignment="1" applyProtection="1">
      <alignment horizontal="center" vertical="center"/>
    </xf>
    <xf numFmtId="0" fontId="2" fillId="0" borderId="107" xfId="0" applyNumberFormat="1" applyFont="1" applyFill="1" applyBorder="1" applyAlignment="1" applyProtection="1">
      <alignment horizontal="center" vertical="center"/>
    </xf>
    <xf numFmtId="0" fontId="28" fillId="0" borderId="84" xfId="0" applyNumberFormat="1" applyFont="1" applyFill="1" applyBorder="1" applyAlignment="1" applyProtection="1">
      <alignment horizontal="center" vertical="center"/>
    </xf>
    <xf numFmtId="0" fontId="28" fillId="0" borderId="24" xfId="0" applyNumberFormat="1" applyFont="1" applyFill="1" applyBorder="1" applyAlignment="1" applyProtection="1">
      <alignment horizontal="center" vertical="center"/>
    </xf>
    <xf numFmtId="196" fontId="46" fillId="0" borderId="20" xfId="8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/>
    <xf numFmtId="196" fontId="4" fillId="0" borderId="0" xfId="8" applyNumberFormat="1" applyFont="1" applyFill="1" applyBorder="1" applyAlignment="1">
      <alignment horizontal="center" vertical="center"/>
    </xf>
    <xf numFmtId="0" fontId="81" fillId="0" borderId="76" xfId="4" applyFont="1" applyFill="1" applyBorder="1" applyAlignment="1">
      <alignment horizontal="right"/>
    </xf>
    <xf numFmtId="0" fontId="53" fillId="0" borderId="0" xfId="0" applyFont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74" xfId="0" applyFont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10">
    <cellStyle name="Comma" xfId="1" builtinId="3"/>
    <cellStyle name="Comma_21.Aktivet Afatgjata Materiale  09" xfId="2"/>
    <cellStyle name="Comma_Levizja e Mjeteve Kryesore" xfId="3"/>
    <cellStyle name="Normal" xfId="0" builtinId="0"/>
    <cellStyle name="Normal 2" xfId="4"/>
    <cellStyle name="Normal 3" xfId="5"/>
    <cellStyle name="Normal_ardhshpe cact" xfId="6"/>
    <cellStyle name="Normal_bilanc cact" xfId="7"/>
    <cellStyle name="Normal_Documents C1 à C8 ENGLISH" xfId="8"/>
    <cellStyle name="Normal_Levizja e Mjeteve Kryesore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0" workbookViewId="0">
      <selection activeCell="H37" sqref="H37"/>
    </sheetView>
  </sheetViews>
  <sheetFormatPr defaultRowHeight="12.75" x14ac:dyDescent="0.2"/>
  <cols>
    <col min="1" max="1" width="3.7109375" style="24" customWidth="1"/>
    <col min="2" max="2" width="2.85546875" style="24" customWidth="1"/>
    <col min="3" max="4" width="9.140625" style="24"/>
    <col min="5" max="5" width="8" style="24" customWidth="1"/>
    <col min="6" max="6" width="2.140625" style="24" customWidth="1"/>
    <col min="7" max="7" width="17.42578125" style="24" customWidth="1"/>
    <col min="8" max="10" width="9.140625" style="24"/>
    <col min="11" max="11" width="20.140625" style="24" customWidth="1"/>
    <col min="12" max="16384" width="9.140625" style="24"/>
  </cols>
  <sheetData>
    <row r="2" spans="1:11" ht="14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6.5" x14ac:dyDescent="0.3">
      <c r="A3" s="61"/>
      <c r="B3" s="62"/>
      <c r="C3" s="63"/>
      <c r="D3" s="63"/>
      <c r="E3" s="63"/>
      <c r="F3" s="63"/>
      <c r="G3" s="63"/>
      <c r="H3" s="63"/>
      <c r="I3" s="63"/>
      <c r="J3" s="63"/>
      <c r="K3" s="64"/>
    </row>
    <row r="4" spans="1:11" ht="16.5" x14ac:dyDescent="0.3">
      <c r="A4" s="61"/>
      <c r="B4" s="65"/>
      <c r="C4" s="66" t="s">
        <v>495</v>
      </c>
      <c r="D4" s="66"/>
      <c r="E4" s="66"/>
      <c r="F4" s="66"/>
      <c r="G4" s="404" t="s">
        <v>571</v>
      </c>
      <c r="H4" s="352"/>
      <c r="I4" s="67"/>
      <c r="J4" s="67"/>
      <c r="K4" s="68"/>
    </row>
    <row r="5" spans="1:11" ht="16.5" x14ac:dyDescent="0.3">
      <c r="A5" s="61"/>
      <c r="B5" s="65"/>
      <c r="C5" s="66" t="s">
        <v>496</v>
      </c>
      <c r="D5" s="66"/>
      <c r="E5" s="66"/>
      <c r="F5" s="66"/>
      <c r="G5" s="404" t="s">
        <v>570</v>
      </c>
      <c r="H5" s="353"/>
      <c r="I5" s="67"/>
      <c r="J5" s="67"/>
      <c r="K5" s="68"/>
    </row>
    <row r="6" spans="1:11" ht="16.5" x14ac:dyDescent="0.3">
      <c r="A6" s="61"/>
      <c r="B6" s="65"/>
      <c r="C6" s="66" t="s">
        <v>497</v>
      </c>
      <c r="D6" s="66"/>
      <c r="E6" s="66"/>
      <c r="F6" s="66"/>
      <c r="G6" s="405" t="s">
        <v>572</v>
      </c>
      <c r="H6" s="357"/>
      <c r="I6" s="358"/>
      <c r="J6" s="359"/>
      <c r="K6" s="414"/>
    </row>
    <row r="7" spans="1:11" ht="14.25" customHeight="1" x14ac:dyDescent="0.3">
      <c r="A7" s="61"/>
      <c r="B7" s="65"/>
      <c r="C7" s="66" t="s">
        <v>515</v>
      </c>
      <c r="D7" s="66"/>
      <c r="E7" s="66"/>
      <c r="F7" s="66"/>
      <c r="G7" s="409" t="s">
        <v>573</v>
      </c>
      <c r="H7" s="410"/>
      <c r="I7" s="411"/>
      <c r="J7" s="411"/>
      <c r="K7" s="68"/>
    </row>
    <row r="8" spans="1:11" ht="16.5" x14ac:dyDescent="0.3">
      <c r="A8" s="61"/>
      <c r="B8" s="65"/>
      <c r="C8" s="66" t="s">
        <v>498</v>
      </c>
      <c r="D8" s="66"/>
      <c r="E8" s="66"/>
      <c r="F8" s="66"/>
      <c r="G8" s="412" t="s">
        <v>574</v>
      </c>
      <c r="H8" s="355"/>
      <c r="I8" s="67"/>
      <c r="J8" s="67"/>
      <c r="K8" s="68"/>
    </row>
    <row r="9" spans="1:11" ht="16.5" x14ac:dyDescent="0.3">
      <c r="A9" s="61"/>
      <c r="B9" s="65"/>
      <c r="C9" s="67" t="s">
        <v>499</v>
      </c>
      <c r="D9" s="66"/>
      <c r="E9" s="66"/>
      <c r="F9" s="66"/>
      <c r="G9" s="409" t="s">
        <v>575</v>
      </c>
      <c r="H9" s="356"/>
      <c r="I9" s="67"/>
      <c r="J9" s="67"/>
      <c r="K9" s="68"/>
    </row>
    <row r="10" spans="1:11" ht="16.5" x14ac:dyDescent="0.3">
      <c r="A10" s="61"/>
      <c r="B10" s="65"/>
      <c r="C10" s="66" t="s">
        <v>500</v>
      </c>
      <c r="D10" s="66"/>
      <c r="E10" s="66"/>
      <c r="F10" s="66"/>
      <c r="G10" s="360" t="s">
        <v>576</v>
      </c>
      <c r="H10" s="354"/>
      <c r="I10" s="358"/>
      <c r="J10" s="358"/>
      <c r="K10" s="68"/>
    </row>
    <row r="11" spans="1:11" ht="16.5" x14ac:dyDescent="0.3">
      <c r="A11" s="61"/>
      <c r="B11" s="65"/>
      <c r="C11" s="69"/>
      <c r="D11" s="69"/>
      <c r="E11" s="69"/>
      <c r="F11" s="69"/>
      <c r="G11" s="412" t="s">
        <v>577</v>
      </c>
      <c r="H11" s="354"/>
      <c r="I11" s="358"/>
      <c r="J11" s="358"/>
      <c r="K11" s="60"/>
    </row>
    <row r="12" spans="1:11" ht="18.75" x14ac:dyDescent="0.3">
      <c r="A12" s="61"/>
      <c r="B12" s="65"/>
      <c r="C12" s="70"/>
      <c r="D12" s="69"/>
      <c r="E12" s="69"/>
      <c r="F12" s="71"/>
      <c r="G12" s="413" t="s">
        <v>578</v>
      </c>
      <c r="H12" s="410"/>
      <c r="I12" s="411"/>
      <c r="J12" s="411"/>
      <c r="K12" s="60"/>
    </row>
    <row r="13" spans="1:11" ht="16.5" x14ac:dyDescent="0.3">
      <c r="A13" s="61"/>
      <c r="B13" s="72"/>
      <c r="C13" s="70"/>
      <c r="D13" s="69"/>
      <c r="E13" s="69"/>
      <c r="F13" s="69"/>
      <c r="G13" s="412" t="s">
        <v>579</v>
      </c>
      <c r="H13" s="354"/>
      <c r="I13" s="69"/>
      <c r="J13" s="69"/>
      <c r="K13" s="60"/>
    </row>
    <row r="14" spans="1:11" ht="16.5" x14ac:dyDescent="0.3">
      <c r="A14" s="61"/>
      <c r="B14" s="65"/>
      <c r="C14" s="69"/>
      <c r="D14" s="69"/>
      <c r="E14" s="69"/>
      <c r="F14" s="69"/>
      <c r="G14" s="412" t="s">
        <v>580</v>
      </c>
      <c r="H14" s="75"/>
      <c r="I14" s="75"/>
      <c r="J14" s="75"/>
      <c r="K14" s="60"/>
    </row>
    <row r="15" spans="1:11" ht="16.5" x14ac:dyDescent="0.3">
      <c r="A15" s="61"/>
      <c r="B15" s="65"/>
      <c r="C15" s="69"/>
      <c r="D15" s="69"/>
      <c r="E15" s="69"/>
      <c r="F15" s="69"/>
      <c r="G15" s="69"/>
      <c r="H15" s="69"/>
      <c r="I15" s="69"/>
      <c r="J15" s="69"/>
      <c r="K15" s="60"/>
    </row>
    <row r="16" spans="1:11" ht="16.5" x14ac:dyDescent="0.3">
      <c r="A16" s="61"/>
      <c r="B16" s="65"/>
      <c r="C16" s="69"/>
      <c r="D16" s="69"/>
      <c r="E16" s="69"/>
      <c r="F16" s="69"/>
      <c r="G16" s="69"/>
      <c r="H16" s="69"/>
      <c r="I16" s="69"/>
      <c r="J16" s="69"/>
      <c r="K16" s="60"/>
    </row>
    <row r="17" spans="1:11" ht="25.5" x14ac:dyDescent="0.35">
      <c r="A17" s="61"/>
      <c r="B17" s="65"/>
      <c r="C17" s="500" t="s">
        <v>501</v>
      </c>
      <c r="D17" s="500"/>
      <c r="E17" s="500"/>
      <c r="F17" s="500"/>
      <c r="G17" s="500"/>
      <c r="H17" s="500"/>
      <c r="I17" s="500"/>
      <c r="J17" s="500"/>
      <c r="K17" s="60"/>
    </row>
    <row r="18" spans="1:11" ht="16.5" x14ac:dyDescent="0.3">
      <c r="A18" s="61"/>
      <c r="B18" s="65"/>
      <c r="C18" s="501" t="s">
        <v>509</v>
      </c>
      <c r="D18" s="501"/>
      <c r="E18" s="501"/>
      <c r="F18" s="501"/>
      <c r="G18" s="501"/>
      <c r="H18" s="501"/>
      <c r="I18" s="501"/>
      <c r="J18" s="501"/>
      <c r="K18" s="60"/>
    </row>
    <row r="19" spans="1:11" ht="16.5" x14ac:dyDescent="0.3">
      <c r="A19" s="61"/>
      <c r="B19" s="65"/>
      <c r="C19" s="69" t="s">
        <v>508</v>
      </c>
      <c r="D19" s="69"/>
      <c r="E19" s="69"/>
      <c r="F19" s="69"/>
      <c r="G19" s="69"/>
      <c r="H19" s="69"/>
      <c r="I19" s="69"/>
      <c r="J19" s="69"/>
      <c r="K19" s="60"/>
    </row>
    <row r="20" spans="1:11" ht="16.5" x14ac:dyDescent="0.3">
      <c r="A20" s="61"/>
      <c r="B20" s="65"/>
      <c r="C20" s="70"/>
      <c r="D20" s="69"/>
      <c r="E20" s="69"/>
      <c r="F20" s="69"/>
      <c r="G20" s="70"/>
      <c r="H20" s="69"/>
      <c r="I20" s="69"/>
      <c r="J20" s="69"/>
      <c r="K20" s="60"/>
    </row>
    <row r="21" spans="1:11" ht="27" x14ac:dyDescent="0.35">
      <c r="A21" s="61"/>
      <c r="B21" s="65"/>
      <c r="C21" s="69"/>
      <c r="D21" s="69"/>
      <c r="E21" s="69"/>
      <c r="F21" s="73" t="s">
        <v>694</v>
      </c>
      <c r="G21" s="69"/>
      <c r="H21" s="69"/>
      <c r="I21" s="69"/>
      <c r="J21" s="69"/>
      <c r="K21" s="60"/>
    </row>
    <row r="22" spans="1:11" ht="16.5" x14ac:dyDescent="0.3">
      <c r="A22" s="61"/>
      <c r="B22" s="65"/>
      <c r="C22" s="69"/>
      <c r="D22" s="69"/>
      <c r="E22" s="69"/>
      <c r="F22" s="69"/>
      <c r="G22" s="69"/>
      <c r="H22" s="69"/>
      <c r="I22" s="69"/>
      <c r="J22" s="69"/>
      <c r="K22" s="60"/>
    </row>
    <row r="23" spans="1:11" ht="16.5" x14ac:dyDescent="0.3">
      <c r="A23" s="61"/>
      <c r="B23" s="65"/>
      <c r="C23" s="69"/>
      <c r="D23" s="69"/>
      <c r="E23" s="69"/>
      <c r="F23" s="69"/>
      <c r="G23" s="69"/>
      <c r="H23" s="69"/>
      <c r="I23" s="69"/>
      <c r="J23" s="69"/>
      <c r="K23" s="60"/>
    </row>
    <row r="24" spans="1:11" ht="16.5" x14ac:dyDescent="0.3">
      <c r="A24" s="61"/>
      <c r="B24" s="65"/>
      <c r="C24" s="69"/>
      <c r="D24" s="69"/>
      <c r="E24" s="69"/>
      <c r="F24" s="69"/>
      <c r="G24" s="69"/>
      <c r="H24" s="69"/>
      <c r="I24" s="69"/>
      <c r="J24" s="69"/>
      <c r="K24" s="60"/>
    </row>
    <row r="25" spans="1:11" ht="16.5" x14ac:dyDescent="0.3">
      <c r="A25" s="61"/>
      <c r="B25" s="65"/>
      <c r="C25" s="69"/>
      <c r="D25" s="69"/>
      <c r="E25" s="69"/>
      <c r="F25" s="69"/>
      <c r="G25" s="69"/>
      <c r="H25" s="69"/>
      <c r="I25" s="69"/>
      <c r="J25" s="69"/>
      <c r="K25" s="60"/>
    </row>
    <row r="26" spans="1:11" ht="16.5" x14ac:dyDescent="0.3">
      <c r="A26" s="61"/>
      <c r="B26" s="65"/>
      <c r="C26" s="69"/>
      <c r="D26" s="70"/>
      <c r="E26" s="70"/>
      <c r="F26" s="70"/>
      <c r="G26" s="70"/>
      <c r="H26" s="70"/>
      <c r="I26" s="70"/>
      <c r="J26" s="70"/>
      <c r="K26" s="60"/>
    </row>
    <row r="27" spans="1:11" ht="16.5" x14ac:dyDescent="0.3">
      <c r="A27" s="61"/>
      <c r="B27" s="65"/>
      <c r="C27" s="69"/>
      <c r="D27" s="70"/>
      <c r="E27" s="70"/>
      <c r="F27" s="70"/>
      <c r="G27" s="70"/>
      <c r="H27" s="70"/>
      <c r="I27" s="70"/>
      <c r="J27" s="70"/>
      <c r="K27" s="60"/>
    </row>
    <row r="28" spans="1:11" ht="16.5" x14ac:dyDescent="0.3">
      <c r="A28" s="61"/>
      <c r="B28" s="65"/>
      <c r="C28" s="69"/>
      <c r="D28" s="70"/>
      <c r="E28" s="70"/>
      <c r="F28" s="70"/>
      <c r="G28" s="70"/>
      <c r="H28" s="70"/>
      <c r="I28" s="70"/>
      <c r="J28" s="70"/>
      <c r="K28" s="60"/>
    </row>
    <row r="29" spans="1:11" ht="16.5" x14ac:dyDescent="0.3">
      <c r="A29" s="61"/>
      <c r="B29" s="65"/>
      <c r="C29" s="69"/>
      <c r="D29" s="70"/>
      <c r="E29" s="70"/>
      <c r="F29" s="70"/>
      <c r="G29" s="70"/>
      <c r="H29" s="70"/>
      <c r="I29" s="70"/>
      <c r="J29" s="70"/>
      <c r="K29" s="60"/>
    </row>
    <row r="30" spans="1:11" ht="16.5" x14ac:dyDescent="0.3">
      <c r="A30" s="61"/>
      <c r="B30" s="65"/>
      <c r="D30" s="69" t="s">
        <v>502</v>
      </c>
      <c r="E30" s="70"/>
      <c r="F30" s="70"/>
      <c r="G30" s="70"/>
      <c r="H30" s="70"/>
      <c r="I30" s="70"/>
      <c r="J30" s="70"/>
      <c r="K30" s="60"/>
    </row>
    <row r="31" spans="1:11" ht="16.5" x14ac:dyDescent="0.3">
      <c r="A31" s="61"/>
      <c r="B31" s="65"/>
      <c r="D31" s="69"/>
      <c r="E31" s="70"/>
      <c r="F31" s="70"/>
      <c r="G31" s="70"/>
      <c r="H31" s="70"/>
      <c r="I31" s="70"/>
      <c r="J31" s="70"/>
      <c r="K31" s="60"/>
    </row>
    <row r="32" spans="1:11" ht="16.5" x14ac:dyDescent="0.3">
      <c r="A32" s="61"/>
      <c r="B32" s="65"/>
      <c r="D32" s="69" t="s">
        <v>503</v>
      </c>
      <c r="E32" s="70"/>
      <c r="F32" s="70"/>
      <c r="G32" s="70"/>
      <c r="H32" s="70" t="s">
        <v>504</v>
      </c>
      <c r="I32" s="70"/>
      <c r="J32" s="70"/>
      <c r="K32" s="60"/>
    </row>
    <row r="33" spans="1:11" ht="16.5" x14ac:dyDescent="0.3">
      <c r="A33" s="61"/>
      <c r="B33" s="65"/>
      <c r="D33" s="69"/>
      <c r="E33" s="70"/>
      <c r="F33" s="70"/>
      <c r="G33" s="70"/>
      <c r="H33" s="70"/>
      <c r="I33" s="70"/>
      <c r="J33" s="70"/>
      <c r="K33" s="60"/>
    </row>
    <row r="34" spans="1:11" ht="16.5" x14ac:dyDescent="0.3">
      <c r="A34" s="61"/>
      <c r="B34" s="65"/>
      <c r="D34" s="69" t="s">
        <v>505</v>
      </c>
      <c r="E34" s="70"/>
      <c r="F34" s="70"/>
      <c r="G34" s="70"/>
      <c r="H34" s="70" t="s">
        <v>695</v>
      </c>
      <c r="I34" s="70"/>
      <c r="J34" s="70"/>
      <c r="K34" s="60"/>
    </row>
    <row r="35" spans="1:11" ht="16.5" x14ac:dyDescent="0.3">
      <c r="A35" s="61"/>
      <c r="B35" s="65"/>
      <c r="D35" s="69"/>
      <c r="E35" s="70"/>
      <c r="F35" s="70"/>
      <c r="G35" s="70"/>
      <c r="H35" s="70"/>
      <c r="I35" s="70"/>
      <c r="J35" s="70"/>
      <c r="K35" s="60"/>
    </row>
    <row r="36" spans="1:11" ht="16.5" x14ac:dyDescent="0.3">
      <c r="A36" s="61"/>
      <c r="B36" s="65"/>
      <c r="D36" s="69" t="s">
        <v>506</v>
      </c>
      <c r="E36" s="70"/>
      <c r="F36" s="70"/>
      <c r="G36" s="70"/>
      <c r="H36" s="70" t="s">
        <v>696</v>
      </c>
      <c r="I36" s="70"/>
      <c r="J36" s="70"/>
      <c r="K36" s="60"/>
    </row>
    <row r="37" spans="1:11" ht="16.5" x14ac:dyDescent="0.3">
      <c r="A37" s="61"/>
      <c r="B37" s="65"/>
      <c r="C37" s="69"/>
      <c r="D37" s="70"/>
      <c r="E37" s="70"/>
      <c r="F37" s="70"/>
      <c r="G37" s="70"/>
      <c r="H37" s="70"/>
      <c r="I37" s="70"/>
      <c r="J37" s="70"/>
      <c r="K37" s="60"/>
    </row>
    <row r="38" spans="1:11" ht="16.5" x14ac:dyDescent="0.3">
      <c r="A38" s="61"/>
      <c r="B38" s="65"/>
      <c r="C38" s="69"/>
      <c r="D38" s="69"/>
      <c r="E38" s="69"/>
      <c r="F38" s="69"/>
      <c r="G38" s="343">
        <v>1</v>
      </c>
      <c r="H38" s="69"/>
      <c r="I38" s="69"/>
      <c r="J38" s="69"/>
      <c r="K38" s="60"/>
    </row>
    <row r="39" spans="1:11" ht="16.5" x14ac:dyDescent="0.3">
      <c r="A39" s="61"/>
      <c r="B39" s="74"/>
      <c r="C39" s="75"/>
      <c r="D39" s="75"/>
      <c r="E39" s="75"/>
      <c r="F39" s="75"/>
      <c r="G39" s="75"/>
      <c r="H39" s="75"/>
      <c r="I39" s="75"/>
      <c r="J39" s="75"/>
      <c r="K39" s="76"/>
    </row>
    <row r="40" spans="1:11" ht="16.5" x14ac:dyDescent="0.3">
      <c r="A40" s="61"/>
      <c r="B40" s="77"/>
      <c r="C40" s="77"/>
      <c r="D40" s="77"/>
      <c r="E40" s="77"/>
      <c r="F40" s="77"/>
      <c r="G40" s="77"/>
      <c r="H40" s="77"/>
      <c r="I40" s="77"/>
      <c r="J40" s="77"/>
      <c r="K40" s="77"/>
    </row>
  </sheetData>
  <mergeCells count="2">
    <mergeCell ref="C17:J17"/>
    <mergeCell ref="C18:J18"/>
  </mergeCells>
  <phoneticPr fontId="3" type="noConversion"/>
  <pageMargins left="0.25" right="0.3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25" workbookViewId="0">
      <selection activeCell="H37" sqref="H37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1" max="11" width="17.85546875" customWidth="1"/>
    <col min="13" max="13" width="12.28515625" customWidth="1"/>
  </cols>
  <sheetData>
    <row r="1" spans="1:9" ht="15.75" x14ac:dyDescent="0.25">
      <c r="B1" s="25" t="s">
        <v>581</v>
      </c>
    </row>
    <row r="2" spans="1:9" ht="18" x14ac:dyDescent="0.25">
      <c r="B2" s="335" t="s">
        <v>615</v>
      </c>
    </row>
    <row r="3" spans="1:9" x14ac:dyDescent="0.2">
      <c r="B3" s="262"/>
    </row>
    <row r="4" spans="1:9" ht="15.75" x14ac:dyDescent="0.25">
      <c r="B4" s="510" t="s">
        <v>713</v>
      </c>
      <c r="C4" s="510"/>
      <c r="D4" s="510"/>
      <c r="E4" s="510"/>
      <c r="F4" s="510"/>
      <c r="G4" s="510"/>
    </row>
    <row r="6" spans="1:9" x14ac:dyDescent="0.2">
      <c r="A6" s="511" t="s">
        <v>154</v>
      </c>
      <c r="B6" s="513" t="s">
        <v>522</v>
      </c>
      <c r="C6" s="511" t="s">
        <v>518</v>
      </c>
      <c r="D6" s="263" t="s">
        <v>523</v>
      </c>
      <c r="E6" s="511" t="s">
        <v>524</v>
      </c>
      <c r="F6" s="511" t="s">
        <v>525</v>
      </c>
      <c r="G6" s="263" t="s">
        <v>523</v>
      </c>
    </row>
    <row r="7" spans="1:9" x14ac:dyDescent="0.2">
      <c r="A7" s="512"/>
      <c r="B7" s="514"/>
      <c r="C7" s="512"/>
      <c r="D7" s="264">
        <v>43101</v>
      </c>
      <c r="E7" s="512"/>
      <c r="F7" s="512"/>
      <c r="G7" s="264">
        <v>43465</v>
      </c>
      <c r="H7" s="265"/>
      <c r="I7" s="265"/>
    </row>
    <row r="8" spans="1:9" x14ac:dyDescent="0.2">
      <c r="A8" s="266">
        <v>1</v>
      </c>
      <c r="B8" s="261" t="s">
        <v>452</v>
      </c>
      <c r="C8" s="266"/>
      <c r="D8" s="267"/>
      <c r="E8" s="267"/>
      <c r="F8" s="267"/>
      <c r="G8" s="267">
        <f t="shared" ref="G8:G16" si="0">D8+E8-F8</f>
        <v>0</v>
      </c>
      <c r="H8" s="265"/>
      <c r="I8" s="265"/>
    </row>
    <row r="9" spans="1:9" x14ac:dyDescent="0.2">
      <c r="A9" s="266">
        <v>2</v>
      </c>
      <c r="B9" s="261" t="s">
        <v>526</v>
      </c>
      <c r="C9" s="266"/>
      <c r="D9" s="267"/>
      <c r="E9" s="267"/>
      <c r="F9" s="267"/>
      <c r="G9" s="267">
        <f t="shared" si="0"/>
        <v>0</v>
      </c>
      <c r="H9" s="268"/>
      <c r="I9" s="269"/>
    </row>
    <row r="10" spans="1:9" x14ac:dyDescent="0.2">
      <c r="A10" s="266">
        <v>3</v>
      </c>
      <c r="B10" s="270" t="s">
        <v>527</v>
      </c>
      <c r="C10" s="266"/>
      <c r="D10" s="267">
        <f>+'Aq&amp;AM'!H14</f>
        <v>0</v>
      </c>
      <c r="E10" s="267">
        <v>0</v>
      </c>
      <c r="F10" s="267">
        <f>+'Aq&amp;AM'!H18</f>
        <v>0</v>
      </c>
      <c r="G10" s="267">
        <f t="shared" si="0"/>
        <v>0</v>
      </c>
      <c r="H10" s="268"/>
      <c r="I10" s="269"/>
    </row>
    <row r="11" spans="1:9" x14ac:dyDescent="0.2">
      <c r="A11" s="266">
        <v>4</v>
      </c>
      <c r="B11" s="270" t="s">
        <v>528</v>
      </c>
      <c r="C11" s="266"/>
      <c r="D11" s="267">
        <f>+'Aq&amp;AM'!I13</f>
        <v>1098640</v>
      </c>
      <c r="E11" s="267">
        <f>+'Aq&amp;AM'!I17</f>
        <v>5138201</v>
      </c>
      <c r="F11" s="267">
        <f>+'Aq&amp;AM'!H19</f>
        <v>0</v>
      </c>
      <c r="G11" s="267">
        <f t="shared" si="0"/>
        <v>6236841</v>
      </c>
      <c r="H11" s="268"/>
      <c r="I11" s="269"/>
    </row>
    <row r="12" spans="1:9" x14ac:dyDescent="0.2">
      <c r="A12" s="266">
        <v>5</v>
      </c>
      <c r="B12" s="270" t="s">
        <v>529</v>
      </c>
      <c r="C12" s="266"/>
      <c r="D12" s="267">
        <f>+'Aq&amp;AM'!J13</f>
        <v>1546018</v>
      </c>
      <c r="E12" s="267">
        <f>+'Aq&amp;AM'!J17</f>
        <v>30225</v>
      </c>
      <c r="F12" s="267">
        <f>+'Aq&amp;AM'!H20</f>
        <v>0</v>
      </c>
      <c r="G12" s="267">
        <f t="shared" si="0"/>
        <v>1576243</v>
      </c>
      <c r="H12" s="268"/>
      <c r="I12" s="269"/>
    </row>
    <row r="13" spans="1:9" x14ac:dyDescent="0.2">
      <c r="A13" s="266">
        <v>1</v>
      </c>
      <c r="B13" s="270"/>
      <c r="C13" s="266"/>
      <c r="D13" s="267"/>
      <c r="E13" s="267"/>
      <c r="F13" s="267"/>
      <c r="G13" s="267">
        <f t="shared" si="0"/>
        <v>0</v>
      </c>
      <c r="H13" s="268"/>
      <c r="I13" s="269"/>
    </row>
    <row r="14" spans="1:9" x14ac:dyDescent="0.2">
      <c r="A14" s="266">
        <v>2</v>
      </c>
      <c r="B14" s="257"/>
      <c r="C14" s="266"/>
      <c r="D14" s="267"/>
      <c r="E14" s="267"/>
      <c r="F14" s="267"/>
      <c r="G14" s="267">
        <f t="shared" si="0"/>
        <v>0</v>
      </c>
      <c r="H14" s="265"/>
      <c r="I14" s="265"/>
    </row>
    <row r="15" spans="1:9" x14ac:dyDescent="0.2">
      <c r="A15" s="266">
        <v>3</v>
      </c>
      <c r="B15" s="257"/>
      <c r="C15" s="266"/>
      <c r="D15" s="267"/>
      <c r="E15" s="267"/>
      <c r="F15" s="267"/>
      <c r="G15" s="267">
        <f t="shared" si="0"/>
        <v>0</v>
      </c>
      <c r="H15" s="265"/>
      <c r="I15" s="265"/>
    </row>
    <row r="16" spans="1:9" ht="13.5" thickBot="1" x14ac:dyDescent="0.25">
      <c r="A16" s="271">
        <v>4</v>
      </c>
      <c r="B16" s="272"/>
      <c r="C16" s="271"/>
      <c r="D16" s="273"/>
      <c r="E16" s="273"/>
      <c r="F16" s="273"/>
      <c r="G16" s="273">
        <f t="shared" si="0"/>
        <v>0</v>
      </c>
      <c r="H16" s="265"/>
      <c r="I16" s="265"/>
    </row>
    <row r="17" spans="1:9" ht="13.5" thickBot="1" x14ac:dyDescent="0.25">
      <c r="A17" s="274"/>
      <c r="B17" s="275" t="s">
        <v>530</v>
      </c>
      <c r="C17" s="276"/>
      <c r="D17" s="277">
        <f>SUM(D8:D16)</f>
        <v>2644658</v>
      </c>
      <c r="E17" s="277">
        <f>SUM(E8:E16)</f>
        <v>5168426</v>
      </c>
      <c r="F17" s="277">
        <f>SUM(F8:F16)</f>
        <v>0</v>
      </c>
      <c r="G17" s="278">
        <f>SUM(G8:G16)</f>
        <v>7813084</v>
      </c>
      <c r="I17" s="279"/>
    </row>
    <row r="20" spans="1:9" ht="15.75" x14ac:dyDescent="0.25">
      <c r="B20" s="510" t="s">
        <v>714</v>
      </c>
      <c r="C20" s="510"/>
      <c r="D20" s="510"/>
      <c r="E20" s="510"/>
      <c r="F20" s="510"/>
      <c r="G20" s="510"/>
      <c r="I20" s="279"/>
    </row>
    <row r="22" spans="1:9" x14ac:dyDescent="0.2">
      <c r="A22" s="511" t="s">
        <v>154</v>
      </c>
      <c r="B22" s="513" t="s">
        <v>522</v>
      </c>
      <c r="C22" s="511" t="s">
        <v>518</v>
      </c>
      <c r="D22" s="263" t="s">
        <v>523</v>
      </c>
      <c r="E22" s="511" t="s">
        <v>524</v>
      </c>
      <c r="F22" s="511" t="s">
        <v>525</v>
      </c>
      <c r="G22" s="263" t="s">
        <v>523</v>
      </c>
    </row>
    <row r="23" spans="1:9" x14ac:dyDescent="0.2">
      <c r="A23" s="512"/>
      <c r="B23" s="514"/>
      <c r="C23" s="512"/>
      <c r="D23" s="264">
        <f>+D7</f>
        <v>43101</v>
      </c>
      <c r="E23" s="512"/>
      <c r="F23" s="512"/>
      <c r="G23" s="264">
        <f>+G7</f>
        <v>43465</v>
      </c>
    </row>
    <row r="24" spans="1:9" x14ac:dyDescent="0.2">
      <c r="A24" s="266">
        <v>1</v>
      </c>
      <c r="B24" s="261" t="s">
        <v>452</v>
      </c>
      <c r="C24" s="266"/>
      <c r="D24" s="267">
        <v>0</v>
      </c>
      <c r="E24" s="267">
        <v>0</v>
      </c>
      <c r="F24" s="267"/>
      <c r="G24" s="267">
        <f>D24+E24</f>
        <v>0</v>
      </c>
    </row>
    <row r="25" spans="1:9" x14ac:dyDescent="0.2">
      <c r="A25" s="266">
        <v>2</v>
      </c>
      <c r="B25" s="261" t="s">
        <v>526</v>
      </c>
      <c r="C25" s="266"/>
      <c r="D25" s="267"/>
      <c r="E25" s="267"/>
      <c r="F25" s="267"/>
      <c r="G25" s="267">
        <f>D25+E25</f>
        <v>0</v>
      </c>
    </row>
    <row r="26" spans="1:9" x14ac:dyDescent="0.2">
      <c r="A26" s="266">
        <v>3</v>
      </c>
      <c r="B26" s="270" t="s">
        <v>531</v>
      </c>
      <c r="C26" s="266"/>
      <c r="D26" s="267">
        <f>+'Aq&amp;AM'!H14</f>
        <v>0</v>
      </c>
      <c r="E26" s="280">
        <f>+'Aq&amp;AM'!H22</f>
        <v>0</v>
      </c>
      <c r="F26" s="267"/>
      <c r="G26" s="267">
        <f>D26+E26-F26</f>
        <v>0</v>
      </c>
    </row>
    <row r="27" spans="1:9" x14ac:dyDescent="0.2">
      <c r="A27" s="266">
        <v>4</v>
      </c>
      <c r="B27" s="270" t="s">
        <v>528</v>
      </c>
      <c r="C27" s="266"/>
      <c r="D27" s="267">
        <f>+'Aq&amp;AM'!I14</f>
        <v>249025</v>
      </c>
      <c r="E27" s="280">
        <f>+'Aq&amp;AM'!I22</f>
        <v>169923</v>
      </c>
      <c r="F27" s="267"/>
      <c r="G27" s="267">
        <f>D27+E27</f>
        <v>418948</v>
      </c>
    </row>
    <row r="28" spans="1:9" x14ac:dyDescent="0.2">
      <c r="A28" s="266">
        <v>5</v>
      </c>
      <c r="B28" s="270" t="s">
        <v>529</v>
      </c>
      <c r="C28" s="266"/>
      <c r="D28" s="267">
        <f>+'Aq&amp;AM'!J14</f>
        <v>429644</v>
      </c>
      <c r="E28" s="280">
        <f>+'Aq&amp;AM'!J22</f>
        <v>223275</v>
      </c>
      <c r="F28" s="267"/>
      <c r="G28" s="267">
        <f>D28+E28</f>
        <v>652919</v>
      </c>
    </row>
    <row r="29" spans="1:9" x14ac:dyDescent="0.2">
      <c r="A29" s="266">
        <v>1</v>
      </c>
      <c r="B29" s="270"/>
      <c r="C29" s="266"/>
      <c r="D29" s="267"/>
      <c r="E29" s="267"/>
      <c r="F29" s="267"/>
      <c r="G29" s="267"/>
    </row>
    <row r="30" spans="1:9" x14ac:dyDescent="0.2">
      <c r="A30" s="266">
        <v>2</v>
      </c>
      <c r="B30" s="257"/>
      <c r="C30" s="266"/>
      <c r="D30" s="267"/>
      <c r="E30" s="267"/>
      <c r="F30" s="267"/>
      <c r="G30" s="267">
        <f>D30+E30-F30</f>
        <v>0</v>
      </c>
    </row>
    <row r="31" spans="1:9" x14ac:dyDescent="0.2">
      <c r="A31" s="266">
        <v>3</v>
      </c>
      <c r="B31" s="257"/>
      <c r="C31" s="266"/>
      <c r="D31" s="267"/>
      <c r="E31" s="267"/>
      <c r="F31" s="267"/>
      <c r="G31" s="267">
        <f>D31+E31-F31</f>
        <v>0</v>
      </c>
    </row>
    <row r="32" spans="1:9" ht="13.5" thickBot="1" x14ac:dyDescent="0.25">
      <c r="A32" s="271">
        <v>4</v>
      </c>
      <c r="B32" s="272"/>
      <c r="C32" s="271"/>
      <c r="D32" s="273"/>
      <c r="E32" s="273"/>
      <c r="F32" s="273"/>
      <c r="G32" s="273">
        <f>D32+E32-F32</f>
        <v>0</v>
      </c>
    </row>
    <row r="33" spans="1:14" ht="13.5" thickBot="1" x14ac:dyDescent="0.25">
      <c r="A33" s="274"/>
      <c r="B33" s="275" t="s">
        <v>530</v>
      </c>
      <c r="C33" s="276"/>
      <c r="D33" s="277">
        <f>SUM(D24:D32)</f>
        <v>678669</v>
      </c>
      <c r="E33" s="277">
        <f>SUM(E24:E32)</f>
        <v>393198</v>
      </c>
      <c r="F33" s="277">
        <f>SUM(F24:F32)</f>
        <v>0</v>
      </c>
      <c r="G33" s="278">
        <f>SUM(G24:G32)</f>
        <v>1071867</v>
      </c>
      <c r="H33" s="282"/>
      <c r="I33" s="279"/>
      <c r="J33" s="279"/>
    </row>
    <row r="34" spans="1:14" x14ac:dyDescent="0.2">
      <c r="G34" s="282"/>
    </row>
    <row r="36" spans="1:14" ht="15.75" x14ac:dyDescent="0.25">
      <c r="B36" s="510" t="s">
        <v>715</v>
      </c>
      <c r="C36" s="510"/>
      <c r="D36" s="510"/>
      <c r="E36" s="510"/>
      <c r="F36" s="510"/>
      <c r="G36" s="510"/>
    </row>
    <row r="38" spans="1:14" x14ac:dyDescent="0.2">
      <c r="A38" s="511" t="s">
        <v>154</v>
      </c>
      <c r="B38" s="513" t="s">
        <v>522</v>
      </c>
      <c r="C38" s="511" t="s">
        <v>518</v>
      </c>
      <c r="D38" s="263" t="s">
        <v>523</v>
      </c>
      <c r="E38" s="511" t="s">
        <v>524</v>
      </c>
      <c r="F38" s="511" t="s">
        <v>525</v>
      </c>
      <c r="G38" s="263" t="s">
        <v>523</v>
      </c>
    </row>
    <row r="39" spans="1:14" x14ac:dyDescent="0.2">
      <c r="A39" s="512"/>
      <c r="B39" s="514"/>
      <c r="C39" s="512"/>
      <c r="D39" s="264">
        <f>+D7</f>
        <v>43101</v>
      </c>
      <c r="E39" s="512"/>
      <c r="F39" s="512"/>
      <c r="G39" s="264">
        <f>+G7</f>
        <v>43465</v>
      </c>
    </row>
    <row r="40" spans="1:14" x14ac:dyDescent="0.2">
      <c r="A40" s="266">
        <v>1</v>
      </c>
      <c r="B40" s="261" t="s">
        <v>452</v>
      </c>
      <c r="C40" s="266"/>
      <c r="D40" s="267">
        <v>0</v>
      </c>
      <c r="E40" s="267"/>
      <c r="F40" s="267">
        <v>0</v>
      </c>
      <c r="G40" s="267">
        <f t="shared" ref="G40:G48" si="1">D40+E40-F40</f>
        <v>0</v>
      </c>
    </row>
    <row r="41" spans="1:14" x14ac:dyDescent="0.2">
      <c r="A41" s="266">
        <v>2</v>
      </c>
      <c r="B41" s="270" t="s">
        <v>526</v>
      </c>
      <c r="C41" s="266"/>
      <c r="D41" s="267"/>
      <c r="E41" s="267"/>
      <c r="F41" s="267"/>
      <c r="G41" s="267">
        <f t="shared" si="1"/>
        <v>0</v>
      </c>
      <c r="M41" s="265"/>
      <c r="N41" s="265"/>
    </row>
    <row r="42" spans="1:14" x14ac:dyDescent="0.2">
      <c r="A42" s="266">
        <v>3</v>
      </c>
      <c r="B42" s="270" t="s">
        <v>531</v>
      </c>
      <c r="C42" s="266"/>
      <c r="D42" s="281">
        <f>+D10-D26</f>
        <v>0</v>
      </c>
      <c r="E42" s="280">
        <f>+E10-E26</f>
        <v>0</v>
      </c>
      <c r="F42" s="281">
        <f>+F10-F26</f>
        <v>0</v>
      </c>
      <c r="G42" s="267">
        <f t="shared" si="1"/>
        <v>0</v>
      </c>
      <c r="M42" s="265"/>
      <c r="N42" s="265"/>
    </row>
    <row r="43" spans="1:14" x14ac:dyDescent="0.2">
      <c r="A43" s="266">
        <v>4</v>
      </c>
      <c r="B43" s="270" t="s">
        <v>528</v>
      </c>
      <c r="C43" s="266"/>
      <c r="D43" s="281">
        <f t="shared" ref="D43:F44" si="2">+D11-D27</f>
        <v>849615</v>
      </c>
      <c r="E43" s="280">
        <f t="shared" si="2"/>
        <v>4968278</v>
      </c>
      <c r="F43" s="281">
        <f t="shared" si="2"/>
        <v>0</v>
      </c>
      <c r="G43" s="267">
        <f t="shared" si="1"/>
        <v>5817893</v>
      </c>
      <c r="M43" s="265"/>
      <c r="N43" s="265"/>
    </row>
    <row r="44" spans="1:14" x14ac:dyDescent="0.2">
      <c r="A44" s="266">
        <v>5</v>
      </c>
      <c r="B44" s="270" t="s">
        <v>529</v>
      </c>
      <c r="C44" s="266"/>
      <c r="D44" s="281">
        <f t="shared" si="2"/>
        <v>1116374</v>
      </c>
      <c r="E44" s="280">
        <f t="shared" si="2"/>
        <v>-193050</v>
      </c>
      <c r="F44" s="281">
        <f t="shared" si="2"/>
        <v>0</v>
      </c>
      <c r="G44" s="267">
        <f t="shared" si="1"/>
        <v>923324</v>
      </c>
      <c r="M44" s="265"/>
      <c r="N44" s="265"/>
    </row>
    <row r="45" spans="1:14" x14ac:dyDescent="0.2">
      <c r="A45" s="266">
        <v>1</v>
      </c>
      <c r="B45" s="270"/>
      <c r="C45" s="266"/>
      <c r="D45" s="267"/>
      <c r="E45" s="267"/>
      <c r="F45" s="267"/>
      <c r="G45" s="267">
        <f t="shared" si="1"/>
        <v>0</v>
      </c>
      <c r="M45" s="265"/>
      <c r="N45" s="265"/>
    </row>
    <row r="46" spans="1:14" x14ac:dyDescent="0.2">
      <c r="A46" s="266">
        <v>2</v>
      </c>
      <c r="B46" s="270"/>
      <c r="C46" s="266"/>
      <c r="D46" s="267"/>
      <c r="E46" s="267"/>
      <c r="F46" s="267"/>
      <c r="G46" s="267">
        <f t="shared" si="1"/>
        <v>0</v>
      </c>
      <c r="M46" s="265"/>
      <c r="N46" s="265"/>
    </row>
    <row r="47" spans="1:14" x14ac:dyDescent="0.2">
      <c r="A47" s="266">
        <v>3</v>
      </c>
      <c r="B47" s="257"/>
      <c r="C47" s="266"/>
      <c r="D47" s="267"/>
      <c r="E47" s="267"/>
      <c r="F47" s="267"/>
      <c r="G47" s="267">
        <f t="shared" si="1"/>
        <v>0</v>
      </c>
      <c r="M47" s="265"/>
      <c r="N47" s="265"/>
    </row>
    <row r="48" spans="1:14" ht="13.5" thickBot="1" x14ac:dyDescent="0.25">
      <c r="A48" s="271">
        <v>4</v>
      </c>
      <c r="B48" s="272"/>
      <c r="C48" s="271"/>
      <c r="D48" s="273"/>
      <c r="E48" s="273"/>
      <c r="F48" s="273"/>
      <c r="G48" s="273">
        <f t="shared" si="1"/>
        <v>0</v>
      </c>
      <c r="M48" s="265"/>
      <c r="N48" s="265"/>
    </row>
    <row r="49" spans="1:14" ht="13.5" thickBot="1" x14ac:dyDescent="0.25">
      <c r="A49" s="274"/>
      <c r="B49" s="275" t="s">
        <v>530</v>
      </c>
      <c r="C49" s="276"/>
      <c r="D49" s="277">
        <f>SUM(D40:D48)</f>
        <v>1965989</v>
      </c>
      <c r="E49" s="277">
        <f>SUM(E40:E48)</f>
        <v>4775228</v>
      </c>
      <c r="F49" s="277">
        <f>SUM(F40:F48)</f>
        <v>0</v>
      </c>
      <c r="G49" s="278">
        <f>SUM(G40:G48)</f>
        <v>6741217</v>
      </c>
      <c r="I49" s="282"/>
      <c r="J49" s="279"/>
      <c r="M49" s="283"/>
      <c r="N49" s="265"/>
    </row>
    <row r="50" spans="1:14" s="265" customFormat="1" x14ac:dyDescent="0.2">
      <c r="F50" s="269"/>
      <c r="G50" s="284"/>
      <c r="J50" s="269"/>
    </row>
    <row r="51" spans="1:14" x14ac:dyDescent="0.2">
      <c r="D51" s="279"/>
      <c r="G51" s="279"/>
      <c r="I51" s="279"/>
      <c r="M51" s="265"/>
      <c r="N51" s="265"/>
    </row>
    <row r="52" spans="1:14" ht="15.75" x14ac:dyDescent="0.25">
      <c r="D52" s="260">
        <v>10</v>
      </c>
      <c r="E52" s="515" t="s">
        <v>532</v>
      </c>
      <c r="F52" s="515"/>
      <c r="G52" s="515"/>
      <c r="M52" s="265"/>
      <c r="N52" s="265"/>
    </row>
    <row r="53" spans="1:14" x14ac:dyDescent="0.2">
      <c r="E53" s="516" t="s">
        <v>616</v>
      </c>
      <c r="F53" s="516"/>
      <c r="G53" s="516"/>
    </row>
  </sheetData>
  <mergeCells count="20">
    <mergeCell ref="E52:G52"/>
    <mergeCell ref="E53:G53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opLeftCell="A70" workbookViewId="0">
      <selection activeCell="D101" sqref="D101"/>
    </sheetView>
  </sheetViews>
  <sheetFormatPr defaultColWidth="11.42578125" defaultRowHeight="12.75" x14ac:dyDescent="0.2"/>
  <cols>
    <col min="1" max="1" width="5.7109375" style="31" customWidth="1"/>
    <col min="2" max="2" width="42.7109375" style="31" bestFit="1" customWidth="1"/>
    <col min="3" max="3" width="3.85546875" style="31" customWidth="1"/>
    <col min="4" max="5" width="16.140625" style="31" customWidth="1"/>
    <col min="6" max="10" width="16.140625" style="31" hidden="1" customWidth="1"/>
    <col min="11" max="11" width="11.42578125" style="31" hidden="1" customWidth="1"/>
    <col min="12" max="12" width="11.42578125" style="31"/>
    <col min="13" max="13" width="11.85546875" style="31" bestFit="1" customWidth="1"/>
    <col min="14" max="16384" width="11.42578125" style="31"/>
  </cols>
  <sheetData>
    <row r="1" spans="1:11" ht="16.5" x14ac:dyDescent="0.2">
      <c r="B1" s="49" t="s">
        <v>152</v>
      </c>
    </row>
    <row r="2" spans="1:11" ht="13.5" x14ac:dyDescent="0.2">
      <c r="B2" s="32" t="s">
        <v>552</v>
      </c>
      <c r="K2" s="34"/>
    </row>
    <row r="3" spans="1:11" x14ac:dyDescent="0.2">
      <c r="B3" s="48" t="s">
        <v>414</v>
      </c>
    </row>
    <row r="5" spans="1:11" hidden="1" x14ac:dyDescent="0.2"/>
    <row r="6" spans="1:11" hidden="1" x14ac:dyDescent="0.2"/>
    <row r="8" spans="1:11" ht="15" x14ac:dyDescent="0.2">
      <c r="B8" s="52" t="s">
        <v>153</v>
      </c>
      <c r="C8" s="33" t="s">
        <v>154</v>
      </c>
      <c r="D8" s="415" t="s">
        <v>698</v>
      </c>
      <c r="E8" s="415" t="s">
        <v>685</v>
      </c>
      <c r="F8" s="415" t="s">
        <v>663</v>
      </c>
      <c r="G8" s="415" t="s">
        <v>584</v>
      </c>
      <c r="H8" s="415" t="s">
        <v>584</v>
      </c>
      <c r="I8" s="415" t="s">
        <v>551</v>
      </c>
      <c r="J8" s="415" t="s">
        <v>551</v>
      </c>
    </row>
    <row r="11" spans="1:11" x14ac:dyDescent="0.2">
      <c r="A11" s="35" t="s">
        <v>155</v>
      </c>
      <c r="B11" s="36" t="s">
        <v>156</v>
      </c>
      <c r="C11" s="36" t="s">
        <v>123</v>
      </c>
    </row>
    <row r="12" spans="1:11" x14ac:dyDescent="0.2">
      <c r="A12" s="35" t="s">
        <v>157</v>
      </c>
      <c r="B12" s="36" t="s">
        <v>158</v>
      </c>
      <c r="C12" s="36" t="s">
        <v>124</v>
      </c>
      <c r="D12" s="37">
        <f>+D20+D27</f>
        <v>23903717</v>
      </c>
      <c r="E12" s="37">
        <f t="shared" ref="E12:J12" si="0">+E20</f>
        <v>1965989</v>
      </c>
      <c r="F12" s="37">
        <f t="shared" si="0"/>
        <v>1555117</v>
      </c>
      <c r="G12" s="37">
        <f t="shared" si="0"/>
        <v>299199</v>
      </c>
      <c r="H12" s="37">
        <f t="shared" si="0"/>
        <v>125000</v>
      </c>
      <c r="I12" s="37">
        <f t="shared" si="0"/>
        <v>0</v>
      </c>
      <c r="J12" s="37">
        <f t="shared" si="0"/>
        <v>1031668</v>
      </c>
    </row>
    <row r="13" spans="1:11" x14ac:dyDescent="0.2">
      <c r="A13" s="35" t="s">
        <v>132</v>
      </c>
      <c r="B13" s="36" t="s">
        <v>159</v>
      </c>
      <c r="C13" s="36" t="s">
        <v>125</v>
      </c>
    </row>
    <row r="14" spans="1:11" x14ac:dyDescent="0.2">
      <c r="A14" s="35" t="s">
        <v>137</v>
      </c>
      <c r="B14" s="36" t="s">
        <v>160</v>
      </c>
      <c r="C14" s="36" t="s">
        <v>126</v>
      </c>
    </row>
    <row r="15" spans="1:11" x14ac:dyDescent="0.2">
      <c r="A15" s="35" t="s">
        <v>138</v>
      </c>
      <c r="B15" s="36" t="s">
        <v>161</v>
      </c>
      <c r="C15" s="36" t="s">
        <v>127</v>
      </c>
    </row>
    <row r="16" spans="1:11" x14ac:dyDescent="0.2">
      <c r="A16" s="35" t="s">
        <v>139</v>
      </c>
      <c r="B16" s="36" t="s">
        <v>162</v>
      </c>
      <c r="C16" s="36" t="s">
        <v>134</v>
      </c>
    </row>
    <row r="17" spans="1:12" x14ac:dyDescent="0.2">
      <c r="A17" s="35" t="s">
        <v>141</v>
      </c>
      <c r="B17" s="36" t="s">
        <v>163</v>
      </c>
      <c r="C17" s="36" t="s">
        <v>135</v>
      </c>
    </row>
    <row r="18" spans="1:12" x14ac:dyDescent="0.2">
      <c r="A18" s="35" t="s">
        <v>142</v>
      </c>
      <c r="B18" s="36" t="s">
        <v>164</v>
      </c>
      <c r="C18" s="36" t="s">
        <v>136</v>
      </c>
    </row>
    <row r="19" spans="1:12" x14ac:dyDescent="0.2">
      <c r="A19" s="35" t="s">
        <v>165</v>
      </c>
      <c r="B19" s="36" t="s">
        <v>166</v>
      </c>
      <c r="C19" s="36" t="s">
        <v>140</v>
      </c>
    </row>
    <row r="20" spans="1:12" x14ac:dyDescent="0.2">
      <c r="A20" s="35" t="s">
        <v>133</v>
      </c>
      <c r="B20" s="36" t="s">
        <v>167</v>
      </c>
      <c r="C20" s="36" t="s">
        <v>144</v>
      </c>
      <c r="D20" s="37">
        <f t="shared" ref="D20:J20" si="1">+D21+D22+D23+D24+D25</f>
        <v>6741217</v>
      </c>
      <c r="E20" s="37">
        <f t="shared" si="1"/>
        <v>1965989</v>
      </c>
      <c r="F20" s="37">
        <f t="shared" si="1"/>
        <v>1555117</v>
      </c>
      <c r="G20" s="37">
        <f t="shared" si="1"/>
        <v>299199</v>
      </c>
      <c r="H20" s="37">
        <f t="shared" si="1"/>
        <v>125000</v>
      </c>
      <c r="I20" s="37">
        <f t="shared" si="1"/>
        <v>0</v>
      </c>
      <c r="J20" s="37">
        <f t="shared" si="1"/>
        <v>1031668</v>
      </c>
    </row>
    <row r="21" spans="1:12" x14ac:dyDescent="0.2">
      <c r="A21" s="35" t="s">
        <v>137</v>
      </c>
      <c r="B21" s="36" t="s">
        <v>168</v>
      </c>
      <c r="C21" s="36" t="s">
        <v>145</v>
      </c>
    </row>
    <row r="22" spans="1:12" x14ac:dyDescent="0.2">
      <c r="A22" s="35" t="s">
        <v>138</v>
      </c>
      <c r="B22" s="36" t="s">
        <v>169</v>
      </c>
      <c r="C22" s="36" t="s">
        <v>146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</row>
    <row r="23" spans="1:12" x14ac:dyDescent="0.2">
      <c r="A23" s="35" t="s">
        <v>139</v>
      </c>
      <c r="B23" s="36" t="s">
        <v>170</v>
      </c>
      <c r="C23" s="36" t="s">
        <v>147</v>
      </c>
      <c r="D23" s="37">
        <f>6236841+30225+1546018</f>
        <v>7813084</v>
      </c>
      <c r="E23" s="37">
        <f>1725825+918833</f>
        <v>2644658</v>
      </c>
      <c r="F23" s="37">
        <v>1725825</v>
      </c>
      <c r="G23" s="37">
        <v>317416</v>
      </c>
      <c r="H23" s="37">
        <v>125000</v>
      </c>
      <c r="I23" s="37">
        <v>0</v>
      </c>
      <c r="J23" s="37">
        <v>1957991</v>
      </c>
      <c r="L23" s="480"/>
    </row>
    <row r="24" spans="1:12" x14ac:dyDescent="0.2">
      <c r="A24" s="35" t="s">
        <v>141</v>
      </c>
      <c r="B24" s="36" t="s">
        <v>171</v>
      </c>
      <c r="C24" s="36" t="s">
        <v>148</v>
      </c>
    </row>
    <row r="25" spans="1:12" x14ac:dyDescent="0.2">
      <c r="A25" s="35" t="s">
        <v>142</v>
      </c>
      <c r="B25" s="36" t="s">
        <v>164</v>
      </c>
      <c r="C25" s="36" t="s">
        <v>172</v>
      </c>
      <c r="D25" s="37">
        <f>-(170708+507961+393198)</f>
        <v>-1071867</v>
      </c>
      <c r="E25" s="37">
        <f>-(170708+507961)</f>
        <v>-678669</v>
      </c>
      <c r="F25" s="37">
        <f>-18217-'A-Sh BA'!E82</f>
        <v>-170708</v>
      </c>
      <c r="G25" s="37">
        <v>-18217</v>
      </c>
      <c r="H25" s="37">
        <v>0</v>
      </c>
      <c r="I25" s="37">
        <v>0</v>
      </c>
      <c r="J25" s="37">
        <v>-926323</v>
      </c>
    </row>
    <row r="26" spans="1:12" x14ac:dyDescent="0.2">
      <c r="A26" s="35" t="s">
        <v>165</v>
      </c>
      <c r="B26" s="36" t="s">
        <v>166</v>
      </c>
      <c r="C26" s="36" t="s">
        <v>173</v>
      </c>
    </row>
    <row r="27" spans="1:12" x14ac:dyDescent="0.2">
      <c r="A27" s="35" t="s">
        <v>143</v>
      </c>
      <c r="B27" s="36" t="s">
        <v>174</v>
      </c>
      <c r="C27" s="36" t="s">
        <v>175</v>
      </c>
      <c r="D27" s="37">
        <f>SUM(D28:D31)</f>
        <v>17162500</v>
      </c>
    </row>
    <row r="28" spans="1:12" x14ac:dyDescent="0.2">
      <c r="A28" s="35" t="s">
        <v>137</v>
      </c>
      <c r="B28" s="36" t="s">
        <v>176</v>
      </c>
      <c r="C28" s="36" t="s">
        <v>177</v>
      </c>
      <c r="D28" s="37">
        <f>16000000+9300*125</f>
        <v>17162500</v>
      </c>
    </row>
    <row r="29" spans="1:12" x14ac:dyDescent="0.2">
      <c r="A29" s="35" t="s">
        <v>138</v>
      </c>
      <c r="B29" s="36" t="s">
        <v>178</v>
      </c>
      <c r="C29" s="36" t="s">
        <v>179</v>
      </c>
    </row>
    <row r="30" spans="1:12" x14ac:dyDescent="0.2">
      <c r="A30" s="35" t="s">
        <v>139</v>
      </c>
      <c r="B30" s="36" t="s">
        <v>180</v>
      </c>
      <c r="C30" s="36" t="s">
        <v>181</v>
      </c>
    </row>
    <row r="31" spans="1:12" x14ac:dyDescent="0.2">
      <c r="A31" s="35" t="s">
        <v>141</v>
      </c>
      <c r="B31" s="36" t="s">
        <v>182</v>
      </c>
      <c r="C31" s="36" t="s">
        <v>183</v>
      </c>
    </row>
    <row r="32" spans="1:12" x14ac:dyDescent="0.2">
      <c r="A32" s="35" t="s">
        <v>149</v>
      </c>
      <c r="B32" s="36" t="s">
        <v>184</v>
      </c>
      <c r="C32" s="36" t="s">
        <v>185</v>
      </c>
      <c r="D32" s="37">
        <v>-4.6566128730773926E-10</v>
      </c>
      <c r="E32" s="37">
        <v>-4.6566128730773926E-10</v>
      </c>
      <c r="F32" s="37">
        <v>-4.6566128730773926E-10</v>
      </c>
      <c r="G32" s="37">
        <v>-4.6566128730773926E-10</v>
      </c>
      <c r="H32" s="37">
        <v>-4.6566128730773926E-10</v>
      </c>
      <c r="I32" s="37">
        <v>0</v>
      </c>
      <c r="J32" s="37">
        <v>-4.6566128730773926E-10</v>
      </c>
    </row>
    <row r="33" spans="1:13" x14ac:dyDescent="0.2">
      <c r="A33" s="35" t="s">
        <v>186</v>
      </c>
      <c r="B33" s="36" t="s">
        <v>187</v>
      </c>
      <c r="C33" s="36" t="s">
        <v>188</v>
      </c>
      <c r="D33" s="37">
        <f t="shared" ref="D33:J33" si="2">+D50+D54+D40+D34</f>
        <v>127016714.77</v>
      </c>
      <c r="E33" s="37">
        <f t="shared" si="2"/>
        <v>105945262.45</v>
      </c>
      <c r="F33" s="37">
        <f t="shared" si="2"/>
        <v>34233761.549999997</v>
      </c>
      <c r="G33" s="37">
        <f t="shared" si="2"/>
        <v>15464253</v>
      </c>
      <c r="H33" s="37">
        <f t="shared" si="2"/>
        <v>3169690</v>
      </c>
      <c r="I33" s="37">
        <f t="shared" si="2"/>
        <v>40372</v>
      </c>
      <c r="J33" s="37">
        <f t="shared" si="2"/>
        <v>130723</v>
      </c>
    </row>
    <row r="34" spans="1:13" x14ac:dyDescent="0.2">
      <c r="A34" s="35" t="s">
        <v>132</v>
      </c>
      <c r="B34" s="36" t="s">
        <v>189</v>
      </c>
      <c r="C34" s="36" t="s">
        <v>190</v>
      </c>
      <c r="D34" s="50">
        <f t="shared" ref="D34:J34" si="3">SUM(D35:D39)</f>
        <v>0</v>
      </c>
      <c r="E34" s="50">
        <f t="shared" si="3"/>
        <v>0</v>
      </c>
      <c r="F34" s="50">
        <f t="shared" si="3"/>
        <v>0</v>
      </c>
      <c r="G34" s="50">
        <f t="shared" si="3"/>
        <v>3077645</v>
      </c>
      <c r="H34" s="50">
        <f t="shared" si="3"/>
        <v>1621324</v>
      </c>
      <c r="I34" s="50">
        <f t="shared" si="3"/>
        <v>0</v>
      </c>
      <c r="J34" s="50">
        <f t="shared" si="3"/>
        <v>0</v>
      </c>
    </row>
    <row r="35" spans="1:13" x14ac:dyDescent="0.2">
      <c r="A35" s="35" t="s">
        <v>137</v>
      </c>
      <c r="B35" s="36" t="s">
        <v>191</v>
      </c>
      <c r="C35" s="36" t="s">
        <v>192</v>
      </c>
      <c r="D35" s="37">
        <v>0</v>
      </c>
      <c r="E35" s="37">
        <v>0</v>
      </c>
      <c r="F35" s="37">
        <v>0</v>
      </c>
      <c r="G35" s="37">
        <v>3077645</v>
      </c>
      <c r="H35" s="37">
        <v>1621324</v>
      </c>
      <c r="M35" s="78"/>
    </row>
    <row r="36" spans="1:13" x14ac:dyDescent="0.2">
      <c r="A36" s="35" t="s">
        <v>138</v>
      </c>
      <c r="B36" s="36" t="s">
        <v>193</v>
      </c>
      <c r="C36" s="36" t="s">
        <v>194</v>
      </c>
    </row>
    <row r="37" spans="1:13" x14ac:dyDescent="0.2">
      <c r="A37" s="35" t="s">
        <v>139</v>
      </c>
      <c r="B37" s="36" t="s">
        <v>130</v>
      </c>
      <c r="C37" s="36" t="s">
        <v>195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</row>
    <row r="38" spans="1:13" x14ac:dyDescent="0.2">
      <c r="A38" s="35" t="s">
        <v>141</v>
      </c>
      <c r="B38" s="36" t="s">
        <v>196</v>
      </c>
      <c r="C38" s="36" t="s">
        <v>197</v>
      </c>
    </row>
    <row r="39" spans="1:13" x14ac:dyDescent="0.2">
      <c r="A39" s="35" t="s">
        <v>142</v>
      </c>
      <c r="B39" s="36" t="s">
        <v>182</v>
      </c>
      <c r="C39" s="36" t="s">
        <v>198</v>
      </c>
    </row>
    <row r="40" spans="1:13" x14ac:dyDescent="0.2">
      <c r="A40" s="35" t="s">
        <v>133</v>
      </c>
      <c r="B40" s="36" t="s">
        <v>199</v>
      </c>
      <c r="C40" s="36" t="s">
        <v>200</v>
      </c>
      <c r="D40" s="50">
        <f t="shared" ref="D40:J40" si="4">SUM(D41:D46)</f>
        <v>123253331</v>
      </c>
      <c r="E40" s="50">
        <f t="shared" si="4"/>
        <v>105706176.45</v>
      </c>
      <c r="F40" s="50">
        <f t="shared" si="4"/>
        <v>6598867.5499999998</v>
      </c>
      <c r="G40" s="50">
        <f t="shared" si="4"/>
        <v>9269686</v>
      </c>
      <c r="H40" s="50">
        <f t="shared" si="4"/>
        <v>772867</v>
      </c>
      <c r="I40" s="50">
        <f t="shared" si="4"/>
        <v>10417</v>
      </c>
      <c r="J40" s="50">
        <f t="shared" si="4"/>
        <v>633</v>
      </c>
    </row>
    <row r="41" spans="1:13" x14ac:dyDescent="0.2">
      <c r="B41" s="36" t="s">
        <v>201</v>
      </c>
    </row>
    <row r="42" spans="1:13" x14ac:dyDescent="0.2">
      <c r="A42" s="35" t="s">
        <v>137</v>
      </c>
      <c r="B42" s="36" t="s">
        <v>202</v>
      </c>
      <c r="C42" s="36" t="s">
        <v>203</v>
      </c>
      <c r="D42" s="37">
        <v>118063753</v>
      </c>
      <c r="E42" s="37">
        <f>184656578-79423568.55</f>
        <v>105233009.45</v>
      </c>
      <c r="F42" s="37">
        <f>6598869-1.45</f>
        <v>6598867.5499999998</v>
      </c>
      <c r="G42" s="37">
        <v>9268721</v>
      </c>
      <c r="H42" s="37">
        <v>675855</v>
      </c>
      <c r="I42" s="37">
        <v>0</v>
      </c>
      <c r="J42" s="37">
        <v>0</v>
      </c>
      <c r="M42" s="57"/>
    </row>
    <row r="43" spans="1:13" x14ac:dyDescent="0.2">
      <c r="A43" s="35" t="s">
        <v>138</v>
      </c>
      <c r="B43" s="36" t="s">
        <v>204</v>
      </c>
      <c r="C43" s="36" t="s">
        <v>205</v>
      </c>
    </row>
    <row r="44" spans="1:13" x14ac:dyDescent="0.2">
      <c r="A44" s="35" t="s">
        <v>139</v>
      </c>
      <c r="B44" s="118" t="s">
        <v>511</v>
      </c>
      <c r="C44" s="36" t="s">
        <v>206</v>
      </c>
      <c r="D44" s="37"/>
      <c r="E44" s="37"/>
      <c r="F44" s="37"/>
      <c r="G44" s="37"/>
      <c r="H44" s="37"/>
      <c r="I44" s="37"/>
      <c r="J44" s="37"/>
    </row>
    <row r="45" spans="1:13" x14ac:dyDescent="0.2">
      <c r="A45" s="35" t="s">
        <v>141</v>
      </c>
      <c r="B45" s="36" t="s">
        <v>207</v>
      </c>
      <c r="C45" s="36" t="s">
        <v>208</v>
      </c>
      <c r="D45" s="37">
        <f>3522911+1666667</f>
        <v>5189578</v>
      </c>
      <c r="E45" s="37">
        <v>473167</v>
      </c>
      <c r="F45" s="37">
        <v>0</v>
      </c>
      <c r="G45" s="37">
        <v>965</v>
      </c>
      <c r="H45" s="37">
        <f>97012</f>
        <v>97012</v>
      </c>
      <c r="I45" s="37">
        <v>10417</v>
      </c>
      <c r="J45" s="37">
        <v>633</v>
      </c>
    </row>
    <row r="46" spans="1:13" x14ac:dyDescent="0.2">
      <c r="A46" s="35" t="s">
        <v>142</v>
      </c>
      <c r="B46" s="36" t="s">
        <v>182</v>
      </c>
      <c r="C46" s="36" t="s">
        <v>209</v>
      </c>
    </row>
    <row r="47" spans="1:13" x14ac:dyDescent="0.2">
      <c r="A47" s="35" t="s">
        <v>143</v>
      </c>
      <c r="B47" s="36" t="s">
        <v>210</v>
      </c>
      <c r="C47" s="36" t="s">
        <v>211</v>
      </c>
    </row>
    <row r="48" spans="1:13" x14ac:dyDescent="0.2">
      <c r="A48" s="35" t="s">
        <v>137</v>
      </c>
      <c r="B48" s="36" t="s">
        <v>212</v>
      </c>
      <c r="C48" s="36" t="s">
        <v>213</v>
      </c>
    </row>
    <row r="49" spans="1:10" x14ac:dyDescent="0.2">
      <c r="A49" s="35" t="s">
        <v>138</v>
      </c>
      <c r="B49" s="36" t="s">
        <v>182</v>
      </c>
      <c r="C49" s="36" t="s">
        <v>214</v>
      </c>
    </row>
    <row r="50" spans="1:10" x14ac:dyDescent="0.2">
      <c r="A50" s="35" t="s">
        <v>149</v>
      </c>
      <c r="B50" s="36" t="s">
        <v>215</v>
      </c>
      <c r="C50" s="36" t="s">
        <v>216</v>
      </c>
      <c r="D50" s="50">
        <f t="shared" ref="D50:J50" si="5">+D51+D52+D53</f>
        <v>3763383.77</v>
      </c>
      <c r="E50" s="50">
        <f t="shared" si="5"/>
        <v>239086</v>
      </c>
      <c r="F50" s="50">
        <f t="shared" si="5"/>
        <v>27634894</v>
      </c>
      <c r="G50" s="50">
        <f t="shared" si="5"/>
        <v>3116922</v>
      </c>
      <c r="H50" s="50">
        <f t="shared" si="5"/>
        <v>775499</v>
      </c>
      <c r="I50" s="50">
        <f t="shared" si="5"/>
        <v>29955</v>
      </c>
      <c r="J50" s="50">
        <f t="shared" si="5"/>
        <v>130090</v>
      </c>
    </row>
    <row r="51" spans="1:10" x14ac:dyDescent="0.2">
      <c r="A51" s="35" t="s">
        <v>137</v>
      </c>
      <c r="B51" s="36" t="s">
        <v>217</v>
      </c>
      <c r="C51" s="36" t="s">
        <v>218</v>
      </c>
      <c r="D51" s="37">
        <f>3739261.62+24122.15</f>
        <v>3763383.77</v>
      </c>
      <c r="E51" s="37">
        <v>239086</v>
      </c>
      <c r="F51" s="37">
        <f>27618640+16254</f>
        <v>27634894</v>
      </c>
      <c r="G51" s="37">
        <f>2650167+466755</f>
        <v>3116922</v>
      </c>
      <c r="H51" s="37">
        <v>775499</v>
      </c>
      <c r="I51" s="37">
        <v>29955</v>
      </c>
      <c r="J51" s="37">
        <v>94590</v>
      </c>
    </row>
    <row r="52" spans="1:10" x14ac:dyDescent="0.2">
      <c r="A52" s="35" t="s">
        <v>138</v>
      </c>
      <c r="B52" s="36" t="s">
        <v>219</v>
      </c>
      <c r="C52" s="36" t="s">
        <v>220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35500</v>
      </c>
    </row>
    <row r="53" spans="1:10" x14ac:dyDescent="0.2">
      <c r="A53" s="35" t="s">
        <v>139</v>
      </c>
      <c r="B53" s="36" t="s">
        <v>547</v>
      </c>
      <c r="C53" s="36" t="s">
        <v>221</v>
      </c>
      <c r="D53" s="37"/>
      <c r="E53" s="37"/>
      <c r="F53" s="37"/>
      <c r="G53" s="37"/>
      <c r="H53" s="37"/>
      <c r="I53" s="37"/>
      <c r="J53" s="37">
        <v>0</v>
      </c>
    </row>
    <row r="54" spans="1:10" x14ac:dyDescent="0.2">
      <c r="A54" s="35" t="s">
        <v>150</v>
      </c>
      <c r="B54" s="36" t="s">
        <v>222</v>
      </c>
      <c r="C54" s="36" t="s">
        <v>223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</row>
    <row r="55" spans="1:10" x14ac:dyDescent="0.2">
      <c r="B55" s="36" t="s">
        <v>224</v>
      </c>
    </row>
    <row r="56" spans="1:10" x14ac:dyDescent="0.2">
      <c r="A56" s="35" t="s">
        <v>225</v>
      </c>
      <c r="B56" s="36" t="s">
        <v>226</v>
      </c>
      <c r="C56" s="36" t="s">
        <v>227</v>
      </c>
      <c r="D56" s="50"/>
      <c r="E56" s="50"/>
      <c r="F56" s="50"/>
      <c r="G56" s="50"/>
      <c r="H56" s="50"/>
      <c r="I56" s="50"/>
      <c r="J56" s="50"/>
    </row>
    <row r="57" spans="1:10" x14ac:dyDescent="0.2">
      <c r="A57" s="35" t="s">
        <v>137</v>
      </c>
      <c r="B57" s="36" t="s">
        <v>228</v>
      </c>
      <c r="C57" s="36" t="s">
        <v>229</v>
      </c>
      <c r="D57" s="37"/>
      <c r="E57" s="37"/>
      <c r="F57" s="37"/>
      <c r="G57" s="37"/>
      <c r="H57" s="37"/>
      <c r="I57" s="37"/>
      <c r="J57" s="37"/>
    </row>
    <row r="58" spans="1:10" x14ac:dyDescent="0.2">
      <c r="A58" s="35" t="s">
        <v>138</v>
      </c>
      <c r="B58" s="36" t="s">
        <v>230</v>
      </c>
      <c r="C58" s="36" t="s">
        <v>231</v>
      </c>
      <c r="D58" s="37"/>
      <c r="E58" s="37"/>
      <c r="F58" s="37"/>
      <c r="G58" s="37"/>
      <c r="H58" s="37"/>
      <c r="I58" s="37"/>
      <c r="J58" s="37"/>
    </row>
    <row r="59" spans="1:10" x14ac:dyDescent="0.2">
      <c r="A59" s="35" t="s">
        <v>139</v>
      </c>
      <c r="B59" s="36" t="s">
        <v>129</v>
      </c>
      <c r="C59" s="36" t="s">
        <v>232</v>
      </c>
    </row>
    <row r="60" spans="1:10" x14ac:dyDescent="0.2">
      <c r="B60" s="36" t="s">
        <v>233</v>
      </c>
      <c r="C60" s="36" t="s">
        <v>234</v>
      </c>
      <c r="D60" s="50">
        <f>+D12+D33</f>
        <v>150920431.76999998</v>
      </c>
      <c r="E60" s="50">
        <f t="shared" ref="E60:J60" si="6">+E12+E33</f>
        <v>107911251.45</v>
      </c>
      <c r="F60" s="50">
        <f t="shared" si="6"/>
        <v>35788878.549999997</v>
      </c>
      <c r="G60" s="50">
        <f t="shared" si="6"/>
        <v>15763452</v>
      </c>
      <c r="H60" s="50">
        <f t="shared" si="6"/>
        <v>3294690</v>
      </c>
      <c r="I60" s="50">
        <f t="shared" si="6"/>
        <v>40372</v>
      </c>
      <c r="J60" s="50">
        <f t="shared" si="6"/>
        <v>1162391</v>
      </c>
    </row>
    <row r="61" spans="1:10" x14ac:dyDescent="0.2">
      <c r="A61" s="35" t="s">
        <v>235</v>
      </c>
      <c r="B61" s="36" t="s">
        <v>236</v>
      </c>
      <c r="C61" s="36" t="s">
        <v>237</v>
      </c>
    </row>
    <row r="62" spans="1:10" x14ac:dyDescent="0.2">
      <c r="A62" s="35" t="s">
        <v>132</v>
      </c>
      <c r="B62" s="36" t="s">
        <v>238</v>
      </c>
      <c r="C62" s="36" t="s">
        <v>239</v>
      </c>
    </row>
    <row r="63" spans="1:10" x14ac:dyDescent="0.2">
      <c r="A63" s="35" t="s">
        <v>133</v>
      </c>
      <c r="B63" s="36" t="s">
        <v>240</v>
      </c>
      <c r="C63" s="36" t="s">
        <v>241</v>
      </c>
    </row>
    <row r="64" spans="1:10" x14ac:dyDescent="0.2">
      <c r="A64" s="35" t="s">
        <v>143</v>
      </c>
      <c r="B64" s="36" t="s">
        <v>242</v>
      </c>
      <c r="C64" s="36" t="s">
        <v>243</v>
      </c>
    </row>
    <row r="66" spans="1:10" x14ac:dyDescent="0.2">
      <c r="A66" s="35" t="s">
        <v>155</v>
      </c>
      <c r="B66" s="51" t="s">
        <v>244</v>
      </c>
      <c r="C66" s="36" t="s">
        <v>245</v>
      </c>
      <c r="D66" s="37">
        <f t="shared" ref="D66:J66" si="7">+D67</f>
        <v>38421344.549999997</v>
      </c>
      <c r="E66" s="37">
        <f t="shared" si="7"/>
        <v>44362423.450000003</v>
      </c>
      <c r="F66" s="37">
        <f t="shared" si="7"/>
        <v>26908191.550000001</v>
      </c>
      <c r="G66" s="37">
        <f t="shared" si="7"/>
        <v>439695</v>
      </c>
      <c r="H66" s="37">
        <f t="shared" si="7"/>
        <v>286511</v>
      </c>
      <c r="I66" s="37">
        <f t="shared" si="7"/>
        <v>-9848</v>
      </c>
      <c r="J66" s="37">
        <f t="shared" si="7"/>
        <v>989383</v>
      </c>
    </row>
    <row r="67" spans="1:10" x14ac:dyDescent="0.2">
      <c r="A67" s="35" t="s">
        <v>132</v>
      </c>
      <c r="B67" s="36" t="s">
        <v>246</v>
      </c>
      <c r="C67" s="36" t="s">
        <v>247</v>
      </c>
      <c r="D67" s="37">
        <f>+D69+D76+D77+D72</f>
        <v>38421344.549999997</v>
      </c>
      <c r="E67" s="37">
        <f t="shared" ref="E67:J67" si="8">+E69+E76+E77+E72</f>
        <v>44362423.450000003</v>
      </c>
      <c r="F67" s="37">
        <f t="shared" si="8"/>
        <v>26908191.550000001</v>
      </c>
      <c r="G67" s="37">
        <f t="shared" si="8"/>
        <v>439695</v>
      </c>
      <c r="H67" s="37">
        <f t="shared" si="8"/>
        <v>286511</v>
      </c>
      <c r="I67" s="37">
        <f t="shared" si="8"/>
        <v>-9848</v>
      </c>
      <c r="J67" s="37">
        <f t="shared" si="8"/>
        <v>989383</v>
      </c>
    </row>
    <row r="68" spans="1:10" x14ac:dyDescent="0.2">
      <c r="B68" s="36" t="s">
        <v>248</v>
      </c>
    </row>
    <row r="69" spans="1:10" x14ac:dyDescent="0.2">
      <c r="A69" s="35" t="s">
        <v>137</v>
      </c>
      <c r="B69" s="36" t="s">
        <v>249</v>
      </c>
      <c r="C69" s="36" t="s">
        <v>250</v>
      </c>
      <c r="D69" s="37">
        <v>100000</v>
      </c>
      <c r="E69" s="37">
        <v>100000</v>
      </c>
      <c r="F69" s="37">
        <v>100000</v>
      </c>
      <c r="G69" s="37">
        <v>100000</v>
      </c>
      <c r="H69" s="37">
        <v>100000</v>
      </c>
      <c r="I69" s="37">
        <v>100000</v>
      </c>
      <c r="J69" s="37">
        <v>0</v>
      </c>
    </row>
    <row r="70" spans="1:10" x14ac:dyDescent="0.2">
      <c r="A70" s="35" t="s">
        <v>138</v>
      </c>
      <c r="B70" s="36" t="s">
        <v>251</v>
      </c>
      <c r="C70" s="36" t="s">
        <v>252</v>
      </c>
      <c r="D70" s="37"/>
      <c r="E70" s="37"/>
      <c r="F70" s="37"/>
      <c r="G70" s="37"/>
      <c r="H70" s="37"/>
      <c r="I70" s="37"/>
      <c r="J70" s="37"/>
    </row>
    <row r="71" spans="1:10" x14ac:dyDescent="0.2">
      <c r="A71" s="35" t="s">
        <v>139</v>
      </c>
      <c r="B71" s="36" t="s">
        <v>253</v>
      </c>
      <c r="C71" s="36" t="s">
        <v>254</v>
      </c>
    </row>
    <row r="72" spans="1:10" x14ac:dyDescent="0.2">
      <c r="A72" s="35" t="s">
        <v>141</v>
      </c>
      <c r="B72" s="36" t="s">
        <v>255</v>
      </c>
      <c r="C72" s="36" t="s">
        <v>256</v>
      </c>
      <c r="D72" s="37"/>
      <c r="E72" s="37"/>
      <c r="F72" s="37"/>
      <c r="G72" s="37"/>
      <c r="H72" s="37"/>
      <c r="I72" s="37"/>
      <c r="J72" s="37"/>
    </row>
    <row r="73" spans="1:10" x14ac:dyDescent="0.2">
      <c r="B73" s="36" t="s">
        <v>257</v>
      </c>
      <c r="C73" s="36" t="s">
        <v>258</v>
      </c>
      <c r="D73" s="37"/>
      <c r="E73" s="37"/>
      <c r="F73" s="37"/>
      <c r="G73" s="37"/>
      <c r="H73" s="37"/>
      <c r="I73" s="37"/>
      <c r="J73" s="37"/>
    </row>
    <row r="74" spans="1:10" x14ac:dyDescent="0.2">
      <c r="B74" s="36" t="s">
        <v>259</v>
      </c>
      <c r="C74" s="36" t="s">
        <v>260</v>
      </c>
      <c r="D74" s="37"/>
      <c r="E74" s="37"/>
      <c r="F74" s="37"/>
      <c r="G74" s="37"/>
      <c r="H74" s="37"/>
      <c r="I74" s="37"/>
      <c r="J74" s="37"/>
    </row>
    <row r="75" spans="1:10" x14ac:dyDescent="0.2">
      <c r="B75" s="36" t="s">
        <v>261</v>
      </c>
      <c r="C75" s="36" t="s">
        <v>262</v>
      </c>
      <c r="D75" s="37"/>
      <c r="E75" s="37"/>
      <c r="F75" s="37"/>
      <c r="G75" s="37"/>
      <c r="H75" s="37"/>
      <c r="I75" s="37"/>
      <c r="J75" s="37"/>
    </row>
    <row r="76" spans="1:10" x14ac:dyDescent="0.2">
      <c r="A76" s="35" t="s">
        <v>142</v>
      </c>
      <c r="B76" s="36" t="s">
        <v>263</v>
      </c>
      <c r="C76" s="36" t="s">
        <v>264</v>
      </c>
      <c r="D76" s="37">
        <f>+E76+E77</f>
        <v>44262423.450000003</v>
      </c>
      <c r="E76" s="37">
        <f>+F76+F77</f>
        <v>26808191.550000001</v>
      </c>
      <c r="F76" s="37">
        <f>+G76+G77</f>
        <v>339695</v>
      </c>
      <c r="G76" s="37">
        <f>+H76</f>
        <v>-109848</v>
      </c>
      <c r="H76" s="37">
        <f>+I77</f>
        <v>-109848</v>
      </c>
      <c r="I76" s="37">
        <v>0</v>
      </c>
      <c r="J76" s="37">
        <v>0</v>
      </c>
    </row>
    <row r="77" spans="1:10" x14ac:dyDescent="0.2">
      <c r="A77" s="35" t="s">
        <v>165</v>
      </c>
      <c r="B77" s="36" t="s">
        <v>265</v>
      </c>
      <c r="C77" s="36" t="s">
        <v>266</v>
      </c>
      <c r="D77" s="37">
        <f>+'A-Sh BA'!C105</f>
        <v>-5941078.900000006</v>
      </c>
      <c r="E77" s="37">
        <f>+'A-Sh BA'!D105</f>
        <v>17454231.899999999</v>
      </c>
      <c r="F77" s="37">
        <f>+'A-Sh BA'!E105</f>
        <v>26468496.550000001</v>
      </c>
      <c r="G77" s="37">
        <f>+'A-Sh BA'!F105+H77+0.1</f>
        <v>449543</v>
      </c>
      <c r="H77" s="37">
        <f>+'A-Sh BA'!G105+0.1</f>
        <v>296359</v>
      </c>
      <c r="I77" s="37">
        <f>+'A-Sh BA'!H105</f>
        <v>-109848</v>
      </c>
      <c r="J77" s="37">
        <f>+'A-Sh BA'!I105</f>
        <v>989383</v>
      </c>
    </row>
    <row r="78" spans="1:10" x14ac:dyDescent="0.2">
      <c r="A78" s="35" t="s">
        <v>151</v>
      </c>
      <c r="B78" s="36" t="s">
        <v>267</v>
      </c>
      <c r="C78" s="36" t="s">
        <v>268</v>
      </c>
    </row>
    <row r="79" spans="1:10" x14ac:dyDescent="0.2">
      <c r="A79" s="35" t="s">
        <v>133</v>
      </c>
      <c r="B79" s="36" t="s">
        <v>269</v>
      </c>
      <c r="C79" s="36" t="s">
        <v>270</v>
      </c>
    </row>
    <row r="80" spans="1:10" x14ac:dyDescent="0.2">
      <c r="A80" s="35" t="s">
        <v>137</v>
      </c>
      <c r="B80" s="36" t="s">
        <v>271</v>
      </c>
      <c r="C80" s="36" t="s">
        <v>272</v>
      </c>
    </row>
    <row r="81" spans="1:10" x14ac:dyDescent="0.2">
      <c r="A81" s="35" t="s">
        <v>138</v>
      </c>
      <c r="B81" s="36" t="s">
        <v>273</v>
      </c>
      <c r="C81" s="36" t="s">
        <v>274</v>
      </c>
    </row>
    <row r="82" spans="1:10" x14ac:dyDescent="0.2">
      <c r="A82" s="35" t="s">
        <v>139</v>
      </c>
      <c r="B82" s="36" t="s">
        <v>275</v>
      </c>
      <c r="C82" s="36" t="s">
        <v>276</v>
      </c>
    </row>
    <row r="83" spans="1:10" x14ac:dyDescent="0.2">
      <c r="A83" s="35" t="s">
        <v>141</v>
      </c>
      <c r="B83" s="36" t="s">
        <v>277</v>
      </c>
      <c r="C83" s="36" t="s">
        <v>278</v>
      </c>
    </row>
    <row r="84" spans="1:10" x14ac:dyDescent="0.2">
      <c r="A84" s="35" t="s">
        <v>143</v>
      </c>
      <c r="B84" s="36" t="s">
        <v>279</v>
      </c>
      <c r="C84" s="36" t="s">
        <v>280</v>
      </c>
    </row>
    <row r="85" spans="1:10" x14ac:dyDescent="0.2">
      <c r="A85" s="35" t="s">
        <v>149</v>
      </c>
      <c r="B85" s="36" t="s">
        <v>281</v>
      </c>
      <c r="C85" s="36" t="s">
        <v>282</v>
      </c>
    </row>
    <row r="86" spans="1:10" x14ac:dyDescent="0.2">
      <c r="A86" s="35" t="s">
        <v>137</v>
      </c>
      <c r="B86" s="36" t="s">
        <v>283</v>
      </c>
      <c r="C86" s="36" t="s">
        <v>284</v>
      </c>
    </row>
    <row r="87" spans="1:10" x14ac:dyDescent="0.2">
      <c r="A87" s="35" t="s">
        <v>138</v>
      </c>
      <c r="B87" s="36" t="s">
        <v>285</v>
      </c>
      <c r="C87" s="36" t="s">
        <v>286</v>
      </c>
    </row>
    <row r="88" spans="1:10" x14ac:dyDescent="0.2">
      <c r="A88" s="35" t="s">
        <v>157</v>
      </c>
      <c r="B88" s="36" t="s">
        <v>287</v>
      </c>
      <c r="C88" s="36" t="s">
        <v>288</v>
      </c>
      <c r="D88" s="37">
        <f>+D97</f>
        <v>112499087.22</v>
      </c>
      <c r="E88" s="37">
        <f t="shared" ref="E88:J88" si="9">+E97</f>
        <v>63548828</v>
      </c>
      <c r="F88" s="37">
        <f t="shared" si="9"/>
        <v>8880687</v>
      </c>
      <c r="G88" s="37">
        <f t="shared" si="9"/>
        <v>15323757</v>
      </c>
      <c r="H88" s="37">
        <f t="shared" si="9"/>
        <v>3008179</v>
      </c>
      <c r="I88" s="37">
        <f t="shared" si="9"/>
        <v>50220</v>
      </c>
      <c r="J88" s="37">
        <f t="shared" si="9"/>
        <v>173008</v>
      </c>
    </row>
    <row r="89" spans="1:10" x14ac:dyDescent="0.2">
      <c r="A89" s="35" t="s">
        <v>132</v>
      </c>
      <c r="B89" s="36" t="s">
        <v>289</v>
      </c>
      <c r="C89" s="36" t="s">
        <v>290</v>
      </c>
      <c r="D89" s="37"/>
      <c r="E89" s="37"/>
      <c r="F89" s="37"/>
      <c r="G89" s="37"/>
      <c r="H89" s="37"/>
      <c r="I89" s="37"/>
      <c r="J89" s="37"/>
    </row>
    <row r="90" spans="1:10" x14ac:dyDescent="0.2">
      <c r="A90" s="35" t="s">
        <v>137</v>
      </c>
      <c r="B90" s="36" t="s">
        <v>291</v>
      </c>
      <c r="C90" s="36" t="s">
        <v>292</v>
      </c>
      <c r="D90" s="53"/>
      <c r="E90" s="53"/>
      <c r="F90" s="53"/>
      <c r="G90" s="53"/>
      <c r="H90" s="53"/>
      <c r="I90" s="53"/>
      <c r="J90" s="53"/>
    </row>
    <row r="91" spans="1:10" x14ac:dyDescent="0.2">
      <c r="A91" s="35" t="s">
        <v>138</v>
      </c>
      <c r="B91" s="36" t="s">
        <v>293</v>
      </c>
      <c r="C91" s="36" t="s">
        <v>294</v>
      </c>
    </row>
    <row r="92" spans="1:10" x14ac:dyDescent="0.2">
      <c r="A92" s="35" t="s">
        <v>139</v>
      </c>
      <c r="B92" s="36" t="s">
        <v>295</v>
      </c>
      <c r="C92" s="36" t="s">
        <v>296</v>
      </c>
      <c r="D92" s="53"/>
      <c r="E92" s="53"/>
      <c r="F92" s="53"/>
      <c r="G92" s="53"/>
      <c r="H92" s="53"/>
      <c r="I92" s="53"/>
      <c r="J92" s="53"/>
    </row>
    <row r="93" spans="1:10" x14ac:dyDescent="0.2">
      <c r="A93" s="35" t="s">
        <v>141</v>
      </c>
      <c r="B93" s="36" t="s">
        <v>297</v>
      </c>
      <c r="C93" s="36" t="s">
        <v>298</v>
      </c>
      <c r="D93" s="53"/>
      <c r="E93" s="53"/>
      <c r="F93" s="53"/>
      <c r="G93" s="53"/>
      <c r="H93" s="53"/>
      <c r="I93" s="53"/>
      <c r="J93" s="53"/>
    </row>
    <row r="94" spans="1:10" x14ac:dyDescent="0.2">
      <c r="A94" s="35" t="s">
        <v>142</v>
      </c>
      <c r="B94" s="36" t="s">
        <v>299</v>
      </c>
      <c r="C94" s="36" t="s">
        <v>300</v>
      </c>
    </row>
    <row r="95" spans="1:10" x14ac:dyDescent="0.2">
      <c r="A95" s="35" t="s">
        <v>165</v>
      </c>
      <c r="B95" s="36" t="s">
        <v>114</v>
      </c>
      <c r="C95" s="36" t="s">
        <v>301</v>
      </c>
    </row>
    <row r="96" spans="1:10" x14ac:dyDescent="0.2">
      <c r="A96" s="35" t="s">
        <v>151</v>
      </c>
      <c r="B96" s="36" t="s">
        <v>302</v>
      </c>
      <c r="C96" s="36" t="s">
        <v>303</v>
      </c>
      <c r="D96" s="37"/>
      <c r="E96" s="37"/>
      <c r="F96" s="37"/>
      <c r="G96" s="37"/>
      <c r="H96" s="37"/>
      <c r="I96" s="37"/>
      <c r="J96" s="37"/>
    </row>
    <row r="97" spans="1:10" x14ac:dyDescent="0.2">
      <c r="A97" s="35" t="s">
        <v>133</v>
      </c>
      <c r="B97" s="36" t="s">
        <v>304</v>
      </c>
      <c r="C97" s="36" t="s">
        <v>305</v>
      </c>
      <c r="D97" s="37">
        <f t="shared" ref="D97:J97" si="10">+D98+D99+D100+D101+D102+D103+D104+D105+D106+D107</f>
        <v>112499087.22</v>
      </c>
      <c r="E97" s="37">
        <f t="shared" si="10"/>
        <v>63548828</v>
      </c>
      <c r="F97" s="37">
        <f t="shared" si="10"/>
        <v>8880687</v>
      </c>
      <c r="G97" s="37">
        <f t="shared" si="10"/>
        <v>15323757</v>
      </c>
      <c r="H97" s="37">
        <f t="shared" si="10"/>
        <v>3008179</v>
      </c>
      <c r="I97" s="37">
        <f t="shared" si="10"/>
        <v>50220</v>
      </c>
      <c r="J97" s="37">
        <f t="shared" si="10"/>
        <v>173008</v>
      </c>
    </row>
    <row r="98" spans="1:10" x14ac:dyDescent="0.2">
      <c r="A98" s="35" t="s">
        <v>137</v>
      </c>
      <c r="B98" s="36" t="s">
        <v>291</v>
      </c>
      <c r="C98" s="36" t="s">
        <v>306</v>
      </c>
      <c r="D98" s="37">
        <v>73000000</v>
      </c>
      <c r="E98" s="37">
        <v>24700000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</row>
    <row r="99" spans="1:10" x14ac:dyDescent="0.2">
      <c r="A99" s="35" t="s">
        <v>138</v>
      </c>
      <c r="B99" s="36" t="s">
        <v>293</v>
      </c>
      <c r="C99" s="36" t="s">
        <v>307</v>
      </c>
    </row>
    <row r="100" spans="1:10" x14ac:dyDescent="0.2">
      <c r="A100" s="35" t="s">
        <v>139</v>
      </c>
      <c r="B100" s="36" t="s">
        <v>308</v>
      </c>
      <c r="C100" s="36" t="s">
        <v>309</v>
      </c>
    </row>
    <row r="101" spans="1:10" x14ac:dyDescent="0.2">
      <c r="A101" s="35" t="s">
        <v>141</v>
      </c>
      <c r="B101" s="36" t="s">
        <v>297</v>
      </c>
      <c r="C101" s="36" t="s">
        <v>310</v>
      </c>
      <c r="D101" s="37">
        <v>37093741.219999999</v>
      </c>
      <c r="E101" s="37">
        <v>34527831</v>
      </c>
      <c r="F101" s="37">
        <v>2532133</v>
      </c>
      <c r="G101" s="37">
        <v>14131356</v>
      </c>
      <c r="H101" s="37">
        <v>2593054</v>
      </c>
      <c r="I101" s="37">
        <v>0</v>
      </c>
      <c r="J101" s="37">
        <v>0</v>
      </c>
    </row>
    <row r="102" spans="1:10" x14ac:dyDescent="0.2">
      <c r="A102" s="35" t="s">
        <v>142</v>
      </c>
      <c r="B102" s="36" t="s">
        <v>311</v>
      </c>
      <c r="C102" s="36" t="s">
        <v>312</v>
      </c>
      <c r="D102" s="53">
        <v>1232000</v>
      </c>
      <c r="E102" s="53">
        <v>864330</v>
      </c>
      <c r="F102" s="53">
        <v>1011528</v>
      </c>
      <c r="G102" s="53">
        <v>499032</v>
      </c>
      <c r="H102" s="53">
        <v>370730</v>
      </c>
      <c r="I102" s="53"/>
      <c r="J102" s="53"/>
    </row>
    <row r="103" spans="1:10" x14ac:dyDescent="0.2">
      <c r="A103" s="35" t="s">
        <v>165</v>
      </c>
      <c r="B103" s="36" t="s">
        <v>556</v>
      </c>
      <c r="C103" s="36" t="s">
        <v>313</v>
      </c>
      <c r="D103" s="53">
        <v>398141</v>
      </c>
      <c r="E103" s="53">
        <v>476219</v>
      </c>
      <c r="F103" s="53">
        <v>239044</v>
      </c>
      <c r="G103" s="53">
        <v>310017</v>
      </c>
      <c r="H103" s="53">
        <v>25110</v>
      </c>
      <c r="I103" s="53">
        <v>50220</v>
      </c>
      <c r="J103" s="53">
        <v>34044</v>
      </c>
    </row>
    <row r="104" spans="1:10" x14ac:dyDescent="0.2">
      <c r="A104" s="35" t="s">
        <v>151</v>
      </c>
      <c r="B104" s="36" t="s">
        <v>557</v>
      </c>
      <c r="C104" s="36" t="s">
        <v>314</v>
      </c>
      <c r="D104" s="53">
        <f>3150+772055</f>
        <v>775205</v>
      </c>
      <c r="E104" s="53">
        <f>4726+2975722</f>
        <v>2980448</v>
      </c>
      <c r="F104" s="53">
        <f>3150+826958+4267874</f>
        <v>5097982</v>
      </c>
      <c r="G104" s="53">
        <f>355858+3150+24344</f>
        <v>383352</v>
      </c>
      <c r="H104" s="53">
        <f>1500+17785</f>
        <v>19285</v>
      </c>
      <c r="I104" s="53">
        <v>0</v>
      </c>
      <c r="J104" s="53">
        <f>34200+30000+74764</f>
        <v>138964</v>
      </c>
    </row>
    <row r="105" spans="1:10" x14ac:dyDescent="0.2">
      <c r="A105" s="35" t="s">
        <v>315</v>
      </c>
      <c r="B105" s="36" t="s">
        <v>114</v>
      </c>
      <c r="C105" s="36" t="s">
        <v>316</v>
      </c>
      <c r="D105" s="53"/>
      <c r="E105" s="53"/>
      <c r="F105" s="53"/>
      <c r="G105" s="53"/>
      <c r="H105" s="53"/>
      <c r="I105" s="53">
        <v>0</v>
      </c>
      <c r="J105" s="53"/>
    </row>
    <row r="106" spans="1:10" x14ac:dyDescent="0.2">
      <c r="A106" s="35" t="s">
        <v>317</v>
      </c>
      <c r="B106" s="36" t="s">
        <v>318</v>
      </c>
      <c r="C106" s="36" t="s">
        <v>319</v>
      </c>
      <c r="D106" s="53"/>
      <c r="E106" s="53"/>
      <c r="F106" s="53"/>
      <c r="G106" s="53"/>
      <c r="H106" s="53"/>
      <c r="I106" s="53"/>
      <c r="J106" s="53"/>
    </row>
    <row r="107" spans="1:10" x14ac:dyDescent="0.2">
      <c r="A107" s="35" t="s">
        <v>143</v>
      </c>
      <c r="B107" s="36" t="s">
        <v>320</v>
      </c>
      <c r="C107" s="36" t="s">
        <v>321</v>
      </c>
      <c r="D107" s="54"/>
      <c r="E107" s="54"/>
      <c r="F107" s="54"/>
      <c r="G107" s="54"/>
      <c r="H107" s="54"/>
      <c r="I107" s="54"/>
      <c r="J107" s="54"/>
    </row>
    <row r="108" spans="1:10" x14ac:dyDescent="0.2">
      <c r="A108" s="35" t="s">
        <v>186</v>
      </c>
      <c r="B108" s="36" t="s">
        <v>226</v>
      </c>
      <c r="C108" s="36" t="s">
        <v>322</v>
      </c>
      <c r="D108" s="53"/>
      <c r="E108" s="53"/>
      <c r="F108" s="53"/>
      <c r="G108" s="53"/>
      <c r="H108" s="53"/>
      <c r="I108" s="53"/>
      <c r="J108" s="53"/>
    </row>
    <row r="109" spans="1:10" x14ac:dyDescent="0.2">
      <c r="A109" s="35" t="s">
        <v>137</v>
      </c>
      <c r="B109" s="36" t="s">
        <v>323</v>
      </c>
      <c r="C109" s="36" t="s">
        <v>324</v>
      </c>
      <c r="D109" s="37"/>
      <c r="E109" s="37"/>
      <c r="F109" s="37"/>
      <c r="G109" s="37"/>
      <c r="H109" s="37"/>
      <c r="I109" s="37"/>
      <c r="J109" s="37"/>
    </row>
    <row r="110" spans="1:10" x14ac:dyDescent="0.2">
      <c r="A110" s="35" t="s">
        <v>138</v>
      </c>
      <c r="B110" s="36" t="s">
        <v>106</v>
      </c>
      <c r="C110" s="36" t="s">
        <v>325</v>
      </c>
    </row>
    <row r="111" spans="1:10" x14ac:dyDescent="0.2">
      <c r="B111" s="36" t="s">
        <v>326</v>
      </c>
      <c r="C111" s="36" t="s">
        <v>327</v>
      </c>
      <c r="D111" s="50">
        <f>+D108+D88+D66</f>
        <v>150920431.76999998</v>
      </c>
      <c r="E111" s="50">
        <f t="shared" ref="E111:J111" si="11">+E108+E88+E66</f>
        <v>107911251.45</v>
      </c>
      <c r="F111" s="50">
        <f t="shared" si="11"/>
        <v>35788878.549999997</v>
      </c>
      <c r="G111" s="50">
        <f t="shared" si="11"/>
        <v>15763452</v>
      </c>
      <c r="H111" s="50">
        <f t="shared" si="11"/>
        <v>3294690</v>
      </c>
      <c r="I111" s="50">
        <f t="shared" si="11"/>
        <v>40372</v>
      </c>
      <c r="J111" s="50">
        <f t="shared" si="11"/>
        <v>1162391</v>
      </c>
    </row>
    <row r="112" spans="1:10" x14ac:dyDescent="0.2">
      <c r="B112" s="36" t="s">
        <v>236</v>
      </c>
      <c r="C112" s="36" t="s">
        <v>328</v>
      </c>
    </row>
    <row r="113" spans="1:10" x14ac:dyDescent="0.2">
      <c r="A113" s="35" t="s">
        <v>137</v>
      </c>
      <c r="B113" s="36" t="s">
        <v>329</v>
      </c>
      <c r="C113" s="36" t="s">
        <v>330</v>
      </c>
    </row>
    <row r="114" spans="1:10" x14ac:dyDescent="0.2">
      <c r="A114" s="35" t="s">
        <v>138</v>
      </c>
      <c r="B114" s="36" t="s">
        <v>331</v>
      </c>
      <c r="C114" s="36" t="s">
        <v>332</v>
      </c>
    </row>
    <row r="115" spans="1:10" x14ac:dyDescent="0.2">
      <c r="A115" s="35" t="s">
        <v>139</v>
      </c>
      <c r="B115" s="36" t="s">
        <v>333</v>
      </c>
      <c r="C115" s="36" t="s">
        <v>334</v>
      </c>
    </row>
    <row r="116" spans="1:10" x14ac:dyDescent="0.2">
      <c r="C116" s="36" t="s">
        <v>335</v>
      </c>
    </row>
    <row r="118" spans="1:10" x14ac:dyDescent="0.2">
      <c r="A118" s="38"/>
      <c r="D118" s="57">
        <f>+D60-D111</f>
        <v>0</v>
      </c>
      <c r="E118" s="57">
        <f t="shared" ref="E118:J118" si="12">+E60-E111</f>
        <v>0</v>
      </c>
      <c r="F118" s="57">
        <f t="shared" si="12"/>
        <v>0</v>
      </c>
      <c r="G118" s="57">
        <f t="shared" si="12"/>
        <v>0</v>
      </c>
      <c r="H118" s="57">
        <f t="shared" si="12"/>
        <v>0</v>
      </c>
      <c r="I118" s="57">
        <f t="shared" si="12"/>
        <v>0</v>
      </c>
      <c r="J118" s="57">
        <f t="shared" si="12"/>
        <v>0</v>
      </c>
    </row>
    <row r="119" spans="1:10" x14ac:dyDescent="0.2">
      <c r="D119" s="57"/>
    </row>
    <row r="120" spans="1:10" x14ac:dyDescent="0.2">
      <c r="D120" s="78"/>
      <c r="E120" s="78"/>
      <c r="F120" s="78"/>
      <c r="G120" s="78"/>
      <c r="H120" s="78"/>
      <c r="I120" s="78"/>
      <c r="J120" s="78"/>
    </row>
    <row r="122" spans="1:10" x14ac:dyDescent="0.2">
      <c r="D122" s="57"/>
    </row>
    <row r="124" spans="1:10" x14ac:dyDescent="0.2">
      <c r="D124" s="78"/>
      <c r="E124" s="78"/>
      <c r="F124" s="78"/>
      <c r="G124" s="78"/>
      <c r="H124" s="78"/>
      <c r="I124" s="78"/>
      <c r="J124" s="78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opLeftCell="A76" workbookViewId="0">
      <selection activeCell="L31" sqref="L31"/>
    </sheetView>
  </sheetViews>
  <sheetFormatPr defaultColWidth="11.42578125" defaultRowHeight="12.75" x14ac:dyDescent="0.2"/>
  <cols>
    <col min="1" max="1" width="5.5703125" style="39" customWidth="1"/>
    <col min="2" max="2" width="47.42578125" style="39" bestFit="1" customWidth="1"/>
    <col min="3" max="4" width="15.28515625" style="39" customWidth="1"/>
    <col min="5" max="9" width="15.28515625" style="39" hidden="1" customWidth="1"/>
    <col min="10" max="10" width="11.42578125" style="39" hidden="1" customWidth="1"/>
    <col min="11" max="12" width="11.42578125" style="39"/>
    <col min="13" max="14" width="11.42578125" style="39" customWidth="1"/>
    <col min="15" max="16384" width="11.42578125" style="39"/>
  </cols>
  <sheetData>
    <row r="1" spans="1:9" ht="18" x14ac:dyDescent="0.2">
      <c r="B1" s="40" t="s">
        <v>337</v>
      </c>
    </row>
    <row r="3" spans="1:9" ht="14.25" x14ac:dyDescent="0.2">
      <c r="B3" s="41" t="s">
        <v>338</v>
      </c>
    </row>
    <row r="5" spans="1:9" x14ac:dyDescent="0.2">
      <c r="C5" s="336"/>
      <c r="D5" s="336"/>
      <c r="E5" s="336"/>
      <c r="F5" s="336"/>
      <c r="G5" s="336"/>
      <c r="H5" s="336"/>
      <c r="I5" s="336"/>
    </row>
    <row r="9" spans="1:9" ht="15" x14ac:dyDescent="0.2">
      <c r="A9" s="42" t="s">
        <v>339</v>
      </c>
      <c r="B9" s="43" t="s">
        <v>340</v>
      </c>
      <c r="C9" s="42" t="s">
        <v>697</v>
      </c>
      <c r="D9" s="42" t="s">
        <v>684</v>
      </c>
      <c r="E9" s="42" t="s">
        <v>662</v>
      </c>
      <c r="F9" s="42" t="s">
        <v>661</v>
      </c>
      <c r="G9" s="42" t="s">
        <v>550</v>
      </c>
      <c r="H9" s="42">
        <v>2014</v>
      </c>
      <c r="I9" s="42" t="s">
        <v>537</v>
      </c>
    </row>
    <row r="12" spans="1:9" x14ac:dyDescent="0.2">
      <c r="A12" s="44" t="s">
        <v>132</v>
      </c>
      <c r="B12" s="45" t="s">
        <v>341</v>
      </c>
      <c r="C12" s="55">
        <f>SUM(C14:C15)</f>
        <v>252525325</v>
      </c>
      <c r="D12" s="55">
        <f t="shared" ref="D12:I12" si="0">SUM(D14:D15)</f>
        <v>301001005</v>
      </c>
      <c r="E12" s="55">
        <f t="shared" si="0"/>
        <v>197083125</v>
      </c>
      <c r="F12" s="55">
        <f t="shared" si="0"/>
        <v>51741515</v>
      </c>
      <c r="G12" s="55">
        <f t="shared" si="0"/>
        <v>7775620</v>
      </c>
      <c r="H12" s="55">
        <f t="shared" si="0"/>
        <v>1441665</v>
      </c>
      <c r="I12" s="55">
        <f t="shared" si="0"/>
        <v>6419730</v>
      </c>
    </row>
    <row r="13" spans="1:9" x14ac:dyDescent="0.2">
      <c r="A13" s="44" t="s">
        <v>123</v>
      </c>
      <c r="B13" s="45" t="s">
        <v>342</v>
      </c>
    </row>
    <row r="14" spans="1:9" x14ac:dyDescent="0.2">
      <c r="A14" s="44" t="s">
        <v>124</v>
      </c>
      <c r="B14" s="45" t="s">
        <v>343</v>
      </c>
      <c r="C14" s="248">
        <v>252525325</v>
      </c>
      <c r="D14" s="248">
        <v>301001005</v>
      </c>
      <c r="E14" s="248">
        <v>197083125</v>
      </c>
      <c r="F14" s="248">
        <v>51741515</v>
      </c>
      <c r="G14" s="248">
        <v>7775620</v>
      </c>
      <c r="H14" s="248">
        <v>1441665</v>
      </c>
      <c r="I14" s="248">
        <v>6419730</v>
      </c>
    </row>
    <row r="15" spans="1:9" x14ac:dyDescent="0.2">
      <c r="A15" s="44" t="s">
        <v>125</v>
      </c>
      <c r="B15" s="45" t="s">
        <v>344</v>
      </c>
      <c r="C15" s="248"/>
      <c r="D15" s="248"/>
      <c r="E15" s="248"/>
      <c r="F15" s="248"/>
      <c r="G15" s="248"/>
      <c r="H15" s="248"/>
      <c r="I15" s="248"/>
    </row>
    <row r="16" spans="1:9" x14ac:dyDescent="0.2">
      <c r="A16" s="44" t="s">
        <v>126</v>
      </c>
      <c r="B16" s="45" t="s">
        <v>345</v>
      </c>
    </row>
    <row r="17" spans="1:9" x14ac:dyDescent="0.2">
      <c r="B17" s="45" t="s">
        <v>346</v>
      </c>
      <c r="C17" s="55">
        <f>SUM(C14:C15)</f>
        <v>252525325</v>
      </c>
      <c r="D17" s="55">
        <f t="shared" ref="D17:I17" si="1">SUM(D14:D15)</f>
        <v>301001005</v>
      </c>
      <c r="E17" s="55">
        <f t="shared" si="1"/>
        <v>197083125</v>
      </c>
      <c r="F17" s="55">
        <f t="shared" si="1"/>
        <v>51741515</v>
      </c>
      <c r="G17" s="55">
        <f t="shared" si="1"/>
        <v>7775620</v>
      </c>
      <c r="H17" s="55">
        <f t="shared" si="1"/>
        <v>1441665</v>
      </c>
      <c r="I17" s="55">
        <f t="shared" si="1"/>
        <v>6419730</v>
      </c>
    </row>
    <row r="18" spans="1:9" x14ac:dyDescent="0.2">
      <c r="B18" s="45" t="s">
        <v>347</v>
      </c>
    </row>
    <row r="19" spans="1:9" x14ac:dyDescent="0.2">
      <c r="A19" s="44" t="s">
        <v>133</v>
      </c>
      <c r="B19" s="45" t="s">
        <v>348</v>
      </c>
      <c r="C19" s="55"/>
      <c r="D19" s="55"/>
      <c r="E19" s="55"/>
      <c r="F19" s="55"/>
      <c r="G19" s="55"/>
      <c r="H19" s="55"/>
      <c r="I19" s="55"/>
    </row>
    <row r="20" spans="1:9" x14ac:dyDescent="0.2">
      <c r="A20" s="44" t="s">
        <v>127</v>
      </c>
      <c r="B20" s="45" t="s">
        <v>349</v>
      </c>
    </row>
    <row r="21" spans="1:9" x14ac:dyDescent="0.2">
      <c r="A21" s="44" t="s">
        <v>134</v>
      </c>
      <c r="B21" s="45" t="s">
        <v>350</v>
      </c>
    </row>
    <row r="22" spans="1:9" x14ac:dyDescent="0.2">
      <c r="A22" s="44" t="s">
        <v>135</v>
      </c>
      <c r="B22" s="45" t="s">
        <v>351</v>
      </c>
    </row>
    <row r="23" spans="1:9" x14ac:dyDescent="0.2">
      <c r="A23" s="44" t="s">
        <v>136</v>
      </c>
      <c r="B23" s="45" t="s">
        <v>352</v>
      </c>
      <c r="C23" s="46"/>
      <c r="D23" s="46"/>
      <c r="E23" s="46"/>
      <c r="F23" s="46"/>
      <c r="G23" s="46"/>
      <c r="H23" s="46"/>
      <c r="I23" s="46"/>
    </row>
    <row r="24" spans="1:9" x14ac:dyDescent="0.2">
      <c r="A24" s="44" t="s">
        <v>137</v>
      </c>
      <c r="B24" s="45" t="s">
        <v>353</v>
      </c>
      <c r="C24" s="46"/>
      <c r="D24" s="46"/>
      <c r="E24" s="46"/>
      <c r="F24" s="46"/>
      <c r="G24" s="46"/>
      <c r="H24" s="46"/>
      <c r="I24" s="46"/>
    </row>
    <row r="25" spans="1:9" x14ac:dyDescent="0.2">
      <c r="A25" s="44" t="s">
        <v>138</v>
      </c>
      <c r="B25" s="45" t="s">
        <v>354</v>
      </c>
    </row>
    <row r="26" spans="1:9" x14ac:dyDescent="0.2">
      <c r="A26" s="44" t="s">
        <v>139</v>
      </c>
      <c r="B26" s="45" t="s">
        <v>106</v>
      </c>
      <c r="C26" s="46"/>
      <c r="D26" s="46"/>
      <c r="E26" s="46"/>
      <c r="F26" s="46"/>
      <c r="G26" s="46"/>
      <c r="H26" s="46"/>
      <c r="I26" s="46"/>
    </row>
    <row r="28" spans="1:9" x14ac:dyDescent="0.2">
      <c r="A28" s="44" t="s">
        <v>140</v>
      </c>
      <c r="B28" s="45" t="s">
        <v>355</v>
      </c>
    </row>
    <row r="29" spans="1:9" x14ac:dyDescent="0.2">
      <c r="A29" s="44" t="s">
        <v>137</v>
      </c>
      <c r="B29" s="45" t="s">
        <v>356</v>
      </c>
    </row>
    <row r="30" spans="1:9" x14ac:dyDescent="0.2">
      <c r="A30" s="44" t="s">
        <v>138</v>
      </c>
      <c r="B30" s="45" t="s">
        <v>357</v>
      </c>
    </row>
    <row r="31" spans="1:9" x14ac:dyDescent="0.2">
      <c r="A31" s="44" t="s">
        <v>139</v>
      </c>
      <c r="B31" s="45" t="s">
        <v>358</v>
      </c>
    </row>
    <row r="32" spans="1:9" x14ac:dyDescent="0.2">
      <c r="A32" s="44" t="s">
        <v>141</v>
      </c>
      <c r="B32" s="45" t="s">
        <v>359</v>
      </c>
    </row>
    <row r="33" spans="1:9" x14ac:dyDescent="0.2">
      <c r="A33" s="44" t="s">
        <v>142</v>
      </c>
      <c r="B33" s="45" t="s">
        <v>360</v>
      </c>
    </row>
    <row r="34" spans="1:9" x14ac:dyDescent="0.2">
      <c r="B34" s="45" t="s">
        <v>361</v>
      </c>
      <c r="C34" s="46">
        <f>+C17+C19</f>
        <v>252525325</v>
      </c>
      <c r="D34" s="46">
        <f t="shared" ref="D34:I34" si="2">+D17+D19</f>
        <v>301001005</v>
      </c>
      <c r="E34" s="46">
        <f t="shared" si="2"/>
        <v>197083125</v>
      </c>
      <c r="F34" s="46">
        <f t="shared" si="2"/>
        <v>51741515</v>
      </c>
      <c r="G34" s="46">
        <f t="shared" si="2"/>
        <v>7775620</v>
      </c>
      <c r="H34" s="46">
        <f t="shared" si="2"/>
        <v>1441665</v>
      </c>
      <c r="I34" s="46">
        <f t="shared" si="2"/>
        <v>6419730</v>
      </c>
    </row>
    <row r="36" spans="1:9" x14ac:dyDescent="0.2">
      <c r="A36" s="44" t="s">
        <v>143</v>
      </c>
      <c r="B36" s="45" t="s">
        <v>362</v>
      </c>
      <c r="C36" s="55">
        <f t="shared" ref="C36:I36" si="3">SUM(C37:C41)</f>
        <v>-1.7462298274040222E-10</v>
      </c>
      <c r="D36" s="55">
        <f t="shared" si="3"/>
        <v>-1.7462298274040222E-10</v>
      </c>
      <c r="E36" s="55">
        <f t="shared" si="3"/>
        <v>-1.7462298274040222E-10</v>
      </c>
      <c r="F36" s="55">
        <f t="shared" si="3"/>
        <v>-1.7462298274040222E-10</v>
      </c>
      <c r="G36" s="55">
        <f t="shared" si="3"/>
        <v>-1.7462298274040222E-10</v>
      </c>
      <c r="H36" s="55">
        <f t="shared" si="3"/>
        <v>-1.7462298274040222E-10</v>
      </c>
      <c r="I36" s="55">
        <f t="shared" si="3"/>
        <v>-1.7462298274040222E-10</v>
      </c>
    </row>
    <row r="37" spans="1:9" x14ac:dyDescent="0.2">
      <c r="A37" s="44" t="s">
        <v>144</v>
      </c>
      <c r="B37" s="45" t="s">
        <v>363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44" t="s">
        <v>145</v>
      </c>
      <c r="B38" s="45" t="s">
        <v>364</v>
      </c>
    </row>
    <row r="39" spans="1:9" x14ac:dyDescent="0.2">
      <c r="A39" s="44" t="s">
        <v>146</v>
      </c>
      <c r="B39" s="45" t="s">
        <v>365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44" t="s">
        <v>147</v>
      </c>
      <c r="B40" s="45" t="s">
        <v>366</v>
      </c>
    </row>
    <row r="41" spans="1:9" x14ac:dyDescent="0.2">
      <c r="A41" s="44" t="s">
        <v>148</v>
      </c>
      <c r="B41" s="45" t="s">
        <v>367</v>
      </c>
      <c r="C41" s="46">
        <v>-1.7462298274040222E-10</v>
      </c>
      <c r="D41" s="46">
        <v>-1.7462298274040222E-10</v>
      </c>
      <c r="E41" s="46">
        <v>-1.7462298274040222E-10</v>
      </c>
      <c r="F41" s="46">
        <v>-1.7462298274040222E-10</v>
      </c>
      <c r="G41" s="46">
        <v>-1.7462298274040222E-10</v>
      </c>
      <c r="H41" s="46">
        <v>-1.7462298274040222E-10</v>
      </c>
      <c r="I41" s="46">
        <v>-1.7462298274040222E-10</v>
      </c>
    </row>
    <row r="43" spans="1:9" x14ac:dyDescent="0.2">
      <c r="B43" s="45" t="s">
        <v>368</v>
      </c>
      <c r="C43" s="55">
        <f>+C34</f>
        <v>252525325</v>
      </c>
      <c r="D43" s="55">
        <f t="shared" ref="D43:I43" si="4">+D34</f>
        <v>301001005</v>
      </c>
      <c r="E43" s="55">
        <f t="shared" si="4"/>
        <v>197083125</v>
      </c>
      <c r="F43" s="55">
        <f t="shared" si="4"/>
        <v>51741515</v>
      </c>
      <c r="G43" s="55">
        <f t="shared" si="4"/>
        <v>7775620</v>
      </c>
      <c r="H43" s="55">
        <f t="shared" si="4"/>
        <v>1441665</v>
      </c>
      <c r="I43" s="55">
        <f t="shared" si="4"/>
        <v>6419730</v>
      </c>
    </row>
    <row r="45" spans="1:9" x14ac:dyDescent="0.2">
      <c r="B45" s="45" t="s">
        <v>369</v>
      </c>
    </row>
    <row r="46" spans="1:9" x14ac:dyDescent="0.2">
      <c r="B46" s="45" t="s">
        <v>370</v>
      </c>
    </row>
    <row r="47" spans="1:9" x14ac:dyDescent="0.2">
      <c r="A47" s="44" t="s">
        <v>149</v>
      </c>
      <c r="B47" s="45" t="s">
        <v>371</v>
      </c>
    </row>
    <row r="48" spans="1:9" x14ac:dyDescent="0.2">
      <c r="B48" s="45" t="s">
        <v>372</v>
      </c>
    </row>
    <row r="49" spans="1:9" x14ac:dyDescent="0.2">
      <c r="B49" s="45" t="s">
        <v>370</v>
      </c>
    </row>
    <row r="50" spans="1:9" x14ac:dyDescent="0.2">
      <c r="A50" s="44" t="s">
        <v>150</v>
      </c>
      <c r="B50" s="45" t="s">
        <v>373</v>
      </c>
    </row>
    <row r="51" spans="1:9" x14ac:dyDescent="0.2">
      <c r="B51" s="45" t="s">
        <v>370</v>
      </c>
    </row>
    <row r="52" spans="1:9" x14ac:dyDescent="0.2">
      <c r="B52" s="45"/>
    </row>
    <row r="53" spans="1:9" x14ac:dyDescent="0.2">
      <c r="B53" s="45"/>
    </row>
    <row r="54" spans="1:9" x14ac:dyDescent="0.2">
      <c r="B54" s="45"/>
    </row>
    <row r="55" spans="1:9" x14ac:dyDescent="0.2">
      <c r="B55" s="45"/>
    </row>
    <row r="56" spans="1:9" x14ac:dyDescent="0.2">
      <c r="B56" s="45"/>
    </row>
    <row r="57" spans="1:9" x14ac:dyDescent="0.2">
      <c r="B57" s="45"/>
    </row>
    <row r="58" spans="1:9" x14ac:dyDescent="0.2">
      <c r="B58" s="45"/>
    </row>
    <row r="60" spans="1:9" ht="15" x14ac:dyDescent="0.2">
      <c r="A60" s="42" t="s">
        <v>339</v>
      </c>
      <c r="B60" s="43" t="s">
        <v>374</v>
      </c>
      <c r="C60" s="42" t="str">
        <f>+C9</f>
        <v>Vlefta 2018</v>
      </c>
      <c r="D60" s="42" t="str">
        <f t="shared" ref="D60:I60" si="5">+D9</f>
        <v>Vlefta 2017</v>
      </c>
      <c r="E60" s="42" t="str">
        <f t="shared" si="5"/>
        <v>Vlefta 2016</v>
      </c>
      <c r="F60" s="42" t="str">
        <f t="shared" si="5"/>
        <v>Vlefta 2015</v>
      </c>
      <c r="G60" s="42" t="str">
        <f t="shared" si="5"/>
        <v>Vlefta 2014</v>
      </c>
      <c r="H60" s="42">
        <f t="shared" si="5"/>
        <v>2014</v>
      </c>
      <c r="I60" s="42" t="str">
        <f t="shared" si="5"/>
        <v>Vlefta 2012</v>
      </c>
    </row>
    <row r="63" spans="1:9" x14ac:dyDescent="0.2">
      <c r="A63" s="44" t="s">
        <v>132</v>
      </c>
      <c r="B63" s="45" t="s">
        <v>375</v>
      </c>
    </row>
    <row r="64" spans="1:9" x14ac:dyDescent="0.2">
      <c r="A64" s="44" t="s">
        <v>133</v>
      </c>
      <c r="B64" s="45" t="s">
        <v>376</v>
      </c>
      <c r="C64" s="55">
        <f t="shared" ref="C64:I64" si="6">+C65+C68+C71+C72+C77+C81+C76</f>
        <v>257460532.90000001</v>
      </c>
      <c r="D64" s="55">
        <f t="shared" si="6"/>
        <v>279911277</v>
      </c>
      <c r="E64" s="55">
        <f t="shared" si="6"/>
        <v>165902409</v>
      </c>
      <c r="F64" s="55">
        <f t="shared" si="6"/>
        <v>51461129</v>
      </c>
      <c r="G64" s="55">
        <f t="shared" si="6"/>
        <v>7455232</v>
      </c>
      <c r="H64" s="55">
        <f t="shared" si="6"/>
        <v>1551513</v>
      </c>
      <c r="I64" s="55">
        <f t="shared" si="6"/>
        <v>4335600</v>
      </c>
    </row>
    <row r="65" spans="1:9" x14ac:dyDescent="0.2">
      <c r="A65" s="44" t="s">
        <v>123</v>
      </c>
      <c r="B65" s="45" t="s">
        <v>377</v>
      </c>
      <c r="C65" s="315">
        <f>SUM(C66:C67)</f>
        <v>239895292</v>
      </c>
      <c r="D65" s="315">
        <f>SUM(D66:D67)</f>
        <v>214502823</v>
      </c>
      <c r="E65" s="315">
        <f>SUM(E66:E67)</f>
        <v>146916226</v>
      </c>
      <c r="F65" s="315">
        <f>SUM(F66:F67)</f>
        <v>42581114</v>
      </c>
      <c r="G65" s="315">
        <f>SUM(G66:G67)</f>
        <v>6506923</v>
      </c>
      <c r="H65" s="315">
        <f>+H66</f>
        <v>817123</v>
      </c>
      <c r="I65" s="315">
        <f>+I66</f>
        <v>0</v>
      </c>
    </row>
    <row r="66" spans="1:9" x14ac:dyDescent="0.2">
      <c r="A66" s="44" t="s">
        <v>137</v>
      </c>
      <c r="B66" s="45" t="s">
        <v>378</v>
      </c>
      <c r="C66" s="46">
        <f>239895292</f>
        <v>239895292</v>
      </c>
      <c r="D66" s="46">
        <f>211462966+3039857</f>
        <v>214502823</v>
      </c>
      <c r="E66" s="46">
        <v>143838581</v>
      </c>
      <c r="F66" s="46">
        <v>44037435</v>
      </c>
      <c r="G66" s="46">
        <v>8128247</v>
      </c>
      <c r="H66" s="46">
        <v>817123</v>
      </c>
      <c r="I66" s="46">
        <v>0</v>
      </c>
    </row>
    <row r="67" spans="1:9" x14ac:dyDescent="0.2">
      <c r="A67" s="44" t="s">
        <v>138</v>
      </c>
      <c r="B67" s="45" t="s">
        <v>379</v>
      </c>
      <c r="C67" s="46">
        <f>+BA!E35</f>
        <v>0</v>
      </c>
      <c r="D67" s="46">
        <f>+BA!F35</f>
        <v>0</v>
      </c>
      <c r="E67" s="46">
        <f>+BA!G35</f>
        <v>3077645</v>
      </c>
      <c r="F67" s="46">
        <v>-1456321</v>
      </c>
      <c r="G67" s="46">
        <v>-1621324</v>
      </c>
    </row>
    <row r="68" spans="1:9" x14ac:dyDescent="0.2">
      <c r="A68" s="44" t="s">
        <v>124</v>
      </c>
      <c r="B68" s="45" t="s">
        <v>380</v>
      </c>
      <c r="C68" s="316">
        <f t="shared" ref="C68:I68" si="7">SUM(C69:C70)</f>
        <v>0</v>
      </c>
      <c r="D68" s="316">
        <f t="shared" si="7"/>
        <v>0</v>
      </c>
      <c r="E68" s="316">
        <f t="shared" si="7"/>
        <v>0</v>
      </c>
      <c r="F68" s="316">
        <f t="shared" si="7"/>
        <v>0</v>
      </c>
      <c r="G68" s="316">
        <f t="shared" si="7"/>
        <v>0</v>
      </c>
      <c r="H68" s="316">
        <f t="shared" si="7"/>
        <v>0</v>
      </c>
      <c r="I68" s="316">
        <f t="shared" si="7"/>
        <v>0</v>
      </c>
    </row>
    <row r="69" spans="1:9" x14ac:dyDescent="0.2">
      <c r="A69" s="44" t="s">
        <v>137</v>
      </c>
      <c r="B69" s="45" t="s">
        <v>381</v>
      </c>
      <c r="C69" s="314">
        <v>0</v>
      </c>
      <c r="D69" s="314">
        <v>0</v>
      </c>
      <c r="E69" s="314">
        <v>0</v>
      </c>
      <c r="F69" s="314">
        <v>0</v>
      </c>
      <c r="G69" s="314">
        <v>0</v>
      </c>
      <c r="H69" s="314">
        <v>0</v>
      </c>
      <c r="I69" s="314">
        <v>0</v>
      </c>
    </row>
    <row r="70" spans="1:9" x14ac:dyDescent="0.2">
      <c r="A70" s="44" t="s">
        <v>138</v>
      </c>
      <c r="B70" s="45" t="s">
        <v>382</v>
      </c>
      <c r="C70" s="314">
        <v>0</v>
      </c>
      <c r="D70" s="314">
        <v>0</v>
      </c>
      <c r="E70" s="314">
        <v>0</v>
      </c>
      <c r="F70" s="314">
        <v>0</v>
      </c>
      <c r="G70" s="314">
        <v>0</v>
      </c>
      <c r="H70" s="314">
        <v>0</v>
      </c>
      <c r="I70" s="314">
        <v>0</v>
      </c>
    </row>
    <row r="71" spans="1:9" x14ac:dyDescent="0.2">
      <c r="A71" s="44" t="s">
        <v>125</v>
      </c>
      <c r="B71" s="45" t="s">
        <v>383</v>
      </c>
      <c r="C71" s="251">
        <f>135966+204750+43162+467078+467871+94378+119013+40500+938.9</f>
        <v>1573656.9</v>
      </c>
      <c r="D71" s="251">
        <f>80630+210000+168873+49460+314152+50601332+31705+68568</f>
        <v>51524720</v>
      </c>
      <c r="E71" s="251">
        <f>128130+252000+10000+38500+436061+4997513+109969+20067+469872+68945</f>
        <v>6531057</v>
      </c>
      <c r="F71" s="251">
        <f>146000+6667+2400+136883+2356252+413083+5580+225000+18606</f>
        <v>3310471</v>
      </c>
      <c r="G71" s="251">
        <f>40000+7500+2750</f>
        <v>50250</v>
      </c>
      <c r="H71" s="251">
        <f>320000+10000+126600+450</f>
        <v>457050</v>
      </c>
      <c r="I71" s="251">
        <f>301832+3426556</f>
        <v>3728388</v>
      </c>
    </row>
    <row r="72" spans="1:9" x14ac:dyDescent="0.2">
      <c r="A72" s="44" t="s">
        <v>126</v>
      </c>
      <c r="B72" s="45" t="s">
        <v>384</v>
      </c>
      <c r="C72" s="251">
        <f t="shared" ref="C72:I72" si="8">+C73+C74+C75</f>
        <v>15224479</v>
      </c>
      <c r="D72" s="251">
        <f t="shared" si="8"/>
        <v>13027120</v>
      </c>
      <c r="E72" s="251">
        <f t="shared" si="8"/>
        <v>11992883</v>
      </c>
      <c r="F72" s="251">
        <f t="shared" si="8"/>
        <v>5395944</v>
      </c>
      <c r="G72" s="251">
        <f t="shared" si="8"/>
        <v>839559</v>
      </c>
      <c r="H72" s="251">
        <f t="shared" si="8"/>
        <v>275762</v>
      </c>
      <c r="I72" s="251">
        <f t="shared" si="8"/>
        <v>351588</v>
      </c>
    </row>
    <row r="73" spans="1:9" x14ac:dyDescent="0.2">
      <c r="A73" s="44" t="s">
        <v>137</v>
      </c>
      <c r="B73" s="45" t="s">
        <v>385</v>
      </c>
      <c r="C73" s="252">
        <v>13061850</v>
      </c>
      <c r="D73" s="252">
        <v>11168650</v>
      </c>
      <c r="E73" s="252">
        <v>10303800</v>
      </c>
      <c r="F73" s="252">
        <v>4636000</v>
      </c>
      <c r="G73" s="252">
        <v>717550</v>
      </c>
      <c r="H73" s="252">
        <v>236300</v>
      </c>
      <c r="I73" s="252">
        <v>246000</v>
      </c>
    </row>
    <row r="74" spans="1:9" x14ac:dyDescent="0.2">
      <c r="A74" s="44" t="s">
        <v>138</v>
      </c>
      <c r="B74" s="45" t="s">
        <v>386</v>
      </c>
      <c r="C74" s="250">
        <v>0</v>
      </c>
      <c r="D74" s="250">
        <v>0</v>
      </c>
      <c r="E74" s="250">
        <v>0</v>
      </c>
      <c r="F74" s="250">
        <v>0</v>
      </c>
      <c r="G74" s="250">
        <v>0</v>
      </c>
      <c r="H74" s="250">
        <v>0</v>
      </c>
      <c r="I74" s="250">
        <v>0</v>
      </c>
    </row>
    <row r="75" spans="1:9" x14ac:dyDescent="0.2">
      <c r="A75" s="44" t="s">
        <v>139</v>
      </c>
      <c r="B75" s="45" t="s">
        <v>387</v>
      </c>
      <c r="C75" s="252">
        <v>2162629</v>
      </c>
      <c r="D75" s="252">
        <v>1858470</v>
      </c>
      <c r="E75" s="252">
        <v>1689083</v>
      </c>
      <c r="F75" s="252">
        <v>759944</v>
      </c>
      <c r="G75" s="252">
        <v>122009</v>
      </c>
      <c r="H75" s="252">
        <v>39462</v>
      </c>
      <c r="I75" s="252">
        <v>105588</v>
      </c>
    </row>
    <row r="76" spans="1:9" x14ac:dyDescent="0.2">
      <c r="A76" s="44" t="s">
        <v>127</v>
      </c>
      <c r="B76" s="45" t="s">
        <v>388</v>
      </c>
      <c r="C76" s="249">
        <f>67000+227341</f>
        <v>294341</v>
      </c>
      <c r="D76" s="249">
        <v>67300</v>
      </c>
      <c r="E76" s="249">
        <f>123067+9328</f>
        <v>132395</v>
      </c>
      <c r="F76" s="249">
        <v>838</v>
      </c>
      <c r="G76" s="249">
        <f>7240+51260</f>
        <v>58500</v>
      </c>
      <c r="H76" s="249">
        <v>1578</v>
      </c>
      <c r="I76" s="249">
        <v>12120</v>
      </c>
    </row>
    <row r="77" spans="1:9" x14ac:dyDescent="0.2">
      <c r="A77" s="44" t="s">
        <v>134</v>
      </c>
      <c r="B77" s="45" t="s">
        <v>389</v>
      </c>
      <c r="C77" s="251">
        <f>SUM(C78:C80)</f>
        <v>79566</v>
      </c>
      <c r="D77" s="251">
        <f>SUM(D78:D80)</f>
        <v>281353</v>
      </c>
      <c r="E77" s="251">
        <f>SUM(E78:E80)</f>
        <v>177357</v>
      </c>
      <c r="F77" s="251">
        <f>SUM(F78:F80)</f>
        <v>154545</v>
      </c>
      <c r="G77" s="251">
        <f>SUM(G78:G80)</f>
        <v>0</v>
      </c>
      <c r="H77" s="251">
        <f>+H78+H79+H80</f>
        <v>0</v>
      </c>
      <c r="I77" s="251">
        <f>+I78+I79+I80</f>
        <v>0</v>
      </c>
    </row>
    <row r="78" spans="1:9" x14ac:dyDescent="0.2">
      <c r="A78" s="44" t="s">
        <v>137</v>
      </c>
      <c r="B78" s="45" t="s">
        <v>390</v>
      </c>
      <c r="C78" s="249">
        <v>0</v>
      </c>
      <c r="D78" s="249">
        <v>0</v>
      </c>
      <c r="E78" s="249">
        <v>0</v>
      </c>
      <c r="F78" s="249">
        <v>0</v>
      </c>
      <c r="G78" s="249">
        <v>0</v>
      </c>
      <c r="H78" s="249">
        <v>0</v>
      </c>
      <c r="I78" s="249">
        <v>0</v>
      </c>
    </row>
    <row r="79" spans="1:9" x14ac:dyDescent="0.2">
      <c r="A79" s="44" t="s">
        <v>138</v>
      </c>
      <c r="B79" s="45" t="s">
        <v>391</v>
      </c>
      <c r="C79" s="250"/>
      <c r="D79" s="250"/>
      <c r="E79" s="250"/>
      <c r="F79" s="250"/>
      <c r="G79" s="250"/>
      <c r="H79" s="250"/>
      <c r="I79" s="250"/>
    </row>
    <row r="80" spans="1:9" x14ac:dyDescent="0.2">
      <c r="A80" s="44" t="s">
        <v>139</v>
      </c>
      <c r="B80" s="45" t="s">
        <v>106</v>
      </c>
      <c r="C80" s="317">
        <v>79566</v>
      </c>
      <c r="D80" s="317">
        <v>281353</v>
      </c>
      <c r="E80" s="317">
        <v>177357</v>
      </c>
      <c r="F80" s="317">
        <v>154545</v>
      </c>
      <c r="G80" s="317">
        <v>0</v>
      </c>
      <c r="H80" s="317">
        <v>0</v>
      </c>
      <c r="I80" s="317">
        <v>0</v>
      </c>
    </row>
    <row r="81" spans="1:9" x14ac:dyDescent="0.2">
      <c r="A81" s="44" t="s">
        <v>135</v>
      </c>
      <c r="B81" s="45" t="s">
        <v>392</v>
      </c>
      <c r="C81" s="251">
        <f t="shared" ref="C81:I81" si="9">+C82+C83+C84+C85+C86+C87</f>
        <v>393198</v>
      </c>
      <c r="D81" s="251">
        <f t="shared" si="9"/>
        <v>507961</v>
      </c>
      <c r="E81" s="251">
        <f t="shared" si="9"/>
        <v>152491</v>
      </c>
      <c r="F81" s="251">
        <f t="shared" si="9"/>
        <v>18217</v>
      </c>
      <c r="G81" s="251">
        <f t="shared" si="9"/>
        <v>0</v>
      </c>
      <c r="H81" s="251">
        <f t="shared" si="9"/>
        <v>0</v>
      </c>
      <c r="I81" s="251">
        <f t="shared" si="9"/>
        <v>243504</v>
      </c>
    </row>
    <row r="82" spans="1:9" x14ac:dyDescent="0.2">
      <c r="A82" s="44" t="s">
        <v>137</v>
      </c>
      <c r="B82" s="45" t="s">
        <v>393</v>
      </c>
      <c r="C82" s="249">
        <v>393198</v>
      </c>
      <c r="D82" s="249">
        <v>507961</v>
      </c>
      <c r="E82" s="249">
        <v>152491</v>
      </c>
      <c r="F82" s="249">
        <v>18217</v>
      </c>
      <c r="G82" s="249">
        <v>0</v>
      </c>
      <c r="H82" s="249">
        <v>0</v>
      </c>
      <c r="I82" s="249">
        <v>243504</v>
      </c>
    </row>
    <row r="83" spans="1:9" x14ac:dyDescent="0.2">
      <c r="A83" s="44" t="s">
        <v>138</v>
      </c>
      <c r="B83" s="45" t="s">
        <v>394</v>
      </c>
      <c r="C83" s="250"/>
      <c r="D83" s="250"/>
      <c r="E83" s="250"/>
      <c r="F83" s="250"/>
      <c r="G83" s="250"/>
      <c r="H83" s="250"/>
      <c r="I83" s="250"/>
    </row>
    <row r="84" spans="1:9" x14ac:dyDescent="0.2">
      <c r="A84" s="44" t="s">
        <v>139</v>
      </c>
      <c r="B84" s="45" t="s">
        <v>395</v>
      </c>
      <c r="C84" s="250"/>
      <c r="D84" s="250"/>
      <c r="E84" s="250"/>
      <c r="F84" s="250"/>
      <c r="G84" s="250"/>
      <c r="H84" s="250"/>
      <c r="I84" s="250"/>
    </row>
    <row r="85" spans="1:9" x14ac:dyDescent="0.2">
      <c r="A85" s="44" t="s">
        <v>141</v>
      </c>
      <c r="B85" s="45" t="s">
        <v>131</v>
      </c>
      <c r="C85" s="250"/>
      <c r="D85" s="250"/>
      <c r="E85" s="250"/>
      <c r="F85" s="250"/>
      <c r="G85" s="250"/>
      <c r="H85" s="250"/>
      <c r="I85" s="250"/>
    </row>
    <row r="86" spans="1:9" x14ac:dyDescent="0.2">
      <c r="A86" s="44" t="s">
        <v>142</v>
      </c>
      <c r="B86" s="45" t="s">
        <v>396</v>
      </c>
      <c r="C86" s="250"/>
      <c r="D86" s="250"/>
      <c r="E86" s="250"/>
      <c r="F86" s="250"/>
      <c r="G86" s="250"/>
      <c r="H86" s="250"/>
      <c r="I86" s="250"/>
    </row>
    <row r="87" spans="1:9" x14ac:dyDescent="0.2">
      <c r="A87" s="44" t="s">
        <v>151</v>
      </c>
      <c r="B87" s="45" t="s">
        <v>106</v>
      </c>
      <c r="C87" s="250"/>
      <c r="D87" s="250"/>
      <c r="E87" s="250"/>
      <c r="F87" s="250"/>
      <c r="G87" s="250"/>
      <c r="H87" s="250"/>
      <c r="I87" s="250"/>
    </row>
    <row r="88" spans="1:9" x14ac:dyDescent="0.2">
      <c r="B88" s="45" t="s">
        <v>361</v>
      </c>
      <c r="C88" s="251">
        <f>+C64+C63</f>
        <v>257460532.90000001</v>
      </c>
      <c r="D88" s="251">
        <f t="shared" ref="D88:I88" si="10">+D64+D63</f>
        <v>279911277</v>
      </c>
      <c r="E88" s="251">
        <f t="shared" si="10"/>
        <v>165902409</v>
      </c>
      <c r="F88" s="251">
        <f t="shared" si="10"/>
        <v>51461129</v>
      </c>
      <c r="G88" s="251">
        <f t="shared" si="10"/>
        <v>7455232</v>
      </c>
      <c r="H88" s="251">
        <f t="shared" si="10"/>
        <v>1551513</v>
      </c>
      <c r="I88" s="251">
        <f t="shared" si="10"/>
        <v>4335600</v>
      </c>
    </row>
    <row r="89" spans="1:9" x14ac:dyDescent="0.2">
      <c r="A89" s="44" t="s">
        <v>143</v>
      </c>
      <c r="B89" s="45" t="s">
        <v>397</v>
      </c>
      <c r="C89" s="251">
        <f t="shared" ref="C89:I89" si="11">+C90+C91+C92+C93+C94+C95</f>
        <v>1005871</v>
      </c>
      <c r="D89" s="251">
        <f t="shared" si="11"/>
        <v>505687</v>
      </c>
      <c r="E89" s="251">
        <f t="shared" si="11"/>
        <v>10010</v>
      </c>
      <c r="F89" s="251">
        <f t="shared" si="11"/>
        <v>0</v>
      </c>
      <c r="G89" s="251">
        <f t="shared" si="11"/>
        <v>0</v>
      </c>
      <c r="H89" s="251">
        <f t="shared" si="11"/>
        <v>0</v>
      </c>
      <c r="I89" s="251">
        <f t="shared" si="11"/>
        <v>973704</v>
      </c>
    </row>
    <row r="90" spans="1:9" x14ac:dyDescent="0.2">
      <c r="A90" s="44" t="s">
        <v>136</v>
      </c>
      <c r="B90" s="45" t="s">
        <v>398</v>
      </c>
      <c r="C90" s="249">
        <v>1005871</v>
      </c>
      <c r="D90" s="249">
        <v>505687</v>
      </c>
      <c r="E90" s="249">
        <v>0</v>
      </c>
      <c r="F90" s="249">
        <v>0</v>
      </c>
      <c r="G90" s="249">
        <v>0</v>
      </c>
      <c r="H90" s="249">
        <v>0</v>
      </c>
      <c r="I90" s="249">
        <f>3150+970554</f>
        <v>973704</v>
      </c>
    </row>
    <row r="91" spans="1:9" x14ac:dyDescent="0.2">
      <c r="A91" s="44" t="s">
        <v>140</v>
      </c>
      <c r="B91" s="45" t="s">
        <v>399</v>
      </c>
      <c r="C91" s="250"/>
      <c r="D91" s="250"/>
      <c r="E91" s="250"/>
      <c r="F91" s="250"/>
      <c r="G91" s="250"/>
      <c r="H91" s="250"/>
      <c r="I91" s="250"/>
    </row>
    <row r="92" spans="1:9" x14ac:dyDescent="0.2">
      <c r="A92" s="44" t="s">
        <v>144</v>
      </c>
      <c r="B92" s="45" t="s">
        <v>400</v>
      </c>
      <c r="C92" s="249"/>
      <c r="D92" s="249"/>
      <c r="E92" s="249">
        <v>10010</v>
      </c>
      <c r="F92" s="249"/>
      <c r="G92" s="249"/>
      <c r="H92" s="249"/>
      <c r="I92" s="249"/>
    </row>
    <row r="93" spans="1:9" x14ac:dyDescent="0.2">
      <c r="A93" s="44" t="s">
        <v>145</v>
      </c>
      <c r="B93" s="45" t="s">
        <v>401</v>
      </c>
      <c r="C93" s="250"/>
      <c r="D93" s="250"/>
      <c r="E93" s="250"/>
      <c r="F93" s="250"/>
      <c r="G93" s="250"/>
      <c r="H93" s="250"/>
      <c r="I93" s="250"/>
    </row>
    <row r="94" spans="1:9" x14ac:dyDescent="0.2">
      <c r="A94" s="44" t="s">
        <v>146</v>
      </c>
      <c r="B94" s="45" t="s">
        <v>402</v>
      </c>
      <c r="C94" s="250"/>
      <c r="D94" s="250"/>
      <c r="E94" s="250"/>
      <c r="F94" s="250"/>
      <c r="G94" s="250"/>
      <c r="H94" s="250"/>
      <c r="I94" s="250"/>
    </row>
    <row r="95" spans="1:9" x14ac:dyDescent="0.2">
      <c r="A95" s="44" t="s">
        <v>147</v>
      </c>
      <c r="B95" s="45" t="s">
        <v>106</v>
      </c>
      <c r="C95" s="250"/>
      <c r="D95" s="250"/>
      <c r="E95" s="250"/>
      <c r="F95" s="250"/>
      <c r="G95" s="250"/>
      <c r="H95" s="250"/>
      <c r="I95" s="250"/>
    </row>
    <row r="96" spans="1:9" x14ac:dyDescent="0.2">
      <c r="B96" s="45" t="s">
        <v>403</v>
      </c>
      <c r="C96" s="251">
        <f>+C88+C89</f>
        <v>258466403.90000001</v>
      </c>
      <c r="D96" s="251">
        <f t="shared" ref="D96:I96" si="12">+D88+D89</f>
        <v>280416964</v>
      </c>
      <c r="E96" s="251">
        <f t="shared" si="12"/>
        <v>165912419</v>
      </c>
      <c r="F96" s="251">
        <f t="shared" si="12"/>
        <v>51461129</v>
      </c>
      <c r="G96" s="251">
        <f t="shared" si="12"/>
        <v>7455232</v>
      </c>
      <c r="H96" s="251">
        <f t="shared" si="12"/>
        <v>1551513</v>
      </c>
      <c r="I96" s="251">
        <f t="shared" si="12"/>
        <v>5309304</v>
      </c>
    </row>
    <row r="97" spans="1:9" x14ac:dyDescent="0.2">
      <c r="B97" s="45" t="s">
        <v>404</v>
      </c>
      <c r="C97" s="249">
        <f t="shared" ref="C97:I97" si="13">+C43-C96</f>
        <v>-5941078.900000006</v>
      </c>
      <c r="D97" s="249">
        <f t="shared" si="13"/>
        <v>20584041</v>
      </c>
      <c r="E97" s="249">
        <f t="shared" si="13"/>
        <v>31170706</v>
      </c>
      <c r="F97" s="249">
        <f t="shared" si="13"/>
        <v>280386</v>
      </c>
      <c r="G97" s="249">
        <f t="shared" si="13"/>
        <v>320388</v>
      </c>
      <c r="H97" s="249">
        <f t="shared" si="13"/>
        <v>-109848</v>
      </c>
      <c r="I97" s="249">
        <f t="shared" si="13"/>
        <v>1110426</v>
      </c>
    </row>
    <row r="98" spans="1:9" x14ac:dyDescent="0.2">
      <c r="A98" s="44" t="s">
        <v>149</v>
      </c>
      <c r="B98" s="45" t="s">
        <v>405</v>
      </c>
      <c r="C98" s="250"/>
      <c r="D98" s="250"/>
      <c r="E98" s="250"/>
      <c r="F98" s="250"/>
      <c r="G98" s="250"/>
      <c r="H98" s="250"/>
      <c r="I98" s="250"/>
    </row>
    <row r="99" spans="1:9" x14ac:dyDescent="0.2">
      <c r="B99" s="45" t="s">
        <v>372</v>
      </c>
      <c r="C99" s="250"/>
      <c r="D99" s="250"/>
      <c r="E99" s="250"/>
      <c r="F99" s="250"/>
      <c r="G99" s="250"/>
      <c r="H99" s="250"/>
      <c r="I99" s="250"/>
    </row>
    <row r="100" spans="1:9" x14ac:dyDescent="0.2">
      <c r="A100" s="44" t="s">
        <v>150</v>
      </c>
      <c r="B100" s="45" t="s">
        <v>406</v>
      </c>
      <c r="C100" s="249">
        <f>+C97</f>
        <v>-5941078.900000006</v>
      </c>
      <c r="D100" s="249">
        <f t="shared" ref="D100:I100" si="14">+D97</f>
        <v>20584041</v>
      </c>
      <c r="E100" s="249">
        <f t="shared" si="14"/>
        <v>31170706</v>
      </c>
      <c r="F100" s="249">
        <f t="shared" si="14"/>
        <v>280386</v>
      </c>
      <c r="G100" s="249">
        <f t="shared" si="14"/>
        <v>320388</v>
      </c>
      <c r="H100" s="249">
        <f t="shared" si="14"/>
        <v>-109848</v>
      </c>
      <c r="I100" s="249">
        <f t="shared" si="14"/>
        <v>1110426</v>
      </c>
    </row>
    <row r="101" spans="1:9" x14ac:dyDescent="0.2">
      <c r="A101" s="44" t="s">
        <v>407</v>
      </c>
      <c r="B101" s="45" t="s">
        <v>408</v>
      </c>
      <c r="C101" s="249"/>
      <c r="D101" s="249">
        <f>+(D100+D77)*15%</f>
        <v>3129809.1</v>
      </c>
      <c r="E101" s="249">
        <f>+(E100+E77)*15%</f>
        <v>4702209.45</v>
      </c>
      <c r="F101" s="249">
        <f>+(F100+F77+413083)*15%</f>
        <v>127202.09999999999</v>
      </c>
      <c r="G101" s="249">
        <f>+(G100+G77)*7.5%</f>
        <v>24029.1</v>
      </c>
      <c r="H101" s="249">
        <v>0</v>
      </c>
      <c r="I101" s="249">
        <v>121043</v>
      </c>
    </row>
    <row r="102" spans="1:9" x14ac:dyDescent="0.2">
      <c r="A102" s="44" t="s">
        <v>137</v>
      </c>
      <c r="B102" s="45" t="s">
        <v>409</v>
      </c>
      <c r="C102" s="251">
        <f>+C101</f>
        <v>0</v>
      </c>
      <c r="D102" s="251">
        <f>+D101</f>
        <v>3129809.1</v>
      </c>
      <c r="E102" s="251">
        <f>+E101</f>
        <v>4702209.45</v>
      </c>
      <c r="F102" s="251">
        <f>+F101</f>
        <v>127202.09999999999</v>
      </c>
      <c r="G102" s="251">
        <f>+G101</f>
        <v>24029.1</v>
      </c>
      <c r="H102" s="251">
        <v>0</v>
      </c>
      <c r="I102" s="251">
        <v>121043</v>
      </c>
    </row>
    <row r="103" spans="1:9" x14ac:dyDescent="0.2">
      <c r="B103" s="45" t="s">
        <v>410</v>
      </c>
      <c r="C103" s="250"/>
      <c r="D103" s="250"/>
      <c r="E103" s="250"/>
      <c r="F103" s="250"/>
      <c r="G103" s="250"/>
      <c r="H103" s="250"/>
      <c r="I103" s="250"/>
    </row>
    <row r="104" spans="1:9" x14ac:dyDescent="0.2">
      <c r="A104" s="44" t="s">
        <v>138</v>
      </c>
      <c r="B104" s="45" t="s">
        <v>411</v>
      </c>
      <c r="C104" s="250"/>
      <c r="D104" s="250"/>
      <c r="E104" s="250"/>
      <c r="F104" s="250"/>
      <c r="G104" s="250"/>
      <c r="H104" s="250"/>
      <c r="I104" s="250"/>
    </row>
    <row r="105" spans="1:9" x14ac:dyDescent="0.2">
      <c r="A105" s="44" t="s">
        <v>412</v>
      </c>
      <c r="B105" s="45" t="s">
        <v>413</v>
      </c>
      <c r="C105" s="251">
        <f>+C100-C102</f>
        <v>-5941078.900000006</v>
      </c>
      <c r="D105" s="251">
        <f t="shared" ref="D105:I105" si="15">+D100-D102</f>
        <v>17454231.899999999</v>
      </c>
      <c r="E105" s="251">
        <f t="shared" si="15"/>
        <v>26468496.550000001</v>
      </c>
      <c r="F105" s="251">
        <f t="shared" si="15"/>
        <v>153183.90000000002</v>
      </c>
      <c r="G105" s="251">
        <f t="shared" si="15"/>
        <v>296358.90000000002</v>
      </c>
      <c r="H105" s="251">
        <f t="shared" si="15"/>
        <v>-109848</v>
      </c>
      <c r="I105" s="251">
        <f t="shared" si="15"/>
        <v>989383</v>
      </c>
    </row>
    <row r="107" spans="1:9" x14ac:dyDescent="0.2">
      <c r="C107" s="250"/>
      <c r="D107" s="250"/>
      <c r="E107" s="250"/>
      <c r="F107" s="250"/>
      <c r="G107" s="250"/>
      <c r="H107" s="250"/>
      <c r="I107" s="250"/>
    </row>
    <row r="110" spans="1:9" ht="13.5" x14ac:dyDescent="0.2">
      <c r="A110" s="47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58"/>
  <sheetViews>
    <sheetView topLeftCell="A123" zoomScale="80" workbookViewId="0">
      <selection activeCell="S151" sqref="S151"/>
    </sheetView>
  </sheetViews>
  <sheetFormatPr defaultRowHeight="15" x14ac:dyDescent="0.25"/>
  <cols>
    <col min="1" max="1" width="3.85546875" style="16" customWidth="1"/>
    <col min="2" max="2" width="49.28515625" style="16" customWidth="1"/>
    <col min="3" max="4" width="17.7109375" style="16" customWidth="1"/>
    <col min="5" max="7" width="17.7109375" style="16" hidden="1" customWidth="1"/>
    <col min="8" max="11" width="19.28515625" style="16" hidden="1" customWidth="1"/>
    <col min="12" max="12" width="16" style="23" hidden="1" customWidth="1"/>
    <col min="13" max="16384" width="9.140625" style="16"/>
  </cols>
  <sheetData>
    <row r="3" spans="2:11" x14ac:dyDescent="0.25">
      <c r="B3" s="292" t="s">
        <v>95</v>
      </c>
      <c r="C3" s="286"/>
      <c r="D3" s="286"/>
      <c r="E3" s="286"/>
      <c r="F3" s="292"/>
      <c r="G3" s="286"/>
      <c r="H3" s="286"/>
      <c r="I3" s="286"/>
      <c r="J3" s="286"/>
      <c r="K3" s="286"/>
    </row>
    <row r="4" spans="2:11" x14ac:dyDescent="0.25">
      <c r="B4" s="292" t="s">
        <v>487</v>
      </c>
      <c r="C4" s="286"/>
      <c r="D4" s="286"/>
      <c r="E4" s="286"/>
      <c r="F4" s="292"/>
      <c r="G4" s="286"/>
      <c r="H4" s="286"/>
      <c r="I4" s="286"/>
      <c r="J4" s="286"/>
      <c r="K4" s="286"/>
    </row>
    <row r="5" spans="2:11" x14ac:dyDescent="0.25">
      <c r="B5" s="293" t="s">
        <v>451</v>
      </c>
      <c r="C5" s="287" t="s">
        <v>724</v>
      </c>
      <c r="D5" s="287" t="s">
        <v>687</v>
      </c>
      <c r="E5" s="287" t="s">
        <v>680</v>
      </c>
      <c r="F5" s="293"/>
      <c r="G5" s="287" t="s">
        <v>618</v>
      </c>
      <c r="H5" s="287" t="s">
        <v>617</v>
      </c>
      <c r="I5" s="287" t="s">
        <v>553</v>
      </c>
      <c r="J5" s="287" t="s">
        <v>538</v>
      </c>
      <c r="K5" s="287" t="s">
        <v>533</v>
      </c>
    </row>
    <row r="6" spans="2:11" x14ac:dyDescent="0.25">
      <c r="B6" s="293" t="s">
        <v>96</v>
      </c>
      <c r="C6" s="294">
        <f>+BA!D52</f>
        <v>0</v>
      </c>
      <c r="D6" s="294">
        <f>+BA!E52</f>
        <v>0</v>
      </c>
      <c r="E6" s="294">
        <f>+BA!F52</f>
        <v>0</v>
      </c>
      <c r="F6" s="293"/>
      <c r="G6" s="294">
        <f>+BA!G52</f>
        <v>0</v>
      </c>
      <c r="H6" s="294">
        <f>+BA!H52</f>
        <v>0</v>
      </c>
      <c r="I6" s="294">
        <f>+BA!I52</f>
        <v>0</v>
      </c>
      <c r="J6" s="294">
        <f>+BA!J52</f>
        <v>35500</v>
      </c>
      <c r="K6" s="294" t="e">
        <f>+BA!#REF!</f>
        <v>#REF!</v>
      </c>
    </row>
    <row r="7" spans="2:11" x14ac:dyDescent="0.25">
      <c r="B7" s="293" t="s">
        <v>97</v>
      </c>
      <c r="C7" s="294">
        <f>+BA!D51</f>
        <v>3763383.77</v>
      </c>
      <c r="D7" s="294">
        <f>+BA!E51</f>
        <v>239086</v>
      </c>
      <c r="E7" s="294">
        <f>+BA!F51</f>
        <v>27634894</v>
      </c>
      <c r="F7" s="293"/>
      <c r="G7" s="294">
        <f>+BA!G51</f>
        <v>3116922</v>
      </c>
      <c r="H7" s="294">
        <f>+BA!H51</f>
        <v>775499</v>
      </c>
      <c r="I7" s="294">
        <f>+BA!I51</f>
        <v>29955</v>
      </c>
      <c r="J7" s="294">
        <f>+BA!J51</f>
        <v>94590</v>
      </c>
      <c r="K7" s="294" t="e">
        <f>+BA!#REF!</f>
        <v>#REF!</v>
      </c>
    </row>
    <row r="8" spans="2:11" x14ac:dyDescent="0.25">
      <c r="B8" s="293" t="s">
        <v>512</v>
      </c>
      <c r="C8" s="294">
        <f>+BA!D53</f>
        <v>0</v>
      </c>
      <c r="D8" s="294">
        <f>+BA!E53</f>
        <v>0</v>
      </c>
      <c r="E8" s="294">
        <f>+BA!F53</f>
        <v>0</v>
      </c>
      <c r="F8" s="293"/>
      <c r="G8" s="294">
        <f>+BA!G53</f>
        <v>0</v>
      </c>
      <c r="H8" s="294">
        <f>+BA!H53</f>
        <v>0</v>
      </c>
      <c r="I8" s="294">
        <f>+BA!I53</f>
        <v>0</v>
      </c>
      <c r="J8" s="294">
        <f>+BA!J53</f>
        <v>0</v>
      </c>
      <c r="K8" s="294" t="e">
        <f>+BA!#REF!</f>
        <v>#REF!</v>
      </c>
    </row>
    <row r="9" spans="2:11" x14ac:dyDescent="0.25">
      <c r="B9" s="295" t="s">
        <v>2</v>
      </c>
      <c r="C9" s="294">
        <f>SUM(C6:C8)</f>
        <v>3763383.77</v>
      </c>
      <c r="D9" s="294">
        <f>SUM(D6:D8)</f>
        <v>239086</v>
      </c>
      <c r="E9" s="294">
        <f>SUM(E6:E8)</f>
        <v>27634894</v>
      </c>
      <c r="F9" s="295"/>
      <c r="G9" s="294">
        <f>SUM(G6:G8)</f>
        <v>3116922</v>
      </c>
      <c r="H9" s="294">
        <f>SUM(H6:H8)</f>
        <v>775499</v>
      </c>
      <c r="I9" s="294">
        <f>SUM(I6:I8)</f>
        <v>29955</v>
      </c>
      <c r="J9" s="294">
        <f>SUM(J6:J8)</f>
        <v>130090</v>
      </c>
      <c r="K9" s="294" t="e">
        <f>SUM(K6:K8)</f>
        <v>#REF!</v>
      </c>
    </row>
    <row r="10" spans="2:11" x14ac:dyDescent="0.25">
      <c r="B10" s="296"/>
      <c r="C10" s="297">
        <f>+BK!D8</f>
        <v>3763383.77</v>
      </c>
      <c r="D10" s="297">
        <f>+BK!E8</f>
        <v>239086</v>
      </c>
      <c r="E10" s="297">
        <f>+BK!F8</f>
        <v>27634894</v>
      </c>
      <c r="F10" s="296"/>
      <c r="G10" s="297">
        <f>+BK!G8</f>
        <v>3116922</v>
      </c>
      <c r="H10" s="297">
        <f>+BK!H8</f>
        <v>775499</v>
      </c>
      <c r="I10" s="297">
        <f>+BK!I8</f>
        <v>29955</v>
      </c>
      <c r="J10" s="297">
        <f>+BK!J8</f>
        <v>0</v>
      </c>
      <c r="K10" s="297" t="e">
        <f>+BK!K8</f>
        <v>#REF!</v>
      </c>
    </row>
    <row r="11" spans="2:11" x14ac:dyDescent="0.25">
      <c r="B11" s="298" t="s">
        <v>98</v>
      </c>
      <c r="C11" s="293"/>
      <c r="D11" s="293"/>
      <c r="E11" s="293"/>
      <c r="F11" s="298"/>
      <c r="G11" s="293"/>
      <c r="H11" s="293"/>
      <c r="I11" s="293"/>
      <c r="J11" s="293"/>
      <c r="K11" s="293"/>
    </row>
    <row r="12" spans="2:11" x14ac:dyDescent="0.25">
      <c r="B12" s="293"/>
      <c r="C12" s="287" t="str">
        <f>+C5</f>
        <v>31 Dhjetor 2018</v>
      </c>
      <c r="D12" s="287" t="str">
        <f>+D5</f>
        <v>31 Dhjetor 2017</v>
      </c>
      <c r="E12" s="287" t="str">
        <f>+E5</f>
        <v>31 Dhjetor 2016</v>
      </c>
      <c r="F12" s="293"/>
      <c r="G12" s="287" t="str">
        <f>+G5</f>
        <v>31 Dhjetor 2015</v>
      </c>
      <c r="H12" s="287" t="str">
        <f>+H5</f>
        <v>30 Prill 2015</v>
      </c>
      <c r="I12" s="287" t="str">
        <f>+I5</f>
        <v>31 Dhjetor 2014</v>
      </c>
      <c r="J12" s="287" t="str">
        <f>+J5</f>
        <v>31 Dhjetor 2012</v>
      </c>
      <c r="K12" s="287" t="str">
        <f>+K5</f>
        <v>31 Dhjetor 2011</v>
      </c>
    </row>
    <row r="13" spans="2:11" x14ac:dyDescent="0.25">
      <c r="B13" s="293" t="s">
        <v>610</v>
      </c>
      <c r="C13" s="286">
        <f>+BK!D18</f>
        <v>0</v>
      </c>
      <c r="D13" s="286">
        <f>+BK!E18</f>
        <v>0</v>
      </c>
      <c r="E13" s="286">
        <f>+BK!F18</f>
        <v>0</v>
      </c>
      <c r="F13" s="293"/>
      <c r="G13" s="286">
        <f>+BK!G18</f>
        <v>3077645</v>
      </c>
      <c r="H13" s="286">
        <f>+BK!H18</f>
        <v>1621324</v>
      </c>
      <c r="I13" s="286">
        <f>+BK!I18</f>
        <v>0</v>
      </c>
      <c r="J13" s="286">
        <f>+BK!J20</f>
        <v>0</v>
      </c>
      <c r="K13" s="286" t="e">
        <f>+BK!K20</f>
        <v>#REF!</v>
      </c>
    </row>
    <row r="14" spans="2:11" x14ac:dyDescent="0.25">
      <c r="B14" s="293"/>
      <c r="C14" s="286"/>
      <c r="D14" s="286"/>
      <c r="E14" s="286"/>
      <c r="F14" s="293"/>
      <c r="G14" s="286"/>
      <c r="H14" s="286"/>
      <c r="I14" s="286"/>
      <c r="J14" s="286"/>
      <c r="K14" s="286"/>
    </row>
    <row r="15" spans="2:11" x14ac:dyDescent="0.25">
      <c r="B15" s="295" t="s">
        <v>2</v>
      </c>
      <c r="C15" s="294">
        <f>SUM(C13:C14)</f>
        <v>0</v>
      </c>
      <c r="D15" s="294">
        <f>SUM(D13:D14)</f>
        <v>0</v>
      </c>
      <c r="E15" s="294">
        <f>SUM(E13:E14)</f>
        <v>0</v>
      </c>
      <c r="F15" s="295"/>
      <c r="G15" s="294">
        <f>SUM(G13:G14)</f>
        <v>3077645</v>
      </c>
      <c r="H15" s="294">
        <f>SUM(H13:H14)</f>
        <v>1621324</v>
      </c>
      <c r="I15" s="294">
        <f>SUM(I13:I14)</f>
        <v>0</v>
      </c>
      <c r="J15" s="294">
        <f>SUM(J13:J14)</f>
        <v>0</v>
      </c>
      <c r="K15" s="294" t="e">
        <f>SUM(K13:K14)</f>
        <v>#REF!</v>
      </c>
    </row>
    <row r="16" spans="2:11" x14ac:dyDescent="0.25">
      <c r="B16" s="296"/>
      <c r="C16" s="297">
        <f>+BK!D18</f>
        <v>0</v>
      </c>
      <c r="D16" s="297">
        <f>+BK!E18</f>
        <v>0</v>
      </c>
      <c r="E16" s="297">
        <f>+BK!F18</f>
        <v>0</v>
      </c>
      <c r="F16" s="296"/>
      <c r="G16" s="297">
        <f>+BK!G18</f>
        <v>3077645</v>
      </c>
      <c r="H16" s="297">
        <f>+BK!H18</f>
        <v>1621324</v>
      </c>
      <c r="I16" s="297">
        <f>+BK!I18</f>
        <v>0</v>
      </c>
      <c r="J16" s="297">
        <f>+BK!J18</f>
        <v>0</v>
      </c>
      <c r="K16" s="297">
        <f>+BK!A18</f>
        <v>0</v>
      </c>
    </row>
    <row r="17" spans="2:13" x14ac:dyDescent="0.25">
      <c r="B17" s="293" t="s">
        <v>99</v>
      </c>
      <c r="C17" s="299"/>
      <c r="D17" s="299"/>
      <c r="E17" s="299"/>
      <c r="F17" s="293"/>
      <c r="G17" s="299"/>
      <c r="H17" s="299"/>
      <c r="I17" s="299"/>
      <c r="J17" s="299"/>
      <c r="K17" s="299"/>
    </row>
    <row r="18" spans="2:13" x14ac:dyDescent="0.25">
      <c r="B18" s="300" t="s">
        <v>451</v>
      </c>
      <c r="C18" s="287" t="str">
        <f>+C12</f>
        <v>31 Dhjetor 2018</v>
      </c>
      <c r="D18" s="287" t="str">
        <f>+D12</f>
        <v>31 Dhjetor 2017</v>
      </c>
      <c r="E18" s="287" t="str">
        <f>+E12</f>
        <v>31 Dhjetor 2016</v>
      </c>
      <c r="F18" s="300"/>
      <c r="G18" s="287" t="str">
        <f>+G12</f>
        <v>31 Dhjetor 2015</v>
      </c>
      <c r="H18" s="287" t="str">
        <f>+H12</f>
        <v>30 Prill 2015</v>
      </c>
      <c r="I18" s="287" t="str">
        <f>+I12</f>
        <v>31 Dhjetor 2014</v>
      </c>
      <c r="J18" s="287" t="str">
        <f>+J12</f>
        <v>31 Dhjetor 2012</v>
      </c>
      <c r="K18" s="287" t="str">
        <f>+K12</f>
        <v>31 Dhjetor 2011</v>
      </c>
    </row>
    <row r="19" spans="2:13" x14ac:dyDescent="0.25">
      <c r="B19" s="301" t="s">
        <v>122</v>
      </c>
      <c r="C19" s="302">
        <f>+BK!D12</f>
        <v>118063753</v>
      </c>
      <c r="D19" s="302">
        <f>+BK!E12</f>
        <v>105233009.45</v>
      </c>
      <c r="E19" s="302">
        <f>+BK!F12</f>
        <v>6598867.5499999998</v>
      </c>
      <c r="F19" s="301"/>
      <c r="G19" s="302">
        <f>+BK!G12</f>
        <v>9268721</v>
      </c>
      <c r="H19" s="302">
        <f>+BK!H12</f>
        <v>675855</v>
      </c>
      <c r="I19" s="302">
        <f>+BK!I12</f>
        <v>0</v>
      </c>
      <c r="J19" s="302">
        <f>+BK!J12</f>
        <v>0</v>
      </c>
      <c r="K19" s="302" t="e">
        <f>+BK!K12</f>
        <v>#REF!</v>
      </c>
      <c r="L19" s="127"/>
      <c r="M19" s="128"/>
    </row>
    <row r="20" spans="2:13" x14ac:dyDescent="0.25">
      <c r="B20" s="301" t="s">
        <v>629</v>
      </c>
      <c r="C20" s="302">
        <f>+BK!D13</f>
        <v>5189578</v>
      </c>
      <c r="D20" s="302">
        <f>+BK!E13</f>
        <v>473167</v>
      </c>
      <c r="E20" s="302">
        <f>+BK!F13</f>
        <v>0</v>
      </c>
      <c r="F20" s="301"/>
      <c r="G20" s="302">
        <f>+BK!G13</f>
        <v>965</v>
      </c>
      <c r="H20" s="302">
        <f>+BK!H13</f>
        <v>97012</v>
      </c>
      <c r="I20" s="302">
        <f>+BK!I13</f>
        <v>10417</v>
      </c>
      <c r="J20" s="302">
        <f>+BK!J13</f>
        <v>0</v>
      </c>
      <c r="K20" s="302" t="e">
        <f>+BK!K13</f>
        <v>#REF!</v>
      </c>
      <c r="L20" s="127"/>
      <c r="M20" s="129"/>
    </row>
    <row r="21" spans="2:13" hidden="1" x14ac:dyDescent="0.25">
      <c r="B21" s="300"/>
      <c r="C21" s="302"/>
      <c r="D21" s="302"/>
      <c r="E21" s="302"/>
      <c r="F21" s="300"/>
      <c r="G21" s="302"/>
      <c r="H21" s="302"/>
      <c r="I21" s="302"/>
      <c r="J21" s="302"/>
      <c r="K21" s="302"/>
      <c r="L21" s="127"/>
      <c r="M21" s="129"/>
    </row>
    <row r="22" spans="2:13" x14ac:dyDescent="0.25">
      <c r="B22" s="295" t="s">
        <v>2</v>
      </c>
      <c r="C22" s="303">
        <f>SUM(C19:C21)</f>
        <v>123253331</v>
      </c>
      <c r="D22" s="303">
        <f>SUM(D19:D21)</f>
        <v>105706176.45</v>
      </c>
      <c r="E22" s="303">
        <f>SUM(E19:E21)</f>
        <v>6598867.5499999998</v>
      </c>
      <c r="F22" s="295"/>
      <c r="G22" s="303">
        <f>SUM(G19:G21)</f>
        <v>9269686</v>
      </c>
      <c r="H22" s="303">
        <f>SUM(H19:H21)</f>
        <v>772867</v>
      </c>
      <c r="I22" s="303">
        <f>SUM(I19:I21)</f>
        <v>10417</v>
      </c>
      <c r="J22" s="303">
        <f>SUM(J19:J21)</f>
        <v>0</v>
      </c>
      <c r="K22" s="303" t="e">
        <f>SUM(K19:K21)</f>
        <v>#REF!</v>
      </c>
      <c r="L22" s="127"/>
      <c r="M22" s="129"/>
    </row>
    <row r="23" spans="2:13" x14ac:dyDescent="0.25">
      <c r="B23" s="293"/>
      <c r="C23" s="304">
        <f>+BK!D16</f>
        <v>123253331</v>
      </c>
      <c r="D23" s="304">
        <f>+BK!E16</f>
        <v>105706176.45</v>
      </c>
      <c r="E23" s="304">
        <f>+BK!F16</f>
        <v>6598867.5499999998</v>
      </c>
      <c r="F23" s="293"/>
      <c r="G23" s="304">
        <f>+BK!G16</f>
        <v>9269686</v>
      </c>
      <c r="H23" s="304">
        <f>+BK!H16</f>
        <v>772867</v>
      </c>
      <c r="I23" s="304">
        <f>+BK!I16</f>
        <v>10417</v>
      </c>
      <c r="J23" s="304">
        <f>+BK!J16</f>
        <v>0</v>
      </c>
      <c r="K23" s="304">
        <f>+BK!A16</f>
        <v>0</v>
      </c>
      <c r="L23" s="130"/>
      <c r="M23" s="129"/>
    </row>
    <row r="24" spans="2:13" x14ac:dyDescent="0.25">
      <c r="B24" s="293"/>
      <c r="C24" s="304"/>
      <c r="D24" s="304"/>
      <c r="E24" s="304"/>
      <c r="F24" s="293"/>
      <c r="G24" s="304"/>
      <c r="H24" s="304"/>
      <c r="I24" s="304"/>
      <c r="J24" s="304"/>
      <c r="K24" s="304"/>
      <c r="L24" s="130"/>
      <c r="M24" s="129"/>
    </row>
    <row r="25" spans="2:13" x14ac:dyDescent="0.25">
      <c r="B25" s="406" t="s">
        <v>514</v>
      </c>
      <c r="C25" s="406" t="s">
        <v>566</v>
      </c>
      <c r="D25" s="406" t="s">
        <v>566</v>
      </c>
      <c r="E25" s="406" t="s">
        <v>566</v>
      </c>
      <c r="F25" s="406"/>
      <c r="G25" s="406" t="s">
        <v>566</v>
      </c>
      <c r="H25" s="406" t="s">
        <v>566</v>
      </c>
      <c r="I25" s="304"/>
      <c r="J25" s="304"/>
      <c r="K25" s="304"/>
      <c r="L25" s="130"/>
      <c r="M25" s="129"/>
    </row>
    <row r="26" spans="2:13" ht="18.75" hidden="1" x14ac:dyDescent="0.3">
      <c r="B26" s="433" t="s">
        <v>620</v>
      </c>
      <c r="C26" s="434">
        <v>300000</v>
      </c>
      <c r="D26" s="434">
        <v>300000</v>
      </c>
      <c r="E26" s="434">
        <v>300000</v>
      </c>
      <c r="F26" s="433"/>
      <c r="G26" s="434">
        <v>300000</v>
      </c>
      <c r="H26" s="406"/>
      <c r="I26" s="304"/>
      <c r="J26" s="304"/>
      <c r="K26" s="304"/>
      <c r="L26" s="130"/>
      <c r="M26" s="129"/>
    </row>
    <row r="27" spans="2:13" ht="18.75" hidden="1" x14ac:dyDescent="0.3">
      <c r="B27" s="433" t="s">
        <v>621</v>
      </c>
      <c r="C27" s="434">
        <v>50000</v>
      </c>
      <c r="D27" s="434">
        <v>50000</v>
      </c>
      <c r="E27" s="434">
        <v>50000</v>
      </c>
      <c r="F27" s="433"/>
      <c r="G27" s="434">
        <v>50000</v>
      </c>
      <c r="H27" s="406"/>
      <c r="I27" s="304"/>
      <c r="J27" s="304"/>
      <c r="K27" s="304"/>
      <c r="L27" s="130"/>
      <c r="M27" s="129"/>
    </row>
    <row r="28" spans="2:13" ht="18.75" hidden="1" x14ac:dyDescent="0.3">
      <c r="B28" s="433" t="s">
        <v>622</v>
      </c>
      <c r="C28" s="434">
        <v>137536.27999999901</v>
      </c>
      <c r="D28" s="434">
        <v>137536.27999999901</v>
      </c>
      <c r="E28" s="434">
        <v>137536.27999999901</v>
      </c>
      <c r="F28" s="433"/>
      <c r="G28" s="434">
        <v>137536.27999999901</v>
      </c>
      <c r="H28" s="406"/>
      <c r="I28" s="304"/>
      <c r="J28" s="304"/>
      <c r="K28" s="304"/>
      <c r="L28" s="130"/>
      <c r="M28" s="129"/>
    </row>
    <row r="29" spans="2:13" ht="18.75" hidden="1" x14ac:dyDescent="0.3">
      <c r="B29" s="433" t="s">
        <v>623</v>
      </c>
      <c r="C29" s="434">
        <f>3491598.08+5+2</f>
        <v>3491605.08</v>
      </c>
      <c r="D29" s="434">
        <f>3491598.08+5+2</f>
        <v>3491605.08</v>
      </c>
      <c r="E29" s="434">
        <f>3491598.08+5+2</f>
        <v>3491605.08</v>
      </c>
      <c r="F29" s="433"/>
      <c r="G29" s="434">
        <f>3491598.08+5+2</f>
        <v>3491605.08</v>
      </c>
      <c r="H29" s="406"/>
      <c r="I29" s="304"/>
      <c r="J29" s="304"/>
      <c r="K29" s="304"/>
      <c r="L29" s="130"/>
      <c r="M29" s="129"/>
    </row>
    <row r="30" spans="2:13" ht="18.75" hidden="1" x14ac:dyDescent="0.3">
      <c r="B30" s="433" t="s">
        <v>624</v>
      </c>
      <c r="C30" s="434">
        <v>2441580</v>
      </c>
      <c r="D30" s="434">
        <v>2441580</v>
      </c>
      <c r="E30" s="434">
        <v>2441580</v>
      </c>
      <c r="F30" s="433"/>
      <c r="G30" s="434">
        <v>2441580</v>
      </c>
      <c r="H30" s="406"/>
      <c r="I30" s="304"/>
      <c r="J30" s="304"/>
      <c r="K30" s="304"/>
      <c r="L30" s="130"/>
      <c r="M30" s="129"/>
    </row>
    <row r="31" spans="2:13" ht="18.75" hidden="1" x14ac:dyDescent="0.3">
      <c r="B31" s="433" t="s">
        <v>625</v>
      </c>
      <c r="C31" s="434">
        <v>50000</v>
      </c>
      <c r="D31" s="434">
        <v>50000</v>
      </c>
      <c r="E31" s="434">
        <v>50000</v>
      </c>
      <c r="F31" s="433"/>
      <c r="G31" s="434">
        <v>50000</v>
      </c>
      <c r="H31" s="406"/>
      <c r="I31" s="304"/>
      <c r="J31" s="304"/>
      <c r="K31" s="304"/>
      <c r="L31" s="130"/>
      <c r="M31" s="129"/>
    </row>
    <row r="32" spans="2:13" ht="18.75" hidden="1" x14ac:dyDescent="0.3">
      <c r="B32" s="433" t="s">
        <v>626</v>
      </c>
      <c r="C32" s="434">
        <v>84000</v>
      </c>
      <c r="D32" s="434">
        <v>84000</v>
      </c>
      <c r="E32" s="434">
        <v>84000</v>
      </c>
      <c r="F32" s="433"/>
      <c r="G32" s="434">
        <v>84000</v>
      </c>
      <c r="H32" s="406"/>
      <c r="I32" s="304"/>
      <c r="J32" s="304"/>
      <c r="K32" s="304"/>
      <c r="L32" s="130"/>
      <c r="M32" s="129"/>
    </row>
    <row r="33" spans="2:16" ht="18.75" hidden="1" x14ac:dyDescent="0.3">
      <c r="B33" s="433" t="s">
        <v>627</v>
      </c>
      <c r="C33" s="434">
        <v>174000</v>
      </c>
      <c r="D33" s="434">
        <v>174000</v>
      </c>
      <c r="E33" s="434">
        <v>174000</v>
      </c>
      <c r="F33" s="433"/>
      <c r="G33" s="434">
        <v>174000</v>
      </c>
      <c r="H33" s="406"/>
      <c r="I33" s="304"/>
      <c r="J33" s="304"/>
      <c r="K33" s="304"/>
      <c r="L33" s="130"/>
      <c r="M33" s="129"/>
    </row>
    <row r="34" spans="2:16" ht="18.75" hidden="1" x14ac:dyDescent="0.3">
      <c r="B34" s="433" t="s">
        <v>628</v>
      </c>
      <c r="C34" s="434">
        <v>2540000</v>
      </c>
      <c r="D34" s="434">
        <v>2540000</v>
      </c>
      <c r="E34" s="434">
        <v>2540000</v>
      </c>
      <c r="F34" s="433"/>
      <c r="G34" s="434">
        <v>2540000</v>
      </c>
      <c r="H34" s="406"/>
      <c r="I34" s="304"/>
      <c r="J34" s="304"/>
      <c r="K34" s="304"/>
      <c r="L34" s="130"/>
      <c r="M34" s="129"/>
    </row>
    <row r="35" spans="2:16" ht="18.75" hidden="1" x14ac:dyDescent="0.3">
      <c r="B35" s="433" t="s">
        <v>536</v>
      </c>
      <c r="C35" s="434">
        <f>SUM(C26:C34)</f>
        <v>9268721.3599999994</v>
      </c>
      <c r="D35" s="434">
        <f>SUM(D26:D34)</f>
        <v>9268721.3599999994</v>
      </c>
      <c r="E35" s="434">
        <f>SUM(E26:E34)</f>
        <v>9268721.3599999994</v>
      </c>
      <c r="F35" s="433"/>
      <c r="G35" s="434">
        <f>SUM(G26:G34)</f>
        <v>9268721.3599999994</v>
      </c>
      <c r="H35" s="406">
        <f>SUM(H34:H34)</f>
        <v>0</v>
      </c>
      <c r="I35" s="304"/>
      <c r="J35" s="304"/>
      <c r="K35" s="304"/>
      <c r="L35" s="130"/>
      <c r="M35" s="129"/>
    </row>
    <row r="36" spans="2:16" hidden="1" x14ac:dyDescent="0.25">
      <c r="B36" s="293"/>
      <c r="C36" s="304"/>
      <c r="D36" s="304"/>
      <c r="E36" s="304"/>
      <c r="F36" s="293"/>
      <c r="G36" s="304"/>
      <c r="H36" s="304"/>
      <c r="I36" s="304"/>
      <c r="J36" s="304"/>
      <c r="K36" s="304"/>
      <c r="L36" s="130"/>
      <c r="M36" s="129"/>
    </row>
    <row r="37" spans="2:16" hidden="1" x14ac:dyDescent="0.25">
      <c r="B37" s="290"/>
      <c r="C37" s="292"/>
      <c r="D37" s="292"/>
      <c r="E37" s="292"/>
      <c r="F37" s="290"/>
      <c r="G37" s="292"/>
      <c r="H37" s="292"/>
      <c r="I37" s="292"/>
      <c r="J37" s="292"/>
      <c r="K37" s="292"/>
      <c r="M37" s="23"/>
      <c r="N37" s="23"/>
      <c r="O37" s="23"/>
      <c r="P37" s="23"/>
    </row>
    <row r="38" spans="2:16" x14ac:dyDescent="0.25">
      <c r="B38" s="298" t="s">
        <v>128</v>
      </c>
      <c r="C38" s="293"/>
      <c r="D38" s="293"/>
      <c r="E38" s="293"/>
      <c r="F38" s="298"/>
      <c r="G38" s="293"/>
      <c r="H38" s="293"/>
      <c r="I38" s="293"/>
      <c r="J38" s="293"/>
      <c r="K38" s="293"/>
      <c r="L38" s="26"/>
      <c r="M38" s="24"/>
      <c r="N38" s="24"/>
      <c r="O38" s="24"/>
      <c r="P38" s="23"/>
    </row>
    <row r="39" spans="2:16" x14ac:dyDescent="0.25">
      <c r="B39" s="293" t="s">
        <v>451</v>
      </c>
      <c r="C39" s="287" t="str">
        <f>+C18</f>
        <v>31 Dhjetor 2018</v>
      </c>
      <c r="D39" s="287" t="str">
        <f>+D18</f>
        <v>31 Dhjetor 2017</v>
      </c>
      <c r="E39" s="287" t="str">
        <f>+E18</f>
        <v>31 Dhjetor 2016</v>
      </c>
      <c r="F39" s="293"/>
      <c r="G39" s="287" t="str">
        <f>+G18</f>
        <v>31 Dhjetor 2015</v>
      </c>
      <c r="H39" s="287" t="str">
        <f>+H18</f>
        <v>30 Prill 2015</v>
      </c>
      <c r="I39" s="287" t="str">
        <f>+I18</f>
        <v>31 Dhjetor 2014</v>
      </c>
      <c r="J39" s="287" t="str">
        <f>+J18</f>
        <v>31 Dhjetor 2012</v>
      </c>
      <c r="K39" s="287" t="s">
        <v>533</v>
      </c>
      <c r="L39" s="24"/>
      <c r="M39" s="24"/>
      <c r="N39" s="24"/>
      <c r="O39" s="24"/>
      <c r="P39" s="23"/>
    </row>
    <row r="40" spans="2:16" x14ac:dyDescent="0.25">
      <c r="B40" s="293" t="s">
        <v>100</v>
      </c>
      <c r="C40" s="296">
        <f>+BK!D45</f>
        <v>37093741.219999999</v>
      </c>
      <c r="D40" s="296">
        <f>+BK!E45</f>
        <v>34527831</v>
      </c>
      <c r="E40" s="296">
        <f>+BK!F45</f>
        <v>2532133</v>
      </c>
      <c r="F40" s="293"/>
      <c r="G40" s="296">
        <f>+BK!G45</f>
        <v>14131356</v>
      </c>
      <c r="H40" s="296">
        <f>+BK!H45</f>
        <v>2593054</v>
      </c>
      <c r="I40" s="296">
        <f>+BK!I45</f>
        <v>0</v>
      </c>
      <c r="J40" s="296">
        <f>+BK!J45</f>
        <v>0</v>
      </c>
      <c r="K40" s="296" t="e">
        <f>+BK!K45</f>
        <v>#REF!</v>
      </c>
      <c r="L40" s="24"/>
      <c r="M40" s="24"/>
      <c r="N40" s="24"/>
      <c r="O40" s="24"/>
      <c r="P40" s="23"/>
    </row>
    <row r="41" spans="2:16" x14ac:dyDescent="0.25">
      <c r="B41" s="293" t="s">
        <v>121</v>
      </c>
      <c r="C41" s="286">
        <f>+BK!D43</f>
        <v>73000000</v>
      </c>
      <c r="D41" s="286">
        <f>+BK!E43</f>
        <v>24700000</v>
      </c>
      <c r="E41" s="286">
        <f>+BK!F43</f>
        <v>0</v>
      </c>
      <c r="F41" s="293"/>
      <c r="G41" s="286">
        <f>+BK!G43</f>
        <v>0</v>
      </c>
      <c r="H41" s="286">
        <f>+BK!H43</f>
        <v>0</v>
      </c>
      <c r="I41" s="286">
        <f>+BK!I43</f>
        <v>0</v>
      </c>
      <c r="J41" s="286">
        <f>+BK!J43</f>
        <v>0</v>
      </c>
      <c r="K41" s="286" t="e">
        <f>+BK!K43</f>
        <v>#REF!</v>
      </c>
      <c r="L41" s="27"/>
      <c r="M41" s="28"/>
      <c r="N41" s="24"/>
      <c r="O41" s="29"/>
      <c r="P41" s="23"/>
    </row>
    <row r="42" spans="2:16" x14ac:dyDescent="0.25">
      <c r="B42" s="293" t="s">
        <v>116</v>
      </c>
      <c r="C42" s="286">
        <f>+BK!D46</f>
        <v>1232000</v>
      </c>
      <c r="D42" s="286">
        <f>+BK!E46</f>
        <v>864330</v>
      </c>
      <c r="E42" s="286">
        <f>+BK!F46</f>
        <v>1011528</v>
      </c>
      <c r="F42" s="293"/>
      <c r="G42" s="286">
        <f>+BK!G46</f>
        <v>499032</v>
      </c>
      <c r="H42" s="286">
        <f>+BK!H46</f>
        <v>370730</v>
      </c>
      <c r="I42" s="286">
        <f>+BK!I46</f>
        <v>0</v>
      </c>
      <c r="J42" s="286">
        <f>+BK!J46</f>
        <v>0</v>
      </c>
      <c r="K42" s="286">
        <f>+BK!C46</f>
        <v>0</v>
      </c>
      <c r="L42" s="24"/>
      <c r="M42" s="24"/>
      <c r="N42" s="24"/>
      <c r="O42" s="24"/>
      <c r="P42" s="23"/>
    </row>
    <row r="43" spans="2:16" x14ac:dyDescent="0.25">
      <c r="B43" s="293" t="s">
        <v>8</v>
      </c>
      <c r="C43" s="294">
        <f>+BK!D47</f>
        <v>1173346</v>
      </c>
      <c r="D43" s="294">
        <f>+BK!E47</f>
        <v>3456667</v>
      </c>
      <c r="E43" s="294">
        <f>+BK!F47</f>
        <v>5337026</v>
      </c>
      <c r="F43" s="293"/>
      <c r="G43" s="294">
        <f>+BK!G47</f>
        <v>693369</v>
      </c>
      <c r="H43" s="294">
        <f>+BK!H47</f>
        <v>44395</v>
      </c>
      <c r="I43" s="294">
        <f>+BK!I47</f>
        <v>50220</v>
      </c>
      <c r="J43" s="294">
        <f>+BK!J47</f>
        <v>0</v>
      </c>
      <c r="K43" s="294" t="e">
        <f>+BK!K47</f>
        <v>#REF!</v>
      </c>
      <c r="L43" s="24"/>
      <c r="M43" s="24"/>
      <c r="N43" s="24"/>
      <c r="O43" s="24"/>
      <c r="P43" s="23"/>
    </row>
    <row r="44" spans="2:16" hidden="1" x14ac:dyDescent="0.25">
      <c r="B44" s="293" t="s">
        <v>114</v>
      </c>
      <c r="C44" s="286">
        <f>+BK!D48</f>
        <v>0</v>
      </c>
      <c r="D44" s="286">
        <f>+BK!E48</f>
        <v>0</v>
      </c>
      <c r="E44" s="286">
        <f>+BK!F48</f>
        <v>0</v>
      </c>
      <c r="F44" s="293"/>
      <c r="G44" s="286">
        <f>+BK!G48</f>
        <v>0</v>
      </c>
      <c r="H44" s="286">
        <f>+BK!H48</f>
        <v>0</v>
      </c>
      <c r="I44" s="286">
        <f>+BK!I48</f>
        <v>0</v>
      </c>
      <c r="J44" s="286">
        <f>+BK!J48</f>
        <v>0</v>
      </c>
      <c r="K44" s="286" t="e">
        <f>+BK!K48</f>
        <v>#REF!</v>
      </c>
      <c r="L44" s="24"/>
      <c r="M44" s="24"/>
      <c r="N44" s="24"/>
      <c r="O44" s="30"/>
      <c r="P44" s="23"/>
    </row>
    <row r="45" spans="2:16" hidden="1" x14ac:dyDescent="0.25">
      <c r="B45" s="293" t="s">
        <v>62</v>
      </c>
      <c r="C45" s="286">
        <f>+BK!D50</f>
        <v>0</v>
      </c>
      <c r="D45" s="286">
        <f>+BK!E50</f>
        <v>0</v>
      </c>
      <c r="E45" s="286">
        <f>+BK!F50</f>
        <v>0</v>
      </c>
      <c r="F45" s="293"/>
      <c r="G45" s="286">
        <f>+BK!G50</f>
        <v>0</v>
      </c>
      <c r="H45" s="286">
        <f>+BK!H50</f>
        <v>0</v>
      </c>
      <c r="I45" s="286">
        <f>+BK!I50</f>
        <v>0</v>
      </c>
      <c r="J45" s="286">
        <f>+BK!J50</f>
        <v>0</v>
      </c>
      <c r="K45" s="286" t="e">
        <f>+BK!K50</f>
        <v>#REF!</v>
      </c>
      <c r="L45" s="24"/>
      <c r="M45" s="24"/>
      <c r="N45" s="24"/>
      <c r="O45" s="30"/>
      <c r="P45" s="23"/>
    </row>
    <row r="46" spans="2:16" hidden="1" x14ac:dyDescent="0.25">
      <c r="B46" s="293" t="s">
        <v>416</v>
      </c>
      <c r="C46" s="286">
        <f>+BK!D49</f>
        <v>0</v>
      </c>
      <c r="D46" s="286">
        <f>+BK!E49</f>
        <v>0</v>
      </c>
      <c r="E46" s="286">
        <f>+BK!C49</f>
        <v>0</v>
      </c>
      <c r="F46" s="293"/>
      <c r="G46" s="286">
        <f>+BK!G49</f>
        <v>0</v>
      </c>
      <c r="H46" s="286">
        <f>+BK!H49</f>
        <v>0</v>
      </c>
      <c r="I46" s="286">
        <f>+BK!I49</f>
        <v>0</v>
      </c>
      <c r="J46" s="286">
        <f>+BK!C49</f>
        <v>0</v>
      </c>
      <c r="K46" s="286">
        <f>+BK!K49</f>
        <v>0</v>
      </c>
      <c r="M46" s="23"/>
      <c r="N46" s="23"/>
      <c r="O46" s="23"/>
      <c r="P46" s="23"/>
    </row>
    <row r="47" spans="2:16" hidden="1" x14ac:dyDescent="0.25">
      <c r="B47" s="293"/>
      <c r="C47" s="286"/>
      <c r="D47" s="286"/>
      <c r="E47" s="286"/>
      <c r="F47" s="293"/>
      <c r="G47" s="286"/>
      <c r="H47" s="286"/>
      <c r="I47" s="286"/>
      <c r="J47" s="286"/>
      <c r="K47" s="286"/>
    </row>
    <row r="48" spans="2:16" x14ac:dyDescent="0.25">
      <c r="B48" s="295" t="s">
        <v>2</v>
      </c>
      <c r="C48" s="294">
        <f>SUM(C40:C46)</f>
        <v>112499087.22</v>
      </c>
      <c r="D48" s="294">
        <f>SUM(D40:D46)</f>
        <v>63548828</v>
      </c>
      <c r="E48" s="294">
        <f>SUM(E40:E46)</f>
        <v>8880687</v>
      </c>
      <c r="F48" s="295"/>
      <c r="G48" s="294">
        <f>SUM(G40:G46)</f>
        <v>15323757</v>
      </c>
      <c r="H48" s="294">
        <f>SUM(H40:H46)</f>
        <v>3008179</v>
      </c>
      <c r="I48" s="294">
        <f>SUM(I40:I46)</f>
        <v>50220</v>
      </c>
      <c r="J48" s="294">
        <f>SUM(J40:J46)</f>
        <v>0</v>
      </c>
      <c r="K48" s="294" t="e">
        <f>SUM(K40:K46)</f>
        <v>#REF!</v>
      </c>
    </row>
    <row r="49" spans="2:11" x14ac:dyDescent="0.25">
      <c r="B49" s="293"/>
      <c r="C49" s="286">
        <f>+BA!D88</f>
        <v>112499087.22</v>
      </c>
      <c r="D49" s="286">
        <f>+BA!E88</f>
        <v>63548828</v>
      </c>
      <c r="E49" s="286">
        <f>+BA!F88</f>
        <v>8880687</v>
      </c>
      <c r="F49" s="293"/>
      <c r="G49" s="286">
        <f>+BA!G88</f>
        <v>15323757</v>
      </c>
      <c r="H49" s="286">
        <f>+BA!H88</f>
        <v>3008179</v>
      </c>
      <c r="I49" s="286">
        <f>+BA!I88</f>
        <v>50220</v>
      </c>
      <c r="J49" s="286">
        <f>+BA!J88</f>
        <v>173008</v>
      </c>
      <c r="K49" s="286" t="e">
        <f>+BA!#REF!</f>
        <v>#REF!</v>
      </c>
    </row>
    <row r="50" spans="2:11" x14ac:dyDescent="0.25">
      <c r="B50" s="298" t="s">
        <v>100</v>
      </c>
      <c r="C50" s="294"/>
      <c r="D50" s="294"/>
      <c r="E50" s="294"/>
      <c r="F50" s="298"/>
      <c r="G50" s="294"/>
      <c r="H50" s="294"/>
      <c r="I50" s="294"/>
      <c r="J50" s="294"/>
      <c r="K50" s="294"/>
    </row>
    <row r="51" spans="2:11" x14ac:dyDescent="0.25">
      <c r="B51" s="305" t="s">
        <v>514</v>
      </c>
      <c r="C51" s="287" t="str">
        <f>+C39</f>
        <v>31 Dhjetor 2018</v>
      </c>
      <c r="D51" s="287" t="str">
        <f>+D39</f>
        <v>31 Dhjetor 2017</v>
      </c>
      <c r="E51" s="287" t="str">
        <f>+E39</f>
        <v>31 Dhjetor 2016</v>
      </c>
      <c r="F51" s="305"/>
      <c r="G51" s="287" t="str">
        <f>+G39</f>
        <v>31 Dhjetor 2015</v>
      </c>
      <c r="H51" s="287" t="str">
        <f>+H39</f>
        <v>30 Prill 2015</v>
      </c>
      <c r="I51" s="287" t="str">
        <f>+I39</f>
        <v>31 Dhjetor 2014</v>
      </c>
      <c r="J51" s="287" t="str">
        <f>+J39</f>
        <v>31 Dhjetor 2012</v>
      </c>
      <c r="K51" s="287" t="s">
        <v>533</v>
      </c>
    </row>
    <row r="52" spans="2:11" x14ac:dyDescent="0.25">
      <c r="B52" s="296"/>
      <c r="C52" s="304">
        <f>+BK!D45</f>
        <v>37093741.219999999</v>
      </c>
      <c r="D52" s="304">
        <f>+BK!E45</f>
        <v>34527831</v>
      </c>
      <c r="E52" s="304">
        <f>+BK!F45</f>
        <v>2532133</v>
      </c>
      <c r="F52" s="296"/>
      <c r="G52" s="304">
        <f>+BK!G45</f>
        <v>14131356</v>
      </c>
      <c r="H52" s="304">
        <f>+BK!H45</f>
        <v>2593054</v>
      </c>
      <c r="I52" s="304">
        <f>+BK!I45</f>
        <v>0</v>
      </c>
      <c r="J52" s="304">
        <f>+BK!J45</f>
        <v>0</v>
      </c>
      <c r="K52" s="304" t="e">
        <f>+BK!K45</f>
        <v>#REF!</v>
      </c>
    </row>
    <row r="53" spans="2:11" x14ac:dyDescent="0.25">
      <c r="B53" s="296" t="s">
        <v>514</v>
      </c>
      <c r="C53" s="406" t="s">
        <v>566</v>
      </c>
      <c r="D53" s="406" t="s">
        <v>566</v>
      </c>
      <c r="E53" s="304" t="s">
        <v>650</v>
      </c>
      <c r="F53" s="296"/>
      <c r="G53" s="304" t="s">
        <v>650</v>
      </c>
      <c r="H53" s="304"/>
      <c r="I53" s="304"/>
      <c r="J53" s="304"/>
      <c r="K53" s="304"/>
    </row>
    <row r="54" spans="2:11" hidden="1" x14ac:dyDescent="0.25">
      <c r="B54" s="406" t="s">
        <v>630</v>
      </c>
      <c r="C54" s="406">
        <v>503340</v>
      </c>
      <c r="D54" s="406">
        <v>503340</v>
      </c>
      <c r="E54" s="406">
        <v>503340</v>
      </c>
      <c r="F54" s="406"/>
      <c r="G54" s="406">
        <v>503340</v>
      </c>
      <c r="H54" s="304"/>
      <c r="I54" s="304"/>
      <c r="J54" s="304"/>
      <c r="K54" s="304"/>
    </row>
    <row r="55" spans="2:11" hidden="1" x14ac:dyDescent="0.25">
      <c r="B55" s="406" t="s">
        <v>631</v>
      </c>
      <c r="C55" s="406">
        <v>5251666</v>
      </c>
      <c r="D55" s="406">
        <v>5251666</v>
      </c>
      <c r="E55" s="406">
        <v>5251666</v>
      </c>
      <c r="F55" s="406"/>
      <c r="G55" s="406">
        <v>5251666</v>
      </c>
      <c r="H55" s="304"/>
      <c r="I55" s="304"/>
      <c r="J55" s="304"/>
      <c r="K55" s="304"/>
    </row>
    <row r="56" spans="2:11" hidden="1" x14ac:dyDescent="0.25">
      <c r="B56" s="406" t="s">
        <v>632</v>
      </c>
      <c r="C56" s="406">
        <v>66780</v>
      </c>
      <c r="D56" s="406">
        <v>66780</v>
      </c>
      <c r="E56" s="406">
        <v>66780</v>
      </c>
      <c r="F56" s="406"/>
      <c r="G56" s="406">
        <v>66780</v>
      </c>
      <c r="H56" s="304"/>
      <c r="I56" s="304"/>
      <c r="J56" s="304"/>
      <c r="K56" s="304"/>
    </row>
    <row r="57" spans="2:11" hidden="1" x14ac:dyDescent="0.25">
      <c r="B57" s="406" t="s">
        <v>633</v>
      </c>
      <c r="C57" s="406">
        <v>1400556</v>
      </c>
      <c r="D57" s="406">
        <v>1400556</v>
      </c>
      <c r="E57" s="406">
        <v>1400556</v>
      </c>
      <c r="F57" s="406"/>
      <c r="G57" s="406">
        <v>1400556</v>
      </c>
      <c r="H57" s="304"/>
      <c r="I57" s="304"/>
      <c r="J57" s="304"/>
      <c r="K57" s="304"/>
    </row>
    <row r="58" spans="2:11" hidden="1" x14ac:dyDescent="0.25">
      <c r="B58" s="406" t="s">
        <v>634</v>
      </c>
      <c r="C58" s="406">
        <v>571000</v>
      </c>
      <c r="D58" s="406">
        <v>571000</v>
      </c>
      <c r="E58" s="406">
        <v>571000</v>
      </c>
      <c r="F58" s="406"/>
      <c r="G58" s="406">
        <v>571000</v>
      </c>
      <c r="H58" s="304"/>
      <c r="I58" s="304"/>
      <c r="J58" s="304"/>
      <c r="K58" s="304"/>
    </row>
    <row r="59" spans="2:11" ht="17.25" hidden="1" customHeight="1" x14ac:dyDescent="0.25">
      <c r="B59" s="406" t="s">
        <v>635</v>
      </c>
      <c r="C59" s="406">
        <v>7000</v>
      </c>
      <c r="D59" s="406">
        <v>7000</v>
      </c>
      <c r="E59" s="406">
        <v>7000</v>
      </c>
      <c r="F59" s="406"/>
      <c r="G59" s="406">
        <v>7000</v>
      </c>
      <c r="H59" s="304"/>
      <c r="I59" s="304"/>
      <c r="J59" s="304"/>
      <c r="K59" s="304"/>
    </row>
    <row r="60" spans="2:11" hidden="1" x14ac:dyDescent="0.25">
      <c r="B60" s="406" t="s">
        <v>636</v>
      </c>
      <c r="C60" s="406">
        <v>1869168</v>
      </c>
      <c r="D60" s="406">
        <v>1869168</v>
      </c>
      <c r="E60" s="406">
        <v>1869168</v>
      </c>
      <c r="F60" s="406"/>
      <c r="G60" s="406">
        <v>1869168</v>
      </c>
      <c r="H60" s="304"/>
      <c r="I60" s="304"/>
      <c r="J60" s="304"/>
      <c r="K60" s="304"/>
    </row>
    <row r="61" spans="2:11" hidden="1" x14ac:dyDescent="0.25">
      <c r="B61" s="406" t="s">
        <v>637</v>
      </c>
      <c r="C61" s="406">
        <v>300000</v>
      </c>
      <c r="D61" s="406">
        <v>300000</v>
      </c>
      <c r="E61" s="406">
        <v>300000</v>
      </c>
      <c r="F61" s="406"/>
      <c r="G61" s="406">
        <v>300000</v>
      </c>
      <c r="H61" s="304"/>
      <c r="I61" s="304"/>
      <c r="J61" s="304"/>
      <c r="K61" s="304"/>
    </row>
    <row r="62" spans="2:11" hidden="1" x14ac:dyDescent="0.25">
      <c r="B62" s="406" t="s">
        <v>638</v>
      </c>
      <c r="C62" s="406">
        <v>1500</v>
      </c>
      <c r="D62" s="406">
        <v>1500</v>
      </c>
      <c r="E62" s="406">
        <v>1500</v>
      </c>
      <c r="F62" s="406"/>
      <c r="G62" s="406">
        <v>1500</v>
      </c>
      <c r="H62" s="304"/>
      <c r="I62" s="304"/>
      <c r="J62" s="304"/>
      <c r="K62" s="304"/>
    </row>
    <row r="63" spans="2:11" hidden="1" x14ac:dyDescent="0.25">
      <c r="B63" s="406" t="s">
        <v>639</v>
      </c>
      <c r="C63" s="406">
        <v>547200</v>
      </c>
      <c r="D63" s="406">
        <v>547200</v>
      </c>
      <c r="E63" s="406">
        <v>547200</v>
      </c>
      <c r="F63" s="406"/>
      <c r="G63" s="406">
        <v>547200</v>
      </c>
      <c r="H63" s="304"/>
      <c r="I63" s="304"/>
      <c r="J63" s="304"/>
      <c r="K63" s="304"/>
    </row>
    <row r="64" spans="2:11" hidden="1" x14ac:dyDescent="0.25">
      <c r="B64" s="406" t="s">
        <v>640</v>
      </c>
      <c r="C64" s="406">
        <v>4738209</v>
      </c>
      <c r="D64" s="406">
        <v>4738209</v>
      </c>
      <c r="E64" s="406">
        <v>4738209</v>
      </c>
      <c r="F64" s="406"/>
      <c r="G64" s="406">
        <v>4738209</v>
      </c>
      <c r="H64" s="304"/>
      <c r="I64" s="304"/>
      <c r="J64" s="304"/>
      <c r="K64" s="304"/>
    </row>
    <row r="65" spans="2:12" hidden="1" x14ac:dyDescent="0.25">
      <c r="B65" s="406" t="s">
        <v>641</v>
      </c>
      <c r="C65" s="406">
        <v>-327553.2</v>
      </c>
      <c r="D65" s="406">
        <v>-327553.2</v>
      </c>
      <c r="E65" s="406">
        <v>-327553.2</v>
      </c>
      <c r="F65" s="406"/>
      <c r="G65" s="406">
        <v>-327553.2</v>
      </c>
      <c r="H65" s="304"/>
      <c r="I65" s="304"/>
      <c r="J65" s="304"/>
      <c r="K65" s="304"/>
    </row>
    <row r="66" spans="2:12" hidden="1" x14ac:dyDescent="0.25">
      <c r="B66" s="406" t="s">
        <v>642</v>
      </c>
      <c r="C66" s="406">
        <v>-42713</v>
      </c>
      <c r="D66" s="406">
        <v>-42713</v>
      </c>
      <c r="E66" s="406">
        <v>-42713</v>
      </c>
      <c r="F66" s="406"/>
      <c r="G66" s="406">
        <v>-42713</v>
      </c>
      <c r="H66" s="304"/>
      <c r="I66" s="304"/>
      <c r="J66" s="304"/>
      <c r="K66" s="304"/>
    </row>
    <row r="67" spans="2:12" hidden="1" x14ac:dyDescent="0.25">
      <c r="B67" s="406" t="s">
        <v>643</v>
      </c>
      <c r="C67" s="406">
        <v>6953.2</v>
      </c>
      <c r="D67" s="406">
        <v>6953.2</v>
      </c>
      <c r="E67" s="406">
        <v>6953.2</v>
      </c>
      <c r="F67" s="406"/>
      <c r="G67" s="406">
        <v>6953.2</v>
      </c>
      <c r="H67" s="304"/>
      <c r="I67" s="304"/>
      <c r="J67" s="304"/>
      <c r="K67" s="304"/>
    </row>
    <row r="68" spans="2:12" hidden="1" x14ac:dyDescent="0.25">
      <c r="B68" s="406" t="s">
        <v>644</v>
      </c>
      <c r="C68" s="406">
        <v>-761750</v>
      </c>
      <c r="D68" s="406">
        <v>-761750</v>
      </c>
      <c r="E68" s="406">
        <v>-761750</v>
      </c>
      <c r="F68" s="406"/>
      <c r="G68" s="406">
        <v>-761750</v>
      </c>
      <c r="H68" s="304"/>
      <c r="I68" s="304"/>
      <c r="J68" s="304"/>
      <c r="K68" s="304"/>
    </row>
    <row r="69" spans="2:12" hidden="1" x14ac:dyDescent="0.25">
      <c r="B69" s="296" t="s">
        <v>651</v>
      </c>
      <c r="C69" s="304">
        <f>SUM(C54:C68)</f>
        <v>14131356</v>
      </c>
      <c r="D69" s="304">
        <f>SUM(D54:D68)</f>
        <v>14131356</v>
      </c>
      <c r="E69" s="304">
        <f>SUM(E54:E68)</f>
        <v>14131356</v>
      </c>
      <c r="F69" s="296"/>
      <c r="G69" s="304">
        <f>SUM(G54:G68)</f>
        <v>14131356</v>
      </c>
      <c r="H69" s="304"/>
      <c r="I69" s="304"/>
      <c r="J69" s="304"/>
      <c r="K69" s="304"/>
    </row>
    <row r="70" spans="2:12" hidden="1" x14ac:dyDescent="0.25">
      <c r="B70" s="293"/>
      <c r="C70" s="294"/>
      <c r="D70" s="294"/>
      <c r="E70" s="294"/>
      <c r="F70" s="293"/>
      <c r="G70" s="294"/>
      <c r="H70" s="294"/>
      <c r="I70" s="294"/>
      <c r="J70" s="294"/>
      <c r="K70" s="294"/>
    </row>
    <row r="71" spans="2:12" hidden="1" x14ac:dyDescent="0.25">
      <c r="B71" s="298" t="s">
        <v>417</v>
      </c>
      <c r="C71" s="294"/>
      <c r="D71" s="294"/>
      <c r="E71" s="294"/>
      <c r="F71" s="298"/>
      <c r="G71" s="294"/>
      <c r="H71" s="294"/>
      <c r="I71" s="294"/>
      <c r="J71" s="294"/>
      <c r="K71" s="294"/>
    </row>
    <row r="72" spans="2:12" x14ac:dyDescent="0.25">
      <c r="B72" s="293" t="s">
        <v>649</v>
      </c>
      <c r="C72" s="287" t="str">
        <f>+C51</f>
        <v>31 Dhjetor 2018</v>
      </c>
      <c r="D72" s="287" t="str">
        <f>+D51</f>
        <v>31 Dhjetor 2017</v>
      </c>
      <c r="E72" s="287" t="str">
        <f>+E51</f>
        <v>31 Dhjetor 2016</v>
      </c>
      <c r="F72" s="293"/>
      <c r="G72" s="287" t="str">
        <f>+G51</f>
        <v>31 Dhjetor 2015</v>
      </c>
      <c r="H72" s="287" t="str">
        <f>+H51</f>
        <v>30 Prill 2015</v>
      </c>
      <c r="I72" s="287" t="str">
        <f>+I51</f>
        <v>31 Dhjetor 2014</v>
      </c>
      <c r="J72" s="287" t="str">
        <f>+J51</f>
        <v>31 Dhjetor 2012</v>
      </c>
      <c r="K72" s="287" t="s">
        <v>533</v>
      </c>
    </row>
    <row r="73" spans="2:12" x14ac:dyDescent="0.25">
      <c r="B73" s="293" t="s">
        <v>102</v>
      </c>
      <c r="C73" s="286">
        <v>772055</v>
      </c>
      <c r="D73" s="286">
        <v>2975722</v>
      </c>
      <c r="E73" s="286">
        <v>826958</v>
      </c>
      <c r="F73" s="293"/>
      <c r="G73" s="286">
        <v>355858</v>
      </c>
      <c r="H73" s="286">
        <v>0</v>
      </c>
      <c r="I73" s="286">
        <v>0</v>
      </c>
      <c r="J73" s="286">
        <v>0</v>
      </c>
      <c r="K73" s="286">
        <v>0</v>
      </c>
    </row>
    <row r="74" spans="2:12" x14ac:dyDescent="0.25">
      <c r="B74" s="293" t="s">
        <v>103</v>
      </c>
      <c r="C74" s="286">
        <f>+BA!D103</f>
        <v>398141</v>
      </c>
      <c r="D74" s="286">
        <f>+BA!E103</f>
        <v>476219</v>
      </c>
      <c r="E74" s="286">
        <f>+BA!F103</f>
        <v>239044</v>
      </c>
      <c r="F74" s="293"/>
      <c r="G74" s="286">
        <f>+BA!G103</f>
        <v>310017</v>
      </c>
      <c r="H74" s="286">
        <f>+BA!H103</f>
        <v>25110</v>
      </c>
      <c r="I74" s="286">
        <f>+BA!I103</f>
        <v>50220</v>
      </c>
      <c r="J74" s="286">
        <f>+BA!J103</f>
        <v>34044</v>
      </c>
      <c r="K74" s="286">
        <f>+BA!K103</f>
        <v>0</v>
      </c>
      <c r="L74" s="286">
        <f>+BA!L103</f>
        <v>0</v>
      </c>
    </row>
    <row r="75" spans="2:12" x14ac:dyDescent="0.25">
      <c r="B75" s="293" t="s">
        <v>691</v>
      </c>
      <c r="C75" s="286">
        <v>3150</v>
      </c>
      <c r="D75" s="286">
        <v>4726</v>
      </c>
      <c r="E75" s="286">
        <f>3150+4267874</f>
        <v>4271024</v>
      </c>
      <c r="F75" s="293"/>
      <c r="G75" s="286">
        <f>24344+3150</f>
        <v>27494</v>
      </c>
      <c r="H75" s="286">
        <f>+BA!H104</f>
        <v>19285</v>
      </c>
      <c r="I75" s="286">
        <f>+BA!I104</f>
        <v>0</v>
      </c>
      <c r="J75" s="286">
        <f>+BA!J104</f>
        <v>138964</v>
      </c>
      <c r="K75" s="286" t="e">
        <f>+BA!#REF!</f>
        <v>#REF!</v>
      </c>
    </row>
    <row r="76" spans="2:12" x14ac:dyDescent="0.25">
      <c r="B76" s="293" t="s">
        <v>488</v>
      </c>
      <c r="C76" s="286">
        <f>+BA!D102</f>
        <v>1232000</v>
      </c>
      <c r="D76" s="286">
        <v>864330</v>
      </c>
      <c r="E76" s="286">
        <f>+BA!F102</f>
        <v>1011528</v>
      </c>
      <c r="F76" s="293"/>
      <c r="G76" s="286">
        <f>+BA!G102</f>
        <v>499032</v>
      </c>
      <c r="H76" s="286">
        <f>+BA!H105</f>
        <v>0</v>
      </c>
      <c r="I76" s="286">
        <f>+BA!I102</f>
        <v>0</v>
      </c>
      <c r="J76" s="286">
        <f>+BA!J102</f>
        <v>0</v>
      </c>
      <c r="K76" s="286" t="e">
        <f>+BA!#REF!</f>
        <v>#REF!</v>
      </c>
    </row>
    <row r="77" spans="2:12" hidden="1" x14ac:dyDescent="0.25">
      <c r="B77" s="293"/>
      <c r="C77" s="286"/>
      <c r="D77" s="286"/>
      <c r="E77" s="286"/>
      <c r="F77" s="293"/>
      <c r="G77" s="286"/>
      <c r="H77" s="286">
        <f>+BA!H106</f>
        <v>0</v>
      </c>
      <c r="I77" s="286"/>
      <c r="J77" s="286"/>
      <c r="K77" s="286"/>
    </row>
    <row r="78" spans="2:12" x14ac:dyDescent="0.25">
      <c r="B78" s="295" t="s">
        <v>2</v>
      </c>
      <c r="C78" s="294">
        <f>SUM(C73:C76)</f>
        <v>2405346</v>
      </c>
      <c r="D78" s="294">
        <f>SUM(D73:D76)</f>
        <v>4320997</v>
      </c>
      <c r="E78" s="294">
        <f>SUM(E73:E76)</f>
        <v>6348554</v>
      </c>
      <c r="F78" s="295"/>
      <c r="G78" s="294">
        <f>SUM(G73:G76)</f>
        <v>1192401</v>
      </c>
      <c r="H78" s="286">
        <f>+BA!H107</f>
        <v>0</v>
      </c>
      <c r="I78" s="294">
        <f>SUM(I73:I76)</f>
        <v>50220</v>
      </c>
      <c r="J78" s="294">
        <f>SUM(J73:J76)</f>
        <v>173008</v>
      </c>
      <c r="K78" s="294" t="e">
        <f>SUM(K73:K76)</f>
        <v>#REF!</v>
      </c>
    </row>
    <row r="79" spans="2:12" x14ac:dyDescent="0.25">
      <c r="B79" s="293"/>
      <c r="C79" s="304"/>
      <c r="D79" s="304"/>
      <c r="E79" s="304"/>
      <c r="F79" s="293"/>
      <c r="G79" s="304"/>
      <c r="H79" s="304"/>
      <c r="I79" s="304"/>
      <c r="J79" s="304"/>
      <c r="K79" s="304"/>
    </row>
    <row r="80" spans="2:12" x14ac:dyDescent="0.25">
      <c r="B80" s="296"/>
      <c r="C80" s="304">
        <f>+BK!D47+BK!D46</f>
        <v>2405346</v>
      </c>
      <c r="D80" s="304">
        <f>+BK!E47+BK!E46</f>
        <v>4320997</v>
      </c>
      <c r="E80" s="304">
        <f>+BK!F47+BK!F46</f>
        <v>6348554</v>
      </c>
      <c r="F80" s="296"/>
      <c r="G80" s="304">
        <f>+G45</f>
        <v>0</v>
      </c>
      <c r="H80" s="304">
        <f>+H45</f>
        <v>0</v>
      </c>
      <c r="I80" s="304">
        <f>+I45</f>
        <v>0</v>
      </c>
      <c r="J80" s="304">
        <f>+J45</f>
        <v>0</v>
      </c>
      <c r="K80" s="304" t="e">
        <f>+K45</f>
        <v>#REF!</v>
      </c>
    </row>
    <row r="81" spans="2:11" x14ac:dyDescent="0.25">
      <c r="B81" s="293"/>
      <c r="C81" s="296"/>
      <c r="D81" s="296"/>
      <c r="E81" s="296"/>
      <c r="F81" s="293"/>
      <c r="G81" s="296"/>
      <c r="H81" s="296"/>
      <c r="I81" s="296"/>
      <c r="J81" s="296"/>
      <c r="K81" s="296"/>
    </row>
    <row r="82" spans="2:11" x14ac:dyDescent="0.25">
      <c r="B82" s="293"/>
      <c r="C82" s="287" t="str">
        <f>+C72</f>
        <v>31 Dhjetor 2018</v>
      </c>
      <c r="D82" s="287" t="str">
        <f>+D72</f>
        <v>31 Dhjetor 2017</v>
      </c>
      <c r="E82" s="287" t="str">
        <f>+E72</f>
        <v>31 Dhjetor 2016</v>
      </c>
      <c r="F82" s="293"/>
      <c r="G82" s="287" t="str">
        <f>+G72</f>
        <v>31 Dhjetor 2015</v>
      </c>
      <c r="H82" s="287" t="str">
        <f>+H72</f>
        <v>30 Prill 2015</v>
      </c>
      <c r="I82" s="287" t="str">
        <f>+I72</f>
        <v>31 Dhjetor 2014</v>
      </c>
      <c r="J82" s="287" t="str">
        <f>+J72</f>
        <v>31 Dhjetor 2012</v>
      </c>
      <c r="K82" s="287" t="s">
        <v>533</v>
      </c>
    </row>
    <row r="83" spans="2:11" x14ac:dyDescent="0.25">
      <c r="B83" s="293" t="s">
        <v>114</v>
      </c>
      <c r="C83" s="286">
        <f>+BK!D48</f>
        <v>0</v>
      </c>
      <c r="D83" s="286">
        <f>+BK!E48</f>
        <v>0</v>
      </c>
      <c r="E83" s="286">
        <f>+BK!F48</f>
        <v>0</v>
      </c>
      <c r="F83" s="293"/>
      <c r="G83" s="286">
        <f>+BK!G48</f>
        <v>0</v>
      </c>
      <c r="H83" s="286">
        <f>+BK!H48</f>
        <v>0</v>
      </c>
      <c r="I83" s="286">
        <f>+BK!I48</f>
        <v>0</v>
      </c>
      <c r="J83" s="286">
        <f>+BK!J48</f>
        <v>0</v>
      </c>
      <c r="K83" s="286" t="e">
        <f>+BK!K48</f>
        <v>#REF!</v>
      </c>
    </row>
    <row r="84" spans="2:11" x14ac:dyDescent="0.25">
      <c r="B84" s="293"/>
      <c r="C84" s="286"/>
      <c r="D84" s="286"/>
      <c r="E84" s="286"/>
      <c r="F84" s="293"/>
      <c r="G84" s="286"/>
      <c r="H84" s="286"/>
      <c r="I84" s="286"/>
      <c r="J84" s="286"/>
      <c r="K84" s="286"/>
    </row>
    <row r="85" spans="2:11" x14ac:dyDescent="0.25">
      <c r="B85" s="295" t="s">
        <v>2</v>
      </c>
      <c r="C85" s="294">
        <f>SUM(C83:C83)</f>
        <v>0</v>
      </c>
      <c r="D85" s="294">
        <f>SUM(D83:D83)</f>
        <v>0</v>
      </c>
      <c r="E85" s="294">
        <f>SUM(E83:E83)</f>
        <v>0</v>
      </c>
      <c r="F85" s="295"/>
      <c r="G85" s="294">
        <f>SUM(G83:G83)</f>
        <v>0</v>
      </c>
      <c r="H85" s="294">
        <f>SUM(H83:H83)</f>
        <v>0</v>
      </c>
      <c r="I85" s="294">
        <f>SUM(I83:I83)</f>
        <v>0</v>
      </c>
      <c r="J85" s="294">
        <f>SUM(J83:J83)</f>
        <v>0</v>
      </c>
      <c r="K85" s="294" t="e">
        <f>SUM(K83:K83)</f>
        <v>#REF!</v>
      </c>
    </row>
    <row r="86" spans="2:11" x14ac:dyDescent="0.25">
      <c r="B86" s="293"/>
      <c r="C86" s="297">
        <f>+BK!D48</f>
        <v>0</v>
      </c>
      <c r="D86" s="297">
        <f>+BK!E48</f>
        <v>0</v>
      </c>
      <c r="E86" s="297">
        <f>+BK!F48</f>
        <v>0</v>
      </c>
      <c r="F86" s="293"/>
      <c r="G86" s="297">
        <f>+BK!G48</f>
        <v>0</v>
      </c>
      <c r="H86" s="297">
        <f>+BK!H48</f>
        <v>0</v>
      </c>
      <c r="I86" s="297">
        <f>+BK!I48</f>
        <v>0</v>
      </c>
      <c r="J86" s="297">
        <f>+BK!J48</f>
        <v>0</v>
      </c>
      <c r="K86" s="297" t="e">
        <f>+BK!K48</f>
        <v>#REF!</v>
      </c>
    </row>
    <row r="87" spans="2:11" x14ac:dyDescent="0.25">
      <c r="B87" s="293"/>
      <c r="C87" s="296"/>
      <c r="D87" s="296"/>
      <c r="E87" s="296"/>
      <c r="F87" s="293"/>
      <c r="G87" s="296"/>
      <c r="H87" s="296"/>
      <c r="I87" s="296"/>
      <c r="J87" s="296"/>
      <c r="K87" s="296"/>
    </row>
    <row r="88" spans="2:11" x14ac:dyDescent="0.25">
      <c r="B88" s="293" t="s">
        <v>489</v>
      </c>
      <c r="C88" s="293"/>
      <c r="D88" s="293"/>
      <c r="E88" s="293"/>
      <c r="F88" s="293"/>
      <c r="G88" s="293"/>
      <c r="H88" s="293"/>
      <c r="I88" s="293"/>
      <c r="J88" s="293"/>
      <c r="K88" s="293"/>
    </row>
    <row r="89" spans="2:11" x14ac:dyDescent="0.25">
      <c r="B89" s="286"/>
      <c r="C89" s="287" t="str">
        <f>+C82</f>
        <v>31 Dhjetor 2018</v>
      </c>
      <c r="D89" s="287" t="str">
        <f>+D82</f>
        <v>31 Dhjetor 2017</v>
      </c>
      <c r="E89" s="287" t="str">
        <f>+E82</f>
        <v>31 Dhjetor 2016</v>
      </c>
      <c r="F89" s="286"/>
      <c r="G89" s="287" t="str">
        <f>+G82</f>
        <v>31 Dhjetor 2015</v>
      </c>
      <c r="H89" s="287" t="str">
        <f>+H82</f>
        <v>30 Prill 2015</v>
      </c>
      <c r="I89" s="287" t="str">
        <f>+I82</f>
        <v>31 Dhjetor 2014</v>
      </c>
      <c r="J89" s="287" t="str">
        <f>+J82</f>
        <v>31 Dhjetor 2012</v>
      </c>
      <c r="K89" s="287" t="s">
        <v>533</v>
      </c>
    </row>
    <row r="90" spans="2:11" x14ac:dyDescent="0.25">
      <c r="B90" s="286" t="s">
        <v>692</v>
      </c>
      <c r="C90" s="286">
        <f>+BA!D45</f>
        <v>5189578</v>
      </c>
      <c r="D90" s="286">
        <f>+BA!E45</f>
        <v>473167</v>
      </c>
      <c r="E90" s="286">
        <f>+BA!F45</f>
        <v>0</v>
      </c>
      <c r="F90" s="286"/>
      <c r="G90" s="286">
        <f>+BA!G45</f>
        <v>965</v>
      </c>
      <c r="H90" s="286">
        <f>+BA!H45</f>
        <v>97012</v>
      </c>
      <c r="I90" s="286">
        <f>+BA!I45</f>
        <v>10417</v>
      </c>
      <c r="J90" s="286">
        <f>+BA!J45</f>
        <v>633</v>
      </c>
      <c r="K90" s="286" t="e">
        <f>+BA!#REF!</f>
        <v>#REF!</v>
      </c>
    </row>
    <row r="91" spans="2:11" x14ac:dyDescent="0.25">
      <c r="B91" s="290" t="s">
        <v>2</v>
      </c>
      <c r="C91" s="292">
        <f>SUM(C90:C90)</f>
        <v>5189578</v>
      </c>
      <c r="D91" s="292">
        <f>SUM(D90:D90)</f>
        <v>473167</v>
      </c>
      <c r="E91" s="292">
        <f>SUM(E90:E90)</f>
        <v>0</v>
      </c>
      <c r="F91" s="290"/>
      <c r="G91" s="292">
        <f>SUM(G90:G90)</f>
        <v>965</v>
      </c>
      <c r="H91" s="292">
        <f>SUM(H90:H90)</f>
        <v>97012</v>
      </c>
      <c r="I91" s="292">
        <f>SUM(I90:I90)</f>
        <v>10417</v>
      </c>
      <c r="J91" s="292">
        <f>SUM(J90:J90)</f>
        <v>633</v>
      </c>
      <c r="K91" s="292" t="e">
        <f>SUM(K90:K90)</f>
        <v>#REF!</v>
      </c>
    </row>
    <row r="92" spans="2:11" x14ac:dyDescent="0.25">
      <c r="B92" s="286"/>
      <c r="C92" s="306">
        <f>+D20</f>
        <v>473167</v>
      </c>
      <c r="D92" s="306">
        <f>+E20</f>
        <v>0</v>
      </c>
      <c r="E92" s="306">
        <f>+F20</f>
        <v>0</v>
      </c>
      <c r="F92" s="286"/>
      <c r="G92" s="306">
        <f>+G20</f>
        <v>965</v>
      </c>
      <c r="H92" s="306">
        <f>+H20</f>
        <v>97012</v>
      </c>
      <c r="I92" s="306">
        <f>+I20</f>
        <v>10417</v>
      </c>
      <c r="J92" s="306">
        <f>+J20</f>
        <v>0</v>
      </c>
      <c r="K92" s="306" t="e">
        <f>+K20</f>
        <v>#REF!</v>
      </c>
    </row>
    <row r="93" spans="2:11" x14ac:dyDescent="0.25">
      <c r="B93" s="292" t="s">
        <v>490</v>
      </c>
      <c r="C93" s="286"/>
      <c r="D93" s="286"/>
      <c r="E93" s="286"/>
      <c r="F93" s="307"/>
      <c r="G93" s="286"/>
      <c r="H93" s="286"/>
      <c r="I93" s="286"/>
      <c r="J93" s="286"/>
      <c r="K93" s="286"/>
    </row>
    <row r="94" spans="2:11" x14ac:dyDescent="0.25">
      <c r="B94" s="286" t="s">
        <v>451</v>
      </c>
      <c r="C94" s="287" t="str">
        <f>+C89</f>
        <v>31 Dhjetor 2018</v>
      </c>
      <c r="D94" s="287" t="str">
        <f>+D89</f>
        <v>31 Dhjetor 2017</v>
      </c>
      <c r="E94" s="287" t="str">
        <f>+E89</f>
        <v>31 Dhjetor 2016</v>
      </c>
      <c r="F94" s="287" t="s">
        <v>618</v>
      </c>
      <c r="G94" s="287" t="s">
        <v>654</v>
      </c>
      <c r="H94" s="287" t="s">
        <v>657</v>
      </c>
      <c r="I94" s="287" t="str">
        <f>+I89</f>
        <v>31 Dhjetor 2014</v>
      </c>
      <c r="J94" s="287" t="str">
        <f>+J89</f>
        <v>31 Dhjetor 2012</v>
      </c>
      <c r="K94" s="287" t="s">
        <v>533</v>
      </c>
    </row>
    <row r="95" spans="2:11" x14ac:dyDescent="0.25">
      <c r="B95" s="286" t="s">
        <v>567</v>
      </c>
      <c r="C95" s="308">
        <f>+'A-Sh BA'!C14</f>
        <v>252525325</v>
      </c>
      <c r="D95" s="308">
        <f>+'A-Sh BA'!D14</f>
        <v>301001005</v>
      </c>
      <c r="E95" s="308">
        <f>+'A-Sh BA'!E14</f>
        <v>197083125</v>
      </c>
      <c r="F95" s="286">
        <f>+H95+G95</f>
        <v>59517135</v>
      </c>
      <c r="G95" s="308">
        <f>+'A-Sh BA'!F14</f>
        <v>51741515</v>
      </c>
      <c r="H95" s="308">
        <f>+'A-Sh BA'!G14</f>
        <v>7775620</v>
      </c>
      <c r="I95" s="308">
        <f>+'A-Sh BA'!H14</f>
        <v>1441665</v>
      </c>
      <c r="J95" s="308">
        <f>+'A-Sh BA'!I15</f>
        <v>0</v>
      </c>
      <c r="K95" s="308" t="e">
        <f>+'A-Sh BA'!#REF!</f>
        <v>#REF!</v>
      </c>
    </row>
    <row r="96" spans="2:11" x14ac:dyDescent="0.25">
      <c r="B96" s="290" t="s">
        <v>2</v>
      </c>
      <c r="C96" s="292">
        <f>SUM(C95:C95)</f>
        <v>252525325</v>
      </c>
      <c r="D96" s="292">
        <f>SUM(D95:D95)</f>
        <v>301001005</v>
      </c>
      <c r="E96" s="292">
        <f>SUM(E95:E95)</f>
        <v>197083125</v>
      </c>
      <c r="F96" s="286">
        <f>+H96+G96</f>
        <v>59517135</v>
      </c>
      <c r="G96" s="292">
        <f>SUM(G95:G95)</f>
        <v>51741515</v>
      </c>
      <c r="H96" s="292">
        <f>SUM(H95:H95)</f>
        <v>7775620</v>
      </c>
      <c r="I96" s="292">
        <f>SUM(I95:I95)</f>
        <v>1441665</v>
      </c>
      <c r="J96" s="292">
        <f>SUM(J95:J95)</f>
        <v>0</v>
      </c>
      <c r="K96" s="292" t="e">
        <f>SUM(K95:K95)</f>
        <v>#REF!</v>
      </c>
    </row>
    <row r="97" spans="2:12" x14ac:dyDescent="0.25">
      <c r="B97" s="286"/>
      <c r="C97" s="306">
        <f>'ardh-shpenz'!D8</f>
        <v>252525325</v>
      </c>
      <c r="D97" s="306">
        <f>'ardh-shpenz'!E8</f>
        <v>301001005</v>
      </c>
      <c r="E97" s="306">
        <f>'ardh-shpenz'!F8</f>
        <v>197083125</v>
      </c>
      <c r="F97" s="286"/>
      <c r="G97" s="306">
        <f>'ardh-shpenz'!H8</f>
        <v>51741515</v>
      </c>
      <c r="H97" s="306">
        <f>'ardh-shpenz'!I8</f>
        <v>7775620</v>
      </c>
      <c r="I97" s="306">
        <f>'ardh-shpenz'!J8</f>
        <v>1441665</v>
      </c>
      <c r="J97" s="306">
        <f>'ardh-shpenz'!K8</f>
        <v>6419730</v>
      </c>
      <c r="K97" s="306" t="e">
        <f>'ardh-shpenz'!L8</f>
        <v>#REF!</v>
      </c>
    </row>
    <row r="98" spans="2:12" x14ac:dyDescent="0.25">
      <c r="B98" s="286"/>
      <c r="C98" s="306"/>
      <c r="D98" s="306"/>
      <c r="E98" s="306"/>
      <c r="F98" s="286"/>
      <c r="G98" s="306"/>
      <c r="H98" s="306"/>
      <c r="I98" s="306"/>
      <c r="J98" s="306"/>
      <c r="K98" s="306"/>
    </row>
    <row r="99" spans="2:12" x14ac:dyDescent="0.25">
      <c r="B99" s="286"/>
      <c r="C99" s="287" t="str">
        <f>+C94</f>
        <v>31 Dhjetor 2018</v>
      </c>
      <c r="D99" s="287" t="str">
        <f>+D94</f>
        <v>31 Dhjetor 2017</v>
      </c>
      <c r="E99" s="287" t="str">
        <f>+E94</f>
        <v>31 Dhjetor 2016</v>
      </c>
      <c r="F99" s="286"/>
      <c r="G99" s="287" t="str">
        <f>+G94</f>
        <v>01/05-31/12/2015</v>
      </c>
      <c r="H99" s="287" t="str">
        <f>+H94</f>
        <v>01/01-30/04/2015</v>
      </c>
      <c r="I99" s="287" t="str">
        <f>+I94</f>
        <v>31 Dhjetor 2014</v>
      </c>
      <c r="J99" s="287" t="str">
        <f>+J94</f>
        <v>31 Dhjetor 2012</v>
      </c>
      <c r="K99" s="287" t="s">
        <v>533</v>
      </c>
    </row>
    <row r="100" spans="2:12" x14ac:dyDescent="0.25">
      <c r="B100" s="286" t="s">
        <v>418</v>
      </c>
      <c r="C100" s="286">
        <v>0</v>
      </c>
      <c r="D100" s="286">
        <v>0</v>
      </c>
      <c r="E100" s="286">
        <v>0</v>
      </c>
      <c r="F100" s="286"/>
      <c r="G100" s="286">
        <v>0</v>
      </c>
      <c r="H100" s="286">
        <v>0</v>
      </c>
      <c r="I100" s="286">
        <v>0</v>
      </c>
      <c r="J100" s="286">
        <v>0</v>
      </c>
      <c r="K100" s="286">
        <v>0</v>
      </c>
    </row>
    <row r="101" spans="2:12" x14ac:dyDescent="0.25">
      <c r="B101" s="286" t="s">
        <v>129</v>
      </c>
      <c r="C101" s="286">
        <v>0</v>
      </c>
      <c r="D101" s="286">
        <v>0</v>
      </c>
      <c r="E101" s="286">
        <v>0</v>
      </c>
      <c r="F101" s="286"/>
      <c r="G101" s="286">
        <v>0</v>
      </c>
      <c r="H101" s="286">
        <v>0</v>
      </c>
      <c r="I101" s="286">
        <v>0</v>
      </c>
      <c r="J101" s="286">
        <v>0</v>
      </c>
      <c r="K101" s="286">
        <v>0</v>
      </c>
    </row>
    <row r="102" spans="2:12" x14ac:dyDescent="0.25">
      <c r="B102" s="286"/>
      <c r="C102" s="294"/>
      <c r="D102" s="294"/>
      <c r="E102" s="294"/>
      <c r="F102" s="286"/>
      <c r="G102" s="294"/>
      <c r="H102" s="294"/>
      <c r="I102" s="294"/>
      <c r="J102" s="294"/>
      <c r="K102" s="294"/>
    </row>
    <row r="103" spans="2:12" x14ac:dyDescent="0.25">
      <c r="B103" s="290" t="s">
        <v>2</v>
      </c>
      <c r="C103" s="292">
        <f>SUM(C100:C102)</f>
        <v>0</v>
      </c>
      <c r="D103" s="292">
        <f>SUM(D100:D102)</f>
        <v>0</v>
      </c>
      <c r="E103" s="292">
        <f>SUM(E100:E102)</f>
        <v>0</v>
      </c>
      <c r="F103" s="290"/>
      <c r="G103" s="292">
        <f>SUM(G100:G102)</f>
        <v>0</v>
      </c>
      <c r="H103" s="292">
        <f>SUM(H100:H102)</f>
        <v>0</v>
      </c>
      <c r="I103" s="292">
        <f>SUM(I100:I102)</f>
        <v>0</v>
      </c>
      <c r="J103" s="292">
        <f>SUM(J100:J102)</f>
        <v>0</v>
      </c>
      <c r="K103" s="292">
        <f>SUM(K100:K102)</f>
        <v>0</v>
      </c>
    </row>
    <row r="104" spans="2:12" x14ac:dyDescent="0.25">
      <c r="B104" s="286"/>
      <c r="C104" s="306"/>
      <c r="D104" s="306"/>
      <c r="E104" s="306"/>
      <c r="F104" s="286"/>
      <c r="G104" s="306"/>
      <c r="H104" s="306"/>
      <c r="I104" s="306"/>
      <c r="J104" s="306"/>
      <c r="K104" s="306"/>
    </row>
    <row r="105" spans="2:12" x14ac:dyDescent="0.25">
      <c r="B105" s="309"/>
      <c r="C105" s="286"/>
      <c r="D105" s="286"/>
      <c r="E105" s="286"/>
      <c r="F105" s="309"/>
      <c r="G105" s="286"/>
      <c r="H105" s="286"/>
      <c r="I105" s="286"/>
      <c r="J105" s="286"/>
      <c r="K105" s="286"/>
    </row>
    <row r="106" spans="2:12" x14ac:dyDescent="0.25">
      <c r="B106" s="286" t="s">
        <v>451</v>
      </c>
      <c r="C106" s="287" t="str">
        <f>+C99</f>
        <v>31 Dhjetor 2018</v>
      </c>
      <c r="D106" s="287" t="str">
        <f>+D99</f>
        <v>31 Dhjetor 2017</v>
      </c>
      <c r="E106" s="287" t="str">
        <f>+E99</f>
        <v>31 Dhjetor 2016</v>
      </c>
      <c r="F106" s="286" t="str">
        <f>+F94</f>
        <v>31 Dhjetor 2015</v>
      </c>
      <c r="G106" s="287" t="str">
        <f>+G99</f>
        <v>01/05-31/12/2015</v>
      </c>
      <c r="H106" s="287" t="str">
        <f>+H99</f>
        <v>01/01-30/04/2015</v>
      </c>
      <c r="I106" s="287" t="str">
        <f>+I99</f>
        <v>31 Dhjetor 2014</v>
      </c>
      <c r="J106" s="287" t="str">
        <f>+J99</f>
        <v>31 Dhjetor 2012</v>
      </c>
      <c r="K106" s="287" t="s">
        <v>533</v>
      </c>
    </row>
    <row r="107" spans="2:12" x14ac:dyDescent="0.25">
      <c r="B107" s="286" t="s">
        <v>658</v>
      </c>
      <c r="C107" s="286">
        <f>+'A-Sh BA'!C66</f>
        <v>239895292</v>
      </c>
      <c r="D107" s="286">
        <f>+'A-Sh BA'!D66</f>
        <v>214502823</v>
      </c>
      <c r="E107" s="286">
        <f>+'A-Sh BA'!E66</f>
        <v>143838581</v>
      </c>
      <c r="F107" s="286">
        <f>+H107+G107</f>
        <v>52165682</v>
      </c>
      <c r="G107" s="286">
        <f>+'A-Sh BA'!F66</f>
        <v>44037435</v>
      </c>
      <c r="H107" s="286">
        <f>+'A-Sh BA'!G66</f>
        <v>8128247</v>
      </c>
      <c r="I107" s="286">
        <f>+'A-Sh BA'!H66</f>
        <v>817123</v>
      </c>
      <c r="J107" s="286">
        <f>+'A-Sh BA'!I69</f>
        <v>0</v>
      </c>
      <c r="K107" s="286" t="e">
        <f>+'A-Sh BA'!#REF!</f>
        <v>#REF!</v>
      </c>
    </row>
    <row r="108" spans="2:12" x14ac:dyDescent="0.25">
      <c r="B108" s="286" t="s">
        <v>563</v>
      </c>
      <c r="C108" s="286">
        <f>+'A-Sh BA'!C67</f>
        <v>0</v>
      </c>
      <c r="D108" s="286">
        <f>+'A-Sh BA'!D67</f>
        <v>0</v>
      </c>
      <c r="E108" s="286">
        <f>+'A-Sh BA'!E67</f>
        <v>3077645</v>
      </c>
      <c r="F108" s="286">
        <f>+H108+G108</f>
        <v>-3077645</v>
      </c>
      <c r="G108" s="286">
        <f>+'A-Sh BA'!F67</f>
        <v>-1456321</v>
      </c>
      <c r="H108" s="286">
        <f>+'A-Sh BA'!G67</f>
        <v>-1621324</v>
      </c>
      <c r="I108" s="286">
        <f>+'A-Sh BA'!H67</f>
        <v>0</v>
      </c>
      <c r="J108" s="286">
        <f>+'A-Sh BA'!I67</f>
        <v>0</v>
      </c>
      <c r="K108" s="286">
        <f>+'A-Sh BA'!J67</f>
        <v>0</v>
      </c>
      <c r="L108" s="286">
        <f>+'A-Sh BA'!K67</f>
        <v>0</v>
      </c>
    </row>
    <row r="109" spans="2:12" x14ac:dyDescent="0.25">
      <c r="B109" s="290" t="s">
        <v>2</v>
      </c>
      <c r="C109" s="292">
        <f>SUM(C107:C108)</f>
        <v>239895292</v>
      </c>
      <c r="D109" s="292">
        <f>SUM(D107:D108)</f>
        <v>214502823</v>
      </c>
      <c r="E109" s="292">
        <f>SUM(E107:E108)</f>
        <v>146916226</v>
      </c>
      <c r="F109" s="286">
        <f>+H109+G109</f>
        <v>49088037</v>
      </c>
      <c r="G109" s="292">
        <f>SUM(G107:G108)</f>
        <v>42581114</v>
      </c>
      <c r="H109" s="292">
        <f>SUM(H107:H108)</f>
        <v>6506923</v>
      </c>
      <c r="I109" s="292">
        <f>SUM(I107:I108)</f>
        <v>817123</v>
      </c>
      <c r="J109" s="292">
        <f>SUM(J107:J108)</f>
        <v>0</v>
      </c>
      <c r="K109" s="292" t="e">
        <f>SUM(K107:K108)</f>
        <v>#REF!</v>
      </c>
    </row>
    <row r="110" spans="2:12" x14ac:dyDescent="0.25">
      <c r="B110" s="286"/>
      <c r="C110" s="402">
        <f>+'ardh-shpenz'!D12</f>
        <v>-239895292</v>
      </c>
      <c r="D110" s="402">
        <f>+'ardh-shpenz'!E12</f>
        <v>-214502823</v>
      </c>
      <c r="E110" s="402">
        <f>+'ardh-shpenz'!F12</f>
        <v>-146916226</v>
      </c>
      <c r="F110" s="286"/>
      <c r="G110" s="402">
        <f>+'ardh-shpenz'!H12</f>
        <v>-42581114</v>
      </c>
      <c r="H110" s="402">
        <f>+'ardh-shpenz'!I12</f>
        <v>-6506923</v>
      </c>
      <c r="I110" s="286">
        <f>+'ardh-shpenz'!J12</f>
        <v>-817123</v>
      </c>
      <c r="J110" s="286">
        <f>+'ardh-shpenz'!K12</f>
        <v>0</v>
      </c>
      <c r="K110" s="286" t="e">
        <f>+'ardh-shpenz'!L12</f>
        <v>#REF!</v>
      </c>
    </row>
    <row r="111" spans="2:12" x14ac:dyDescent="0.25">
      <c r="B111" s="286"/>
      <c r="C111" s="286"/>
      <c r="D111" s="286"/>
      <c r="E111" s="286"/>
      <c r="F111" s="286"/>
      <c r="G111" s="286"/>
      <c r="H111" s="286"/>
      <c r="I111" s="286"/>
      <c r="J111" s="286"/>
      <c r="K111" s="286"/>
    </row>
    <row r="112" spans="2:12" x14ac:dyDescent="0.25">
      <c r="B112" s="286" t="s">
        <v>311</v>
      </c>
      <c r="C112" s="286"/>
      <c r="D112" s="286"/>
      <c r="E112" s="286"/>
      <c r="F112" s="286"/>
      <c r="G112" s="286"/>
      <c r="H112" s="286"/>
      <c r="I112" s="286"/>
      <c r="J112" s="286"/>
      <c r="K112" s="286"/>
    </row>
    <row r="113" spans="2:17" x14ac:dyDescent="0.25">
      <c r="B113" s="286" t="s">
        <v>451</v>
      </c>
      <c r="C113" s="287" t="str">
        <f>+C106</f>
        <v>31 Dhjetor 2018</v>
      </c>
      <c r="D113" s="287" t="str">
        <f>+D106</f>
        <v>31 Dhjetor 2017</v>
      </c>
      <c r="E113" s="287" t="str">
        <f>+E106</f>
        <v>31 Dhjetor 2016</v>
      </c>
      <c r="F113" s="286" t="s">
        <v>618</v>
      </c>
      <c r="G113" s="287" t="str">
        <f>+G106</f>
        <v>01/05-31/12/2015</v>
      </c>
      <c r="H113" s="287" t="str">
        <f>+H106</f>
        <v>01/01-30/04/2015</v>
      </c>
      <c r="I113" s="287" t="str">
        <f>+I106</f>
        <v>31 Dhjetor 2014</v>
      </c>
      <c r="J113" s="287" t="str">
        <f>+J106</f>
        <v>31 Dhjetor 2012</v>
      </c>
      <c r="K113" s="287" t="s">
        <v>533</v>
      </c>
    </row>
    <row r="114" spans="2:17" x14ac:dyDescent="0.25">
      <c r="B114" s="293" t="s">
        <v>105</v>
      </c>
      <c r="C114" s="286">
        <f>+'A-Sh BA'!C73</f>
        <v>13061850</v>
      </c>
      <c r="D114" s="286">
        <f>+'A-Sh BA'!D73</f>
        <v>11168650</v>
      </c>
      <c r="E114" s="286">
        <f>+'A-Sh BA'!E73</f>
        <v>10303800</v>
      </c>
      <c r="F114" s="440">
        <f>+H114+G114</f>
        <v>5353550</v>
      </c>
      <c r="G114" s="286">
        <f>+'A-Sh BA'!F73</f>
        <v>4636000</v>
      </c>
      <c r="H114" s="286">
        <f>+'A-Sh BA'!G73</f>
        <v>717550</v>
      </c>
      <c r="I114" s="286">
        <f>+'A-Sh BA'!H73</f>
        <v>236300</v>
      </c>
      <c r="J114" s="286">
        <f>+'A-Sh BA'!I73</f>
        <v>246000</v>
      </c>
      <c r="K114" s="286" t="e">
        <f>+'A-Sh BA'!#REF!</f>
        <v>#REF!</v>
      </c>
    </row>
    <row r="115" spans="2:17" x14ac:dyDescent="0.25">
      <c r="B115" s="286" t="s">
        <v>103</v>
      </c>
      <c r="C115" s="286">
        <f>+'A-Sh BA'!C75</f>
        <v>2162629</v>
      </c>
      <c r="D115" s="286">
        <f>+'A-Sh BA'!D75</f>
        <v>1858470</v>
      </c>
      <c r="E115" s="286">
        <f>+'A-Sh BA'!E75</f>
        <v>1689083</v>
      </c>
      <c r="F115" s="440">
        <f>+H115+G115</f>
        <v>881953</v>
      </c>
      <c r="G115" s="286">
        <f>+'A-Sh BA'!F75</f>
        <v>759944</v>
      </c>
      <c r="H115" s="286">
        <f>+'A-Sh BA'!G75</f>
        <v>122009</v>
      </c>
      <c r="I115" s="286">
        <f>+'A-Sh BA'!H75</f>
        <v>39462</v>
      </c>
      <c r="J115" s="286">
        <f>+'A-Sh BA'!I75</f>
        <v>105588</v>
      </c>
      <c r="K115" s="286" t="e">
        <f>+'A-Sh BA'!#REF!</f>
        <v>#REF!</v>
      </c>
    </row>
    <row r="116" spans="2:17" x14ac:dyDescent="0.25">
      <c r="B116" s="290" t="s">
        <v>2</v>
      </c>
      <c r="C116" s="292">
        <f>SUM(C114:C115)</f>
        <v>15224479</v>
      </c>
      <c r="D116" s="292">
        <f>SUM(D114:D115)</f>
        <v>13027120</v>
      </c>
      <c r="E116" s="292">
        <f>SUM(E114:E115)</f>
        <v>11992883</v>
      </c>
      <c r="F116" s="440">
        <f>+H116+G116</f>
        <v>6235503</v>
      </c>
      <c r="G116" s="292">
        <f>SUM(G114:G115)</f>
        <v>5395944</v>
      </c>
      <c r="H116" s="292">
        <f>SUM(H114:H115)</f>
        <v>839559</v>
      </c>
      <c r="I116" s="292">
        <f>SUM(I114:I115)</f>
        <v>275762</v>
      </c>
      <c r="J116" s="292">
        <f>SUM(J114:J115)</f>
        <v>351588</v>
      </c>
      <c r="K116" s="292" t="e">
        <f>SUM(K114:K115)</f>
        <v>#REF!</v>
      </c>
    </row>
    <row r="117" spans="2:17" x14ac:dyDescent="0.25">
      <c r="B117" s="286"/>
      <c r="C117" s="306">
        <f>+'ardh-shpenz'!D14</f>
        <v>-15224479</v>
      </c>
      <c r="D117" s="306">
        <f>+'ardh-shpenz'!E14</f>
        <v>-13027120</v>
      </c>
      <c r="E117" s="306">
        <f>+'ardh-shpenz'!F14</f>
        <v>-11992883</v>
      </c>
      <c r="F117" s="286"/>
      <c r="G117" s="306">
        <f>+'ardh-shpenz'!H14</f>
        <v>-5395944</v>
      </c>
      <c r="H117" s="306">
        <f>+'ardh-shpenz'!I14</f>
        <v>-839559</v>
      </c>
      <c r="I117" s="306">
        <f>+'ardh-shpenz'!J14</f>
        <v>-275762</v>
      </c>
      <c r="J117" s="306">
        <f>+'ardh-shpenz'!K14</f>
        <v>-351588</v>
      </c>
      <c r="K117" s="306" t="e">
        <f>+'ardh-shpenz'!L14</f>
        <v>#REF!</v>
      </c>
    </row>
    <row r="118" spans="2:17" x14ac:dyDescent="0.25">
      <c r="B118" s="286"/>
      <c r="C118" s="286"/>
      <c r="D118" s="286"/>
      <c r="E118" s="286"/>
      <c r="F118" s="286"/>
      <c r="G118" s="286"/>
      <c r="H118" s="286"/>
      <c r="I118" s="286"/>
      <c r="J118" s="286"/>
      <c r="K118" s="286"/>
    </row>
    <row r="119" spans="2:17" x14ac:dyDescent="0.25">
      <c r="B119" s="286" t="s">
        <v>82</v>
      </c>
      <c r="C119" s="286"/>
      <c r="D119" s="286"/>
      <c r="E119" s="286"/>
      <c r="F119" s="286"/>
      <c r="G119" s="286"/>
      <c r="H119" s="286"/>
      <c r="I119" s="286"/>
      <c r="J119" s="286"/>
      <c r="K119" s="286"/>
    </row>
    <row r="120" spans="2:17" x14ac:dyDescent="0.25">
      <c r="B120" s="286" t="s">
        <v>451</v>
      </c>
      <c r="C120" s="287" t="str">
        <f>+C113</f>
        <v>31 Dhjetor 2018</v>
      </c>
      <c r="D120" s="287" t="str">
        <f>+D113</f>
        <v>31 Dhjetor 2017</v>
      </c>
      <c r="E120" s="287" t="str">
        <f>+E113</f>
        <v>31 Dhjetor 2016</v>
      </c>
      <c r="F120" s="286" t="s">
        <v>618</v>
      </c>
      <c r="G120" s="287" t="str">
        <f>+G113</f>
        <v>01/05-31/12/2015</v>
      </c>
      <c r="H120" s="287" t="str">
        <f>+H113</f>
        <v>01/01-30/04/2015</v>
      </c>
      <c r="I120" s="287" t="str">
        <f>+I113</f>
        <v>31 Dhjetor 2014</v>
      </c>
      <c r="J120" s="287" t="str">
        <f>+J113</f>
        <v>31 Dhjetor 2012</v>
      </c>
      <c r="K120" s="287" t="s">
        <v>533</v>
      </c>
    </row>
    <row r="121" spans="2:17" x14ac:dyDescent="0.25">
      <c r="B121" s="286" t="s">
        <v>681</v>
      </c>
      <c r="C121" s="351">
        <v>135966</v>
      </c>
      <c r="D121" s="351">
        <v>80630</v>
      </c>
      <c r="E121" s="351">
        <v>128130</v>
      </c>
      <c r="F121" s="286"/>
      <c r="G121" s="287"/>
      <c r="H121" s="287"/>
      <c r="I121" s="287"/>
      <c r="J121" s="287"/>
      <c r="K121" s="287"/>
    </row>
    <row r="122" spans="2:17" x14ac:dyDescent="0.25">
      <c r="B122" s="407" t="s">
        <v>619</v>
      </c>
      <c r="C122" s="351">
        <v>204750</v>
      </c>
      <c r="D122" s="351">
        <v>210000</v>
      </c>
      <c r="E122" s="351">
        <v>252000</v>
      </c>
      <c r="F122" s="407">
        <f>+H122+G122</f>
        <v>186000</v>
      </c>
      <c r="G122" s="351">
        <v>146000</v>
      </c>
      <c r="H122" s="351">
        <v>40000</v>
      </c>
      <c r="I122" s="351">
        <v>10000</v>
      </c>
      <c r="J122" s="289" t="e">
        <f>+#REF!*1000</f>
        <v>#REF!</v>
      </c>
      <c r="K122" s="289" t="e">
        <f>+#REF!*1000</f>
        <v>#REF!</v>
      </c>
      <c r="N122"/>
      <c r="O122"/>
      <c r="P122" s="349"/>
      <c r="Q122"/>
    </row>
    <row r="123" spans="2:17" x14ac:dyDescent="0.25">
      <c r="B123" s="407" t="s">
        <v>725</v>
      </c>
      <c r="C123" s="351">
        <f>467078+40500</f>
        <v>507578</v>
      </c>
      <c r="D123" s="351">
        <v>168873</v>
      </c>
      <c r="E123" s="351">
        <v>10000</v>
      </c>
      <c r="F123" s="407">
        <f t="shared" ref="F123:F131" si="0">+H123+G123</f>
        <v>6667</v>
      </c>
      <c r="G123" s="351">
        <v>6667</v>
      </c>
      <c r="H123" s="351">
        <v>0</v>
      </c>
      <c r="I123" s="351">
        <v>0</v>
      </c>
      <c r="J123" s="289">
        <v>21940</v>
      </c>
      <c r="K123" s="289" t="e">
        <f>+#REF!*1000</f>
        <v>#REF!</v>
      </c>
      <c r="N123"/>
      <c r="O123"/>
      <c r="P123" s="349"/>
      <c r="Q123"/>
    </row>
    <row r="124" spans="2:17" x14ac:dyDescent="0.25">
      <c r="B124" s="407" t="s">
        <v>682</v>
      </c>
      <c r="C124" s="351">
        <v>43162</v>
      </c>
      <c r="D124" s="351">
        <f>49459+314153</f>
        <v>363612</v>
      </c>
      <c r="E124" s="351">
        <f>38500+436061</f>
        <v>474561</v>
      </c>
      <c r="F124" s="407">
        <f t="shared" si="0"/>
        <v>146783</v>
      </c>
      <c r="G124" s="351">
        <f>2400+136883</f>
        <v>139283</v>
      </c>
      <c r="H124" s="351">
        <v>7500</v>
      </c>
      <c r="I124" s="351"/>
      <c r="J124" s="289">
        <v>118889</v>
      </c>
      <c r="K124" s="289"/>
      <c r="N124"/>
      <c r="O124"/>
      <c r="P124" s="349"/>
      <c r="Q124"/>
    </row>
    <row r="125" spans="2:17" x14ac:dyDescent="0.25">
      <c r="B125" s="407" t="s">
        <v>645</v>
      </c>
      <c r="C125" s="351">
        <v>0</v>
      </c>
      <c r="D125" s="351">
        <v>50601331</v>
      </c>
      <c r="E125" s="351">
        <v>4997513</v>
      </c>
      <c r="F125" s="407">
        <f t="shared" si="0"/>
        <v>2356251</v>
      </c>
      <c r="G125" s="351">
        <v>2356251</v>
      </c>
      <c r="H125" s="351">
        <v>0</v>
      </c>
      <c r="I125" s="351">
        <v>126600</v>
      </c>
      <c r="J125" s="289"/>
      <c r="K125" s="289"/>
      <c r="N125"/>
      <c r="O125"/>
      <c r="P125" s="349"/>
      <c r="Q125"/>
    </row>
    <row r="126" spans="2:17" x14ac:dyDescent="0.25">
      <c r="B126" s="407" t="s">
        <v>646</v>
      </c>
      <c r="C126" s="351">
        <v>467871</v>
      </c>
      <c r="D126" s="351">
        <v>0</v>
      </c>
      <c r="E126" s="351">
        <v>109969</v>
      </c>
      <c r="F126" s="407">
        <f t="shared" si="0"/>
        <v>413084</v>
      </c>
      <c r="G126" s="351">
        <v>413084</v>
      </c>
      <c r="H126" s="351">
        <v>0</v>
      </c>
      <c r="I126" s="351">
        <v>0</v>
      </c>
      <c r="J126" s="289">
        <v>0</v>
      </c>
      <c r="K126" s="289"/>
      <c r="N126"/>
      <c r="O126"/>
      <c r="P126" s="349"/>
      <c r="Q126"/>
    </row>
    <row r="127" spans="2:17" x14ac:dyDescent="0.25">
      <c r="B127" s="407" t="s">
        <v>549</v>
      </c>
      <c r="C127" s="351">
        <v>94378</v>
      </c>
      <c r="D127" s="351">
        <v>31706</v>
      </c>
      <c r="E127" s="351">
        <v>20067</v>
      </c>
      <c r="F127" s="407">
        <f t="shared" si="0"/>
        <v>5580</v>
      </c>
      <c r="G127" s="351">
        <v>5580</v>
      </c>
      <c r="H127" s="351">
        <v>0</v>
      </c>
      <c r="I127" s="351">
        <v>0</v>
      </c>
      <c r="J127" s="289">
        <v>27324</v>
      </c>
      <c r="K127" s="289"/>
      <c r="N127"/>
      <c r="O127"/>
      <c r="P127" s="349"/>
      <c r="Q127"/>
    </row>
    <row r="128" spans="2:17" x14ac:dyDescent="0.25">
      <c r="B128" s="407" t="s">
        <v>647</v>
      </c>
      <c r="C128" s="351">
        <v>0</v>
      </c>
      <c r="D128" s="351">
        <v>0</v>
      </c>
      <c r="E128" s="351">
        <v>469872</v>
      </c>
      <c r="F128" s="407">
        <f t="shared" si="0"/>
        <v>225000</v>
      </c>
      <c r="G128" s="351">
        <v>225000</v>
      </c>
      <c r="H128" s="351">
        <v>0</v>
      </c>
      <c r="I128" s="351">
        <v>320000</v>
      </c>
      <c r="J128" s="289"/>
      <c r="K128" s="289"/>
      <c r="N128"/>
      <c r="O128"/>
      <c r="P128" s="349"/>
      <c r="Q128"/>
    </row>
    <row r="129" spans="2:17" x14ac:dyDescent="0.25">
      <c r="B129" s="407" t="s">
        <v>659</v>
      </c>
      <c r="C129" s="351">
        <f>119013+938+0.9</f>
        <v>119951.9</v>
      </c>
      <c r="D129" s="351">
        <v>68568</v>
      </c>
      <c r="E129" s="351">
        <v>68945</v>
      </c>
      <c r="F129" s="407">
        <f t="shared" si="0"/>
        <v>21356</v>
      </c>
      <c r="G129" s="351">
        <v>18606</v>
      </c>
      <c r="H129" s="351">
        <v>2750</v>
      </c>
      <c r="I129" s="351">
        <v>450</v>
      </c>
      <c r="J129" s="289"/>
      <c r="K129" s="289"/>
      <c r="N129"/>
      <c r="O129"/>
      <c r="P129" s="349"/>
      <c r="Q129"/>
    </row>
    <row r="130" spans="2:17" x14ac:dyDescent="0.25">
      <c r="B130" s="407" t="s">
        <v>648</v>
      </c>
      <c r="C130" s="351">
        <f>67000+227341</f>
        <v>294341</v>
      </c>
      <c r="D130" s="351">
        <v>67300</v>
      </c>
      <c r="E130" s="351">
        <f>123067+9328</f>
        <v>132395</v>
      </c>
      <c r="F130" s="407">
        <f t="shared" si="0"/>
        <v>59338</v>
      </c>
      <c r="G130" s="351">
        <v>838</v>
      </c>
      <c r="H130" s="351">
        <f>7240+51260</f>
        <v>58500</v>
      </c>
      <c r="I130" s="351">
        <v>1578</v>
      </c>
      <c r="J130" s="289"/>
      <c r="K130" s="289"/>
      <c r="N130"/>
      <c r="O130"/>
      <c r="P130" s="349"/>
      <c r="Q130"/>
    </row>
    <row r="131" spans="2:17" x14ac:dyDescent="0.25">
      <c r="B131" s="288" t="s">
        <v>491</v>
      </c>
      <c r="C131" s="289">
        <v>79566</v>
      </c>
      <c r="D131" s="289">
        <v>281353</v>
      </c>
      <c r="E131" s="289">
        <v>177357</v>
      </c>
      <c r="F131" s="407">
        <f t="shared" si="0"/>
        <v>154545</v>
      </c>
      <c r="G131" s="289">
        <v>154545</v>
      </c>
      <c r="H131" s="289">
        <v>0</v>
      </c>
      <c r="I131" s="289">
        <v>0</v>
      </c>
      <c r="J131" s="289">
        <f>+'A-Sh BA'!I77</f>
        <v>0</v>
      </c>
      <c r="K131" s="289" t="e">
        <f>+#REF!*1000</f>
        <v>#REF!</v>
      </c>
      <c r="N131"/>
      <c r="O131"/>
      <c r="P131" s="349"/>
      <c r="Q131"/>
    </row>
    <row r="132" spans="2:17" x14ac:dyDescent="0.25">
      <c r="B132" s="290" t="s">
        <v>2</v>
      </c>
      <c r="C132" s="291">
        <f>SUM(C121:C131)</f>
        <v>1947563.9</v>
      </c>
      <c r="D132" s="291">
        <f>SUM(D121:D131)</f>
        <v>51873373</v>
      </c>
      <c r="E132" s="291">
        <f>SUM(E121:E131)</f>
        <v>6840809</v>
      </c>
      <c r="F132" s="290">
        <f t="shared" ref="F132:K132" si="1">SUM(F122:F131)</f>
        <v>3574604</v>
      </c>
      <c r="G132" s="291">
        <f t="shared" si="1"/>
        <v>3465854</v>
      </c>
      <c r="H132" s="291">
        <f t="shared" si="1"/>
        <v>108750</v>
      </c>
      <c r="I132" s="291">
        <f t="shared" si="1"/>
        <v>458628</v>
      </c>
      <c r="J132" s="291" t="e">
        <f t="shared" si="1"/>
        <v>#REF!</v>
      </c>
      <c r="K132" s="291" t="e">
        <f t="shared" si="1"/>
        <v>#REF!</v>
      </c>
      <c r="N132"/>
      <c r="O132"/>
      <c r="P132" s="349"/>
      <c r="Q132"/>
    </row>
    <row r="133" spans="2:17" x14ac:dyDescent="0.25">
      <c r="B133" s="286"/>
      <c r="C133" s="306">
        <f>+'ardh-shpenz'!D13</f>
        <v>-1947563.9</v>
      </c>
      <c r="D133" s="306">
        <f>+'ardh-shpenz'!E13</f>
        <v>-51873373</v>
      </c>
      <c r="E133" s="306">
        <f>+'ardh-shpenz'!F13</f>
        <v>-6840809</v>
      </c>
      <c r="F133" s="286">
        <f>SUM(G133:H133)</f>
        <v>-3574604</v>
      </c>
      <c r="G133" s="306">
        <f>+'ardh-shpenz'!H13</f>
        <v>-3465854</v>
      </c>
      <c r="H133" s="306">
        <f>+'ardh-shpenz'!I13</f>
        <v>-108750</v>
      </c>
      <c r="I133" s="306">
        <f>+'ardh-shpenz'!J13</f>
        <v>-458628</v>
      </c>
      <c r="J133" s="306"/>
      <c r="K133" s="306"/>
      <c r="N133"/>
      <c r="O133"/>
      <c r="P133" s="349"/>
      <c r="Q133"/>
    </row>
    <row r="134" spans="2:17" x14ac:dyDescent="0.25">
      <c r="B134" s="286"/>
      <c r="C134" s="306"/>
      <c r="D134" s="306"/>
      <c r="E134" s="306"/>
      <c r="F134" s="286"/>
      <c r="G134" s="306"/>
      <c r="H134" s="306"/>
      <c r="I134" s="306"/>
      <c r="J134" s="306"/>
      <c r="K134" s="306"/>
      <c r="N134"/>
      <c r="O134"/>
      <c r="P134" s="349"/>
      <c r="Q134"/>
    </row>
    <row r="135" spans="2:17" x14ac:dyDescent="0.25">
      <c r="B135" s="286" t="s">
        <v>492</v>
      </c>
      <c r="C135" s="286"/>
      <c r="D135" s="286"/>
      <c r="E135" s="286"/>
      <c r="F135" s="286"/>
      <c r="G135" s="286"/>
      <c r="H135" s="286"/>
      <c r="I135" s="286"/>
      <c r="J135" s="286"/>
      <c r="K135" s="286"/>
      <c r="N135"/>
      <c r="O135"/>
      <c r="P135" s="349"/>
      <c r="Q135"/>
    </row>
    <row r="136" spans="2:17" x14ac:dyDescent="0.25">
      <c r="B136" s="286" t="s">
        <v>451</v>
      </c>
      <c r="C136" s="287" t="str">
        <f>+C120</f>
        <v>31 Dhjetor 2018</v>
      </c>
      <c r="D136" s="287" t="str">
        <f>+D120</f>
        <v>31 Dhjetor 2017</v>
      </c>
      <c r="E136" s="287" t="str">
        <f>+E120</f>
        <v>31 Dhjetor 2016</v>
      </c>
      <c r="F136" s="286" t="s">
        <v>618</v>
      </c>
      <c r="G136" s="287" t="str">
        <f>+G120</f>
        <v>01/05-31/12/2015</v>
      </c>
      <c r="H136" s="287" t="str">
        <f>+H120</f>
        <v>01/01-30/04/2015</v>
      </c>
      <c r="I136" s="287" t="str">
        <f>+I120</f>
        <v>31 Dhjetor 2014</v>
      </c>
      <c r="J136" s="287" t="str">
        <f>+J120</f>
        <v>31 Dhjetor 2012</v>
      </c>
      <c r="K136" s="287" t="s">
        <v>533</v>
      </c>
      <c r="N136"/>
      <c r="O136"/>
      <c r="P136" s="349"/>
      <c r="Q136"/>
    </row>
    <row r="137" spans="2:17" x14ac:dyDescent="0.25">
      <c r="B137" s="293" t="s">
        <v>493</v>
      </c>
      <c r="C137" s="288">
        <f>+'A-Sh BA'!C82</f>
        <v>393198</v>
      </c>
      <c r="D137" s="288">
        <f>+'A-Sh BA'!D82</f>
        <v>507961</v>
      </c>
      <c r="E137" s="288">
        <f>+'A-Sh BA'!E82</f>
        <v>152491</v>
      </c>
      <c r="F137" s="479">
        <f>+H137+G137</f>
        <v>18217</v>
      </c>
      <c r="G137" s="288">
        <f>+'A-Sh BA'!F82</f>
        <v>18217</v>
      </c>
      <c r="H137" s="288">
        <f>+'A-Sh BA'!G82</f>
        <v>0</v>
      </c>
      <c r="I137" s="288">
        <f>+'A-Sh BA'!H82</f>
        <v>0</v>
      </c>
      <c r="J137" s="288">
        <f>+'A-Sh BA'!I82</f>
        <v>243504</v>
      </c>
      <c r="K137" s="288" t="e">
        <f>+'A-Sh BA'!#REF!</f>
        <v>#REF!</v>
      </c>
      <c r="N137"/>
      <c r="O137"/>
      <c r="P137" s="349"/>
      <c r="Q137"/>
    </row>
    <row r="138" spans="2:17" x14ac:dyDescent="0.25">
      <c r="B138" s="290" t="s">
        <v>2</v>
      </c>
      <c r="C138" s="292">
        <f>SUM(C137:C137)</f>
        <v>393198</v>
      </c>
      <c r="D138" s="292">
        <f>SUM(D137:D137)</f>
        <v>507961</v>
      </c>
      <c r="E138" s="292">
        <f>SUM(E137:E137)</f>
        <v>152491</v>
      </c>
      <c r="F138" s="479">
        <f>+H138+G138</f>
        <v>18217</v>
      </c>
      <c r="G138" s="292">
        <f>SUM(G137:G137)</f>
        <v>18217</v>
      </c>
      <c r="H138" s="292">
        <f>SUM(H137:H137)</f>
        <v>0</v>
      </c>
      <c r="I138" s="292">
        <f>SUM(I137:I137)</f>
        <v>0</v>
      </c>
      <c r="J138" s="292">
        <f>SUM(J137:J137)</f>
        <v>243504</v>
      </c>
      <c r="K138" s="292" t="e">
        <f>SUM(K137:K137)</f>
        <v>#REF!</v>
      </c>
      <c r="N138"/>
      <c r="O138"/>
      <c r="P138"/>
      <c r="Q138" s="350"/>
    </row>
    <row r="139" spans="2:17" x14ac:dyDescent="0.25">
      <c r="B139" s="286"/>
      <c r="C139" s="306">
        <f>-C137</f>
        <v>-393198</v>
      </c>
      <c r="D139" s="306">
        <f>-D137</f>
        <v>-507961</v>
      </c>
      <c r="E139" s="306">
        <f>-E137</f>
        <v>-152491</v>
      </c>
      <c r="F139" s="286"/>
      <c r="G139" s="306">
        <f>-G137</f>
        <v>-18217</v>
      </c>
      <c r="H139" s="306">
        <f>-H137</f>
        <v>0</v>
      </c>
      <c r="I139" s="306">
        <f>-I137</f>
        <v>0</v>
      </c>
      <c r="J139" s="306">
        <f>-J137</f>
        <v>-243504</v>
      </c>
      <c r="K139" s="306" t="e">
        <f>-K137</f>
        <v>#REF!</v>
      </c>
    </row>
    <row r="140" spans="2:17" x14ac:dyDescent="0.25">
      <c r="B140" s="286"/>
      <c r="C140" s="286"/>
      <c r="D140" s="286"/>
      <c r="E140" s="286"/>
      <c r="F140" s="286"/>
      <c r="G140" s="286"/>
      <c r="H140" s="286"/>
      <c r="I140" s="286"/>
      <c r="J140" s="286"/>
      <c r="K140" s="286"/>
    </row>
    <row r="141" spans="2:17" x14ac:dyDescent="0.25">
      <c r="B141" s="286" t="s">
        <v>451</v>
      </c>
      <c r="C141" s="287" t="str">
        <f>+C136</f>
        <v>31 Dhjetor 2018</v>
      </c>
      <c r="D141" s="287" t="str">
        <f>+D136</f>
        <v>31 Dhjetor 2017</v>
      </c>
      <c r="E141" s="287" t="str">
        <f>+E136</f>
        <v>31 Dhjetor 2016</v>
      </c>
      <c r="F141" s="286" t="s">
        <v>618</v>
      </c>
      <c r="G141" s="287" t="str">
        <f>+G136</f>
        <v>01/05-31/12/2015</v>
      </c>
      <c r="H141" s="287" t="str">
        <f>+H136</f>
        <v>01/01-30/04/2015</v>
      </c>
      <c r="I141" s="287" t="str">
        <f>+I136</f>
        <v>31 Dhjetor 2014</v>
      </c>
      <c r="J141" s="287" t="str">
        <f>+J136</f>
        <v>31 Dhjetor 2012</v>
      </c>
      <c r="K141" s="287" t="s">
        <v>533</v>
      </c>
    </row>
    <row r="142" spans="2:17" x14ac:dyDescent="0.25">
      <c r="B142" s="286" t="s">
        <v>107</v>
      </c>
      <c r="C142" s="286">
        <f>+'A-Sh BA'!C92</f>
        <v>0</v>
      </c>
      <c r="D142" s="286">
        <f>+'A-Sh BA'!D92</f>
        <v>0</v>
      </c>
      <c r="E142" s="286">
        <f>+'A-Sh BA'!E92</f>
        <v>10010</v>
      </c>
      <c r="F142" s="286">
        <f t="shared" ref="F142:F147" si="2">+H142+G142</f>
        <v>0</v>
      </c>
      <c r="G142" s="286">
        <f>+'A-Sh BA'!F39</f>
        <v>0</v>
      </c>
      <c r="H142" s="286">
        <f>+'A-Sh BA'!G39</f>
        <v>0</v>
      </c>
      <c r="I142" s="286">
        <f>+'A-Sh BA'!H39</f>
        <v>0</v>
      </c>
      <c r="J142" s="286">
        <f>+'A-Sh BA'!I39</f>
        <v>0</v>
      </c>
      <c r="K142" s="286" t="e">
        <f>+'A-Sh BA'!#REF!</f>
        <v>#REF!</v>
      </c>
    </row>
    <row r="143" spans="2:17" x14ac:dyDescent="0.25">
      <c r="B143" s="286" t="s">
        <v>117</v>
      </c>
      <c r="C143" s="286">
        <f>+'A-Sh BA'!C37</f>
        <v>0</v>
      </c>
      <c r="D143" s="286">
        <f>+'A-Sh BA'!D37</f>
        <v>0</v>
      </c>
      <c r="E143" s="286">
        <f>+'A-Sh BA'!E37</f>
        <v>0</v>
      </c>
      <c r="F143" s="286">
        <f t="shared" si="2"/>
        <v>0</v>
      </c>
      <c r="G143" s="286">
        <f>+'A-Sh BA'!F37</f>
        <v>0</v>
      </c>
      <c r="H143" s="286">
        <f>+'A-Sh BA'!G37</f>
        <v>0</v>
      </c>
      <c r="I143" s="286">
        <f>+'A-Sh BA'!H37</f>
        <v>0</v>
      </c>
      <c r="J143" s="286">
        <f>+'A-Sh BA'!I37</f>
        <v>0</v>
      </c>
      <c r="K143" s="286" t="e">
        <f>+'A-Sh BA'!#REF!</f>
        <v>#REF!</v>
      </c>
    </row>
    <row r="144" spans="2:17" x14ac:dyDescent="0.25">
      <c r="B144" s="286" t="s">
        <v>108</v>
      </c>
      <c r="C144" s="286">
        <v>0</v>
      </c>
      <c r="D144" s="286">
        <v>0</v>
      </c>
      <c r="E144" s="286">
        <v>0</v>
      </c>
      <c r="F144" s="286">
        <f t="shared" si="2"/>
        <v>0</v>
      </c>
      <c r="G144" s="286">
        <v>0</v>
      </c>
      <c r="H144" s="286">
        <v>0</v>
      </c>
      <c r="I144" s="286">
        <v>0</v>
      </c>
      <c r="J144" s="286">
        <v>0</v>
      </c>
      <c r="K144" s="286">
        <v>0</v>
      </c>
    </row>
    <row r="145" spans="2:11" x14ac:dyDescent="0.25">
      <c r="B145" s="286" t="s">
        <v>693</v>
      </c>
      <c r="C145" s="286">
        <f>'A-Sh BA'!C90</f>
        <v>1005871</v>
      </c>
      <c r="D145" s="286">
        <f>'A-Sh BA'!D90</f>
        <v>505687</v>
      </c>
      <c r="E145" s="286">
        <f>'A-Sh BA'!E90</f>
        <v>0</v>
      </c>
      <c r="F145" s="286">
        <f t="shared" si="2"/>
        <v>0</v>
      </c>
      <c r="G145" s="286">
        <f>'A-Sh BA'!F90</f>
        <v>0</v>
      </c>
      <c r="H145" s="286">
        <f>'A-Sh BA'!G90</f>
        <v>0</v>
      </c>
      <c r="I145" s="286">
        <f>'A-Sh BA'!H90</f>
        <v>0</v>
      </c>
      <c r="J145" s="286">
        <f>'A-Sh BA'!I90</f>
        <v>973704</v>
      </c>
      <c r="K145" s="286" t="e">
        <f>-'A-Sh BA'!#REF!</f>
        <v>#REF!</v>
      </c>
    </row>
    <row r="146" spans="2:11" x14ac:dyDescent="0.25">
      <c r="B146" s="290" t="s">
        <v>2</v>
      </c>
      <c r="C146" s="292">
        <f>SUM(C142:C145)</f>
        <v>1005871</v>
      </c>
      <c r="D146" s="292">
        <f>SUM(D142:D145)</f>
        <v>505687</v>
      </c>
      <c r="E146" s="292">
        <f>SUM(E142:E145)</f>
        <v>10010</v>
      </c>
      <c r="F146" s="286">
        <f t="shared" si="2"/>
        <v>0</v>
      </c>
      <c r="G146" s="292">
        <f>SUM(G142:G145)</f>
        <v>0</v>
      </c>
      <c r="H146" s="292">
        <f>SUM(H142:H145)</f>
        <v>0</v>
      </c>
      <c r="I146" s="292">
        <f>SUM(I142:I145)</f>
        <v>0</v>
      </c>
      <c r="J146" s="292">
        <f>SUM(J142:J145)</f>
        <v>973704</v>
      </c>
      <c r="K146" s="292" t="e">
        <f>SUM(K142:K145)</f>
        <v>#REF!</v>
      </c>
    </row>
    <row r="147" spans="2:11" x14ac:dyDescent="0.25">
      <c r="B147" s="286"/>
      <c r="C147" s="306">
        <f>-'ardh-shpenz'!D21</f>
        <v>1005871.0000000002</v>
      </c>
      <c r="D147" s="306">
        <f>-'ardh-shpenz'!E21</f>
        <v>505687.00000000017</v>
      </c>
      <c r="E147" s="306">
        <f>-'ardh-shpenz'!F21</f>
        <v>10010.000000000175</v>
      </c>
      <c r="F147" s="286">
        <f t="shared" si="2"/>
        <v>3.4924596548080444E-10</v>
      </c>
      <c r="G147" s="306">
        <f>-'ardh-shpenz'!H21</f>
        <v>1.7462298274040222E-10</v>
      </c>
      <c r="H147" s="306">
        <f>-'ardh-shpenz'!I21</f>
        <v>1.7462298274040222E-10</v>
      </c>
      <c r="I147" s="306">
        <f>-'ardh-shpenz'!J21</f>
        <v>1.7462298274040222E-10</v>
      </c>
      <c r="J147" s="306">
        <f>-'ardh-shpenz'!K21</f>
        <v>973704.00000000023</v>
      </c>
      <c r="K147" s="306" t="e">
        <f>-'ardh-shpenz'!L21</f>
        <v>#REF!</v>
      </c>
    </row>
    <row r="148" spans="2:11" x14ac:dyDescent="0.25">
      <c r="B148" s="286"/>
      <c r="C148" s="310"/>
      <c r="D148" s="310"/>
      <c r="E148" s="310"/>
      <c r="F148" s="286"/>
      <c r="G148" s="310"/>
      <c r="H148" s="310"/>
      <c r="I148" s="310"/>
      <c r="J148" s="310"/>
      <c r="K148" s="310"/>
    </row>
    <row r="149" spans="2:11" x14ac:dyDescent="0.25">
      <c r="B149" s="286" t="s">
        <v>451</v>
      </c>
      <c r="C149" s="287" t="str">
        <f>+C141</f>
        <v>31 Dhjetor 2018</v>
      </c>
      <c r="D149" s="287" t="str">
        <f>+D141</f>
        <v>31 Dhjetor 2017</v>
      </c>
      <c r="E149" s="287" t="str">
        <f>+E141</f>
        <v>31 Dhjetor 2016</v>
      </c>
      <c r="F149" s="286" t="s">
        <v>618</v>
      </c>
      <c r="G149" s="287" t="str">
        <f>+G141</f>
        <v>01/05-31/12/2015</v>
      </c>
      <c r="H149" s="287" t="str">
        <f>+H141</f>
        <v>01/01-30/04/2015</v>
      </c>
      <c r="I149" s="287" t="str">
        <f>+I141</f>
        <v>31 Dhjetor 2014</v>
      </c>
      <c r="J149" s="287" t="s">
        <v>539</v>
      </c>
      <c r="K149" s="287" t="s">
        <v>534</v>
      </c>
    </row>
    <row r="150" spans="2:11" x14ac:dyDescent="0.25">
      <c r="B150" s="286" t="s">
        <v>490</v>
      </c>
      <c r="C150" s="287">
        <f>+'A-Sh BA'!C14</f>
        <v>252525325</v>
      </c>
      <c r="D150" s="287">
        <f>+'A-Sh BA'!D14</f>
        <v>301001005</v>
      </c>
      <c r="E150" s="287">
        <f>+'A-Sh BA'!E14</f>
        <v>197083125</v>
      </c>
      <c r="F150" s="286">
        <f>+H150+G150</f>
        <v>59517135</v>
      </c>
      <c r="G150" s="287">
        <f>+'A-Sh BA'!F14</f>
        <v>51741515</v>
      </c>
      <c r="H150" s="287">
        <f>+'A-Sh BA'!G14</f>
        <v>7775620</v>
      </c>
      <c r="I150" s="287">
        <f>+'A-Sh BA'!H14</f>
        <v>1441665</v>
      </c>
      <c r="J150" s="287"/>
      <c r="K150" s="287"/>
    </row>
    <row r="151" spans="2:11" x14ac:dyDescent="0.25">
      <c r="B151" s="286" t="s">
        <v>660</v>
      </c>
      <c r="C151" s="287">
        <f>+'A-Sh BA'!C96</f>
        <v>258466403.90000001</v>
      </c>
      <c r="D151" s="287">
        <f>+'A-Sh BA'!D96</f>
        <v>280416964</v>
      </c>
      <c r="E151" s="287">
        <f>+'A-Sh BA'!E96</f>
        <v>165912419</v>
      </c>
      <c r="F151" s="286">
        <f t="shared" ref="F151:F158" si="3">+H151+G151</f>
        <v>58916361</v>
      </c>
      <c r="G151" s="287">
        <f>+'A-Sh BA'!F96</f>
        <v>51461129</v>
      </c>
      <c r="H151" s="287">
        <f>+'A-Sh BA'!G96</f>
        <v>7455232</v>
      </c>
      <c r="I151" s="287">
        <f>+'A-Sh BA'!H96</f>
        <v>1551513</v>
      </c>
      <c r="J151" s="287"/>
      <c r="K151" s="287"/>
    </row>
    <row r="152" spans="2:11" x14ac:dyDescent="0.25">
      <c r="B152" s="286" t="s">
        <v>109</v>
      </c>
      <c r="C152" s="286">
        <f>+C150-C151</f>
        <v>-5941078.900000006</v>
      </c>
      <c r="D152" s="286">
        <f>+D150-D151</f>
        <v>20584041</v>
      </c>
      <c r="E152" s="286">
        <f>+E150-E151</f>
        <v>31170706</v>
      </c>
      <c r="F152" s="286">
        <f t="shared" si="3"/>
        <v>600774</v>
      </c>
      <c r="G152" s="286">
        <f>+G150-G151</f>
        <v>280386</v>
      </c>
      <c r="H152" s="286">
        <f>+H150-H151</f>
        <v>320388</v>
      </c>
      <c r="I152" s="286">
        <f>+I150-I151</f>
        <v>-109848</v>
      </c>
      <c r="J152" s="286">
        <f>+'ardh-shpenz'!K23</f>
        <v>1110425.9999999998</v>
      </c>
      <c r="K152" s="286" t="e">
        <f>+'ardh-shpenz'!L23</f>
        <v>#REF!</v>
      </c>
    </row>
    <row r="153" spans="2:11" x14ac:dyDescent="0.25">
      <c r="B153" s="286" t="s">
        <v>110</v>
      </c>
      <c r="C153" s="286">
        <f>+C131</f>
        <v>79566</v>
      </c>
      <c r="D153" s="286">
        <f>+D131</f>
        <v>281353</v>
      </c>
      <c r="E153" s="286">
        <f>+E131</f>
        <v>177357</v>
      </c>
      <c r="F153" s="286">
        <f t="shared" si="3"/>
        <v>567629</v>
      </c>
      <c r="G153" s="286">
        <f>+G131+G126</f>
        <v>567629</v>
      </c>
      <c r="H153" s="286">
        <f>+H131</f>
        <v>0</v>
      </c>
      <c r="I153" s="286">
        <f>+I131</f>
        <v>0</v>
      </c>
      <c r="J153" s="286">
        <f>+J131</f>
        <v>0</v>
      </c>
      <c r="K153" s="286" t="e">
        <f>+K131</f>
        <v>#REF!</v>
      </c>
    </row>
    <row r="154" spans="2:11" x14ac:dyDescent="0.25">
      <c r="B154" s="286" t="s">
        <v>111</v>
      </c>
      <c r="C154" s="286">
        <f>SUM(C152:C153)</f>
        <v>-5861512.900000006</v>
      </c>
      <c r="D154" s="286">
        <f>SUM(D152:D153)</f>
        <v>20865394</v>
      </c>
      <c r="E154" s="286">
        <f>SUM(E152:E153)</f>
        <v>31348063</v>
      </c>
      <c r="F154" s="286">
        <f t="shared" si="3"/>
        <v>1168403</v>
      </c>
      <c r="G154" s="286">
        <f>SUM(G152:G153)</f>
        <v>848015</v>
      </c>
      <c r="H154" s="286">
        <f>SUM(H152:H153)</f>
        <v>320388</v>
      </c>
      <c r="I154" s="286">
        <f>SUM(I152:I153)</f>
        <v>-109848</v>
      </c>
      <c r="J154" s="286">
        <f>SUM(J152:J153)</f>
        <v>1110425.9999999998</v>
      </c>
      <c r="K154" s="286" t="e">
        <f>SUM(K152:K153)</f>
        <v>#REF!</v>
      </c>
    </row>
    <row r="155" spans="2:11" x14ac:dyDescent="0.25">
      <c r="B155" s="286" t="s">
        <v>112</v>
      </c>
      <c r="C155" s="311">
        <v>15</v>
      </c>
      <c r="D155" s="311">
        <v>15</v>
      </c>
      <c r="E155" s="311">
        <v>15</v>
      </c>
      <c r="F155" s="286"/>
      <c r="G155" s="311">
        <v>15</v>
      </c>
      <c r="H155" s="311">
        <v>7.5</v>
      </c>
      <c r="I155" s="311">
        <v>7.5</v>
      </c>
      <c r="J155" s="311">
        <v>10</v>
      </c>
      <c r="K155" s="311">
        <v>10</v>
      </c>
    </row>
    <row r="156" spans="2:11" x14ac:dyDescent="0.25">
      <c r="B156" s="292" t="s">
        <v>101</v>
      </c>
      <c r="C156" s="312">
        <v>0</v>
      </c>
      <c r="D156" s="312">
        <f>+D154*0.15</f>
        <v>3129809.1</v>
      </c>
      <c r="E156" s="312">
        <f>+E154*0.15</f>
        <v>4702209.45</v>
      </c>
      <c r="F156" s="286">
        <f t="shared" si="3"/>
        <v>151231.35</v>
      </c>
      <c r="G156" s="312">
        <f>+G154*0.15</f>
        <v>127202.25</v>
      </c>
      <c r="H156" s="312">
        <f>+H154*0.075</f>
        <v>24029.1</v>
      </c>
      <c r="I156" s="312">
        <v>0</v>
      </c>
      <c r="J156" s="312">
        <f>+J154*0.1+0.5</f>
        <v>111043.09999999998</v>
      </c>
      <c r="K156" s="312" t="e">
        <f>+K154*0.1</f>
        <v>#REF!</v>
      </c>
    </row>
    <row r="157" spans="2:11" x14ac:dyDescent="0.25">
      <c r="B157" s="286"/>
      <c r="C157" s="313"/>
      <c r="D157" s="313"/>
      <c r="E157" s="313"/>
      <c r="F157" s="286"/>
      <c r="G157" s="313"/>
      <c r="H157" s="313"/>
      <c r="I157" s="313"/>
      <c r="J157" s="313"/>
      <c r="K157" s="313"/>
    </row>
    <row r="158" spans="2:11" x14ac:dyDescent="0.25">
      <c r="B158" s="292" t="s">
        <v>113</v>
      </c>
      <c r="C158" s="403">
        <f>+C152-C156</f>
        <v>-5941078.900000006</v>
      </c>
      <c r="D158" s="403">
        <f>+D152-D156</f>
        <v>17454231.899999999</v>
      </c>
      <c r="E158" s="403">
        <f>+E152-E156</f>
        <v>26468496.550000001</v>
      </c>
      <c r="F158" s="286">
        <f t="shared" si="3"/>
        <v>449542.65</v>
      </c>
      <c r="G158" s="403">
        <f>+G152-G156</f>
        <v>153183.75</v>
      </c>
      <c r="H158" s="403">
        <f>+H152-H156</f>
        <v>296358.90000000002</v>
      </c>
      <c r="I158" s="312">
        <f>+I152-I156</f>
        <v>-109848</v>
      </c>
      <c r="J158" s="312">
        <f>+J152-J156</f>
        <v>999382.89999999979</v>
      </c>
      <c r="K158" s="312" t="e">
        <f>+K152-K156</f>
        <v>#REF!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8"/>
  <sheetViews>
    <sheetView topLeftCell="A99" workbookViewId="0">
      <selection activeCell="I124" sqref="I124"/>
    </sheetView>
  </sheetViews>
  <sheetFormatPr defaultRowHeight="15" x14ac:dyDescent="0.2"/>
  <cols>
    <col min="1" max="1" width="9.140625" style="442"/>
    <col min="2" max="2" width="15.140625" style="442" customWidth="1"/>
    <col min="3" max="3" width="16.7109375" style="442" customWidth="1"/>
    <col min="4" max="4" width="15.85546875" style="442" customWidth="1"/>
    <col min="5" max="5" width="3.140625" style="442" customWidth="1"/>
    <col min="6" max="6" width="18.42578125" style="442" customWidth="1"/>
    <col min="7" max="7" width="16.28515625" style="442" customWidth="1"/>
    <col min="8" max="8" width="19" style="442" customWidth="1"/>
    <col min="9" max="9" width="20.42578125" style="442" customWidth="1"/>
    <col min="10" max="10" width="12" style="442" customWidth="1"/>
    <col min="11" max="11" width="3.85546875" style="442" customWidth="1"/>
    <col min="12" max="12" width="17.5703125" style="442" customWidth="1"/>
    <col min="13" max="16384" width="9.140625" style="442"/>
  </cols>
  <sheetData>
    <row r="1" spans="1:13" ht="15.75" hidden="1" x14ac:dyDescent="0.25">
      <c r="A1" s="441" t="s">
        <v>606</v>
      </c>
    </row>
    <row r="2" spans="1:13" ht="16.5" hidden="1" thickBot="1" x14ac:dyDescent="0.3">
      <c r="A2" s="441" t="s">
        <v>585</v>
      </c>
      <c r="C2" s="441" t="s">
        <v>586</v>
      </c>
      <c r="G2" s="441" t="s">
        <v>587</v>
      </c>
      <c r="H2" s="441"/>
      <c r="I2" s="441" t="s">
        <v>607</v>
      </c>
    </row>
    <row r="3" spans="1:13" ht="16.5" hidden="1" thickBot="1" x14ac:dyDescent="0.3">
      <c r="A3" s="443"/>
      <c r="B3" s="444" t="s">
        <v>588</v>
      </c>
      <c r="C3" s="445" t="s">
        <v>586</v>
      </c>
      <c r="D3" s="445" t="s">
        <v>589</v>
      </c>
      <c r="E3" s="445"/>
      <c r="F3" s="444" t="s">
        <v>590</v>
      </c>
      <c r="G3" s="445" t="s">
        <v>591</v>
      </c>
      <c r="H3" s="445" t="s">
        <v>589</v>
      </c>
      <c r="I3" s="445" t="s">
        <v>591</v>
      </c>
      <c r="J3" s="445" t="s">
        <v>589</v>
      </c>
      <c r="K3" s="446"/>
      <c r="L3" s="447" t="s">
        <v>592</v>
      </c>
    </row>
    <row r="4" spans="1:13" hidden="1" x14ac:dyDescent="0.2">
      <c r="A4" s="448" t="s">
        <v>593</v>
      </c>
      <c r="B4" s="449">
        <v>0</v>
      </c>
      <c r="C4" s="450">
        <v>0</v>
      </c>
      <c r="D4" s="450">
        <f>+C4*0.2</f>
        <v>0</v>
      </c>
      <c r="E4" s="450"/>
      <c r="F4" s="451">
        <v>0</v>
      </c>
      <c r="G4" s="452">
        <v>31250</v>
      </c>
      <c r="H4" s="453">
        <f t="shared" ref="H4:H15" si="0">+G4*0.2</f>
        <v>6250</v>
      </c>
      <c r="I4" s="452"/>
      <c r="J4" s="453">
        <f t="shared" ref="J4:J15" si="1">+I4*0.2</f>
        <v>0</v>
      </c>
      <c r="K4" s="451"/>
      <c r="L4" s="454">
        <f>+D4-J4-H4</f>
        <v>-6250</v>
      </c>
    </row>
    <row r="5" spans="1:13" hidden="1" x14ac:dyDescent="0.2">
      <c r="A5" s="455" t="s">
        <v>594</v>
      </c>
      <c r="B5" s="456">
        <v>0</v>
      </c>
      <c r="C5" s="457">
        <v>831665</v>
      </c>
      <c r="D5" s="458">
        <f>+C5*0.2</f>
        <v>166333</v>
      </c>
      <c r="E5" s="458"/>
      <c r="F5" s="459">
        <v>0</v>
      </c>
      <c r="G5" s="460">
        <v>1215540</v>
      </c>
      <c r="H5" s="461">
        <f t="shared" si="0"/>
        <v>243108</v>
      </c>
      <c r="I5" s="460"/>
      <c r="J5" s="461">
        <f t="shared" si="1"/>
        <v>0</v>
      </c>
      <c r="K5" s="462"/>
      <c r="L5" s="454">
        <f>+D5-J5-H5</f>
        <v>-76775</v>
      </c>
      <c r="M5" s="463"/>
    </row>
    <row r="6" spans="1:13" hidden="1" x14ac:dyDescent="0.2">
      <c r="A6" s="455" t="s">
        <v>595</v>
      </c>
      <c r="B6" s="456">
        <v>0</v>
      </c>
      <c r="C6" s="457">
        <v>4693955</v>
      </c>
      <c r="D6" s="458">
        <f t="shared" ref="D6:D15" si="2">+C6*0.2</f>
        <v>938791</v>
      </c>
      <c r="E6" s="457"/>
      <c r="F6" s="459">
        <v>0</v>
      </c>
      <c r="G6" s="460">
        <v>4218540</v>
      </c>
      <c r="H6" s="464">
        <f t="shared" si="0"/>
        <v>843708</v>
      </c>
      <c r="I6" s="460">
        <v>125000</v>
      </c>
      <c r="J6" s="464">
        <f t="shared" si="1"/>
        <v>25000</v>
      </c>
      <c r="K6" s="459"/>
      <c r="L6" s="454">
        <f t="shared" ref="L6:L15" si="3">+D6-J6-H6</f>
        <v>70083</v>
      </c>
      <c r="M6" s="463"/>
    </row>
    <row r="7" spans="1:13" hidden="1" x14ac:dyDescent="0.2">
      <c r="A7" s="455" t="s">
        <v>596</v>
      </c>
      <c r="B7" s="456">
        <v>0</v>
      </c>
      <c r="C7" s="457">
        <v>2250000</v>
      </c>
      <c r="D7" s="458">
        <f t="shared" si="2"/>
        <v>450000</v>
      </c>
      <c r="E7" s="457"/>
      <c r="F7" s="459">
        <v>0</v>
      </c>
      <c r="G7" s="460">
        <v>2670350</v>
      </c>
      <c r="H7" s="464">
        <f t="shared" si="0"/>
        <v>534070</v>
      </c>
      <c r="I7" s="460"/>
      <c r="J7" s="464">
        <f t="shared" si="1"/>
        <v>0</v>
      </c>
      <c r="K7" s="459"/>
      <c r="L7" s="454">
        <f t="shared" si="3"/>
        <v>-84070</v>
      </c>
      <c r="M7" s="463"/>
    </row>
    <row r="8" spans="1:13" hidden="1" x14ac:dyDescent="0.2">
      <c r="A8" s="455" t="s">
        <v>597</v>
      </c>
      <c r="B8" s="456">
        <v>0</v>
      </c>
      <c r="C8" s="457"/>
      <c r="D8" s="458">
        <f t="shared" si="2"/>
        <v>0</v>
      </c>
      <c r="E8" s="457"/>
      <c r="F8" s="459"/>
      <c r="G8" s="460"/>
      <c r="H8" s="464">
        <f t="shared" si="0"/>
        <v>0</v>
      </c>
      <c r="I8" s="460"/>
      <c r="J8" s="464">
        <f t="shared" si="1"/>
        <v>0</v>
      </c>
      <c r="K8" s="459"/>
      <c r="L8" s="454">
        <f t="shared" si="3"/>
        <v>0</v>
      </c>
      <c r="M8" s="463"/>
    </row>
    <row r="9" spans="1:13" hidden="1" x14ac:dyDescent="0.2">
      <c r="A9" s="455" t="s">
        <v>598</v>
      </c>
      <c r="B9" s="456">
        <v>0</v>
      </c>
      <c r="C9" s="457"/>
      <c r="D9" s="458">
        <f t="shared" si="2"/>
        <v>0</v>
      </c>
      <c r="E9" s="457"/>
      <c r="F9" s="459"/>
      <c r="G9" s="460"/>
      <c r="H9" s="464">
        <f t="shared" si="0"/>
        <v>0</v>
      </c>
      <c r="I9" s="460"/>
      <c r="J9" s="464">
        <f t="shared" si="1"/>
        <v>0</v>
      </c>
      <c r="K9" s="459"/>
      <c r="L9" s="454">
        <f t="shared" si="3"/>
        <v>0</v>
      </c>
      <c r="M9" s="463"/>
    </row>
    <row r="10" spans="1:13" hidden="1" x14ac:dyDescent="0.2">
      <c r="A10" s="455" t="s">
        <v>599</v>
      </c>
      <c r="B10" s="456">
        <v>0</v>
      </c>
      <c r="C10" s="457"/>
      <c r="D10" s="458">
        <f t="shared" si="2"/>
        <v>0</v>
      </c>
      <c r="E10" s="457"/>
      <c r="F10" s="459"/>
      <c r="G10" s="460"/>
      <c r="H10" s="464">
        <f t="shared" si="0"/>
        <v>0</v>
      </c>
      <c r="I10" s="460"/>
      <c r="J10" s="464">
        <f t="shared" si="1"/>
        <v>0</v>
      </c>
      <c r="K10" s="459"/>
      <c r="L10" s="454">
        <f t="shared" si="3"/>
        <v>0</v>
      </c>
      <c r="M10" s="463"/>
    </row>
    <row r="11" spans="1:13" hidden="1" x14ac:dyDescent="0.2">
      <c r="A11" s="455" t="s">
        <v>600</v>
      </c>
      <c r="B11" s="456">
        <v>0</v>
      </c>
      <c r="C11" s="457"/>
      <c r="D11" s="458">
        <f t="shared" si="2"/>
        <v>0</v>
      </c>
      <c r="E11" s="457"/>
      <c r="F11" s="459"/>
      <c r="G11" s="460"/>
      <c r="H11" s="464">
        <f t="shared" si="0"/>
        <v>0</v>
      </c>
      <c r="I11" s="460"/>
      <c r="J11" s="464">
        <f t="shared" si="1"/>
        <v>0</v>
      </c>
      <c r="K11" s="459"/>
      <c r="L11" s="454">
        <f t="shared" si="3"/>
        <v>0</v>
      </c>
      <c r="M11" s="463"/>
    </row>
    <row r="12" spans="1:13" hidden="1" x14ac:dyDescent="0.2">
      <c r="A12" s="455" t="s">
        <v>601</v>
      </c>
      <c r="B12" s="456">
        <v>0</v>
      </c>
      <c r="C12" s="457"/>
      <c r="D12" s="458">
        <f t="shared" si="2"/>
        <v>0</v>
      </c>
      <c r="E12" s="457"/>
      <c r="F12" s="459"/>
      <c r="G12" s="460"/>
      <c r="H12" s="464">
        <f t="shared" si="0"/>
        <v>0</v>
      </c>
      <c r="I12" s="460"/>
      <c r="J12" s="464">
        <f t="shared" si="1"/>
        <v>0</v>
      </c>
      <c r="K12" s="459"/>
      <c r="L12" s="454">
        <f t="shared" si="3"/>
        <v>0</v>
      </c>
      <c r="M12" s="463"/>
    </row>
    <row r="13" spans="1:13" hidden="1" x14ac:dyDescent="0.2">
      <c r="A13" s="455" t="s">
        <v>602</v>
      </c>
      <c r="B13" s="456">
        <v>0</v>
      </c>
      <c r="C13" s="457"/>
      <c r="D13" s="458">
        <f t="shared" si="2"/>
        <v>0</v>
      </c>
      <c r="E13" s="457"/>
      <c r="F13" s="459"/>
      <c r="G13" s="460"/>
      <c r="H13" s="464">
        <f t="shared" si="0"/>
        <v>0</v>
      </c>
      <c r="I13" s="460"/>
      <c r="J13" s="464">
        <f t="shared" si="1"/>
        <v>0</v>
      </c>
      <c r="K13" s="459"/>
      <c r="L13" s="454">
        <f t="shared" si="3"/>
        <v>0</v>
      </c>
      <c r="M13" s="463"/>
    </row>
    <row r="14" spans="1:13" hidden="1" x14ac:dyDescent="0.2">
      <c r="A14" s="455" t="s">
        <v>603</v>
      </c>
      <c r="B14" s="456">
        <v>0</v>
      </c>
      <c r="C14" s="457"/>
      <c r="D14" s="458">
        <f t="shared" si="2"/>
        <v>0</v>
      </c>
      <c r="E14" s="457"/>
      <c r="F14" s="459"/>
      <c r="G14" s="460"/>
      <c r="H14" s="464">
        <f t="shared" si="0"/>
        <v>0</v>
      </c>
      <c r="I14" s="460"/>
      <c r="J14" s="464">
        <f t="shared" si="1"/>
        <v>0</v>
      </c>
      <c r="K14" s="459"/>
      <c r="L14" s="454">
        <f t="shared" si="3"/>
        <v>0</v>
      </c>
      <c r="M14" s="463"/>
    </row>
    <row r="15" spans="1:13" ht="15.75" hidden="1" thickBot="1" x14ac:dyDescent="0.25">
      <c r="A15" s="465" t="s">
        <v>604</v>
      </c>
      <c r="B15" s="466">
        <v>0</v>
      </c>
      <c r="C15" s="467"/>
      <c r="D15" s="468">
        <f t="shared" si="2"/>
        <v>0</v>
      </c>
      <c r="E15" s="467"/>
      <c r="F15" s="469"/>
      <c r="G15" s="470"/>
      <c r="H15" s="471">
        <f t="shared" si="0"/>
        <v>0</v>
      </c>
      <c r="I15" s="470"/>
      <c r="J15" s="471">
        <f t="shared" si="1"/>
        <v>0</v>
      </c>
      <c r="K15" s="469"/>
      <c r="L15" s="472">
        <f t="shared" si="3"/>
        <v>0</v>
      </c>
      <c r="M15" s="463"/>
    </row>
    <row r="16" spans="1:13" hidden="1" x14ac:dyDescent="0.2">
      <c r="A16" s="473"/>
      <c r="B16" s="458"/>
      <c r="C16" s="458"/>
      <c r="D16" s="458"/>
      <c r="E16" s="458"/>
      <c r="F16" s="458"/>
      <c r="G16" s="458"/>
      <c r="H16" s="458"/>
      <c r="I16" s="458"/>
      <c r="J16" s="458"/>
      <c r="K16" s="458"/>
      <c r="L16" s="458"/>
      <c r="M16" s="463"/>
    </row>
    <row r="17" spans="1:13" hidden="1" x14ac:dyDescent="0.2">
      <c r="A17" s="474" t="s">
        <v>536</v>
      </c>
      <c r="B17" s="457">
        <f>SUM(B4:B16)</f>
        <v>0</v>
      </c>
      <c r="C17" s="457">
        <f>SUM(C4:C16)</f>
        <v>7775620</v>
      </c>
      <c r="D17" s="457">
        <f>SUM(D4:D16)</f>
        <v>1555124</v>
      </c>
      <c r="E17" s="457"/>
      <c r="F17" s="457">
        <f>SUM(F4:F16)</f>
        <v>0</v>
      </c>
      <c r="G17" s="457">
        <f>SUM(G4:G16)</f>
        <v>8135680</v>
      </c>
      <c r="H17" s="457">
        <f>SUM(H4:H16)</f>
        <v>1627136</v>
      </c>
      <c r="I17" s="457">
        <f>SUM(I4:I16)</f>
        <v>125000</v>
      </c>
      <c r="J17" s="457">
        <f>SUM(J4:J16)</f>
        <v>25000</v>
      </c>
      <c r="K17" s="457"/>
      <c r="L17" s="457">
        <f>SUM(L4:L15)</f>
        <v>-97012</v>
      </c>
      <c r="M17" s="463"/>
    </row>
    <row r="18" spans="1:13" hidden="1" x14ac:dyDescent="0.2"/>
    <row r="19" spans="1:13" hidden="1" x14ac:dyDescent="0.2">
      <c r="A19" s="442" t="s">
        <v>605</v>
      </c>
      <c r="B19" s="463">
        <f>SUM(B17:C17)</f>
        <v>7775620</v>
      </c>
      <c r="F19" s="463">
        <f>+F17+G17+I17</f>
        <v>8260680</v>
      </c>
      <c r="G19" s="463"/>
      <c r="H19" s="463"/>
      <c r="I19" s="463">
        <f>+H17+J17</f>
        <v>1652136</v>
      </c>
    </row>
    <row r="20" spans="1:13" hidden="1" x14ac:dyDescent="0.2"/>
    <row r="21" spans="1:13" hidden="1" x14ac:dyDescent="0.2"/>
    <row r="22" spans="1:13" ht="15.75" hidden="1" x14ac:dyDescent="0.25">
      <c r="A22" s="441" t="s">
        <v>606</v>
      </c>
    </row>
    <row r="23" spans="1:13" ht="16.5" hidden="1" thickBot="1" x14ac:dyDescent="0.3">
      <c r="A23" s="441" t="s">
        <v>585</v>
      </c>
      <c r="C23" s="441" t="s">
        <v>586</v>
      </c>
      <c r="G23" s="441" t="s">
        <v>587</v>
      </c>
      <c r="H23" s="441"/>
      <c r="I23" s="441" t="s">
        <v>607</v>
      </c>
    </row>
    <row r="24" spans="1:13" ht="16.5" hidden="1" thickBot="1" x14ac:dyDescent="0.3">
      <c r="A24" s="443"/>
      <c r="B24" s="444" t="s">
        <v>588</v>
      </c>
      <c r="C24" s="445" t="s">
        <v>586</v>
      </c>
      <c r="D24" s="445" t="s">
        <v>589</v>
      </c>
      <c r="E24" s="445"/>
      <c r="F24" s="444" t="s">
        <v>590</v>
      </c>
      <c r="G24" s="445" t="s">
        <v>591</v>
      </c>
      <c r="H24" s="445" t="s">
        <v>589</v>
      </c>
      <c r="I24" s="445" t="s">
        <v>591</v>
      </c>
      <c r="J24" s="445" t="s">
        <v>589</v>
      </c>
      <c r="K24" s="446"/>
      <c r="L24" s="447" t="s">
        <v>592</v>
      </c>
    </row>
    <row r="25" spans="1:13" hidden="1" x14ac:dyDescent="0.2">
      <c r="A25" s="448" t="s">
        <v>593</v>
      </c>
      <c r="B25" s="449">
        <v>0</v>
      </c>
      <c r="C25" s="450">
        <v>0</v>
      </c>
      <c r="D25" s="450">
        <f>+C25*0.2</f>
        <v>0</v>
      </c>
      <c r="E25" s="450"/>
      <c r="F25" s="451">
        <v>0</v>
      </c>
      <c r="G25" s="452"/>
      <c r="H25" s="453">
        <f t="shared" ref="H25:H36" si="4">+G25*0.2</f>
        <v>0</v>
      </c>
      <c r="I25" s="452"/>
      <c r="J25" s="453">
        <f t="shared" ref="J25:J36" si="5">+I25*0.2</f>
        <v>0</v>
      </c>
      <c r="K25" s="451"/>
      <c r="L25" s="454">
        <f>+D25-J25-H25</f>
        <v>0</v>
      </c>
    </row>
    <row r="26" spans="1:13" hidden="1" x14ac:dyDescent="0.2">
      <c r="A26" s="455" t="s">
        <v>594</v>
      </c>
      <c r="B26" s="456">
        <v>0</v>
      </c>
      <c r="C26" s="457"/>
      <c r="D26" s="458">
        <f>+C26*0.2</f>
        <v>0</v>
      </c>
      <c r="E26" s="458"/>
      <c r="F26" s="459">
        <v>0</v>
      </c>
      <c r="G26" s="460"/>
      <c r="H26" s="461">
        <f t="shared" si="4"/>
        <v>0</v>
      </c>
      <c r="I26" s="460"/>
      <c r="J26" s="461">
        <f t="shared" si="5"/>
        <v>0</v>
      </c>
      <c r="K26" s="462"/>
      <c r="L26" s="454">
        <f>+D26-J26-H26</f>
        <v>0</v>
      </c>
    </row>
    <row r="27" spans="1:13" hidden="1" x14ac:dyDescent="0.2">
      <c r="A27" s="455" t="s">
        <v>595</v>
      </c>
      <c r="B27" s="456">
        <v>0</v>
      </c>
      <c r="C27" s="457"/>
      <c r="D27" s="458">
        <f t="shared" ref="D27:D36" si="6">+C27*0.2</f>
        <v>0</v>
      </c>
      <c r="E27" s="457"/>
      <c r="F27" s="459">
        <v>0</v>
      </c>
      <c r="G27" s="460"/>
      <c r="H27" s="464">
        <f t="shared" si="4"/>
        <v>0</v>
      </c>
      <c r="I27" s="460"/>
      <c r="J27" s="464">
        <f t="shared" si="5"/>
        <v>0</v>
      </c>
      <c r="K27" s="459"/>
      <c r="L27" s="454">
        <f t="shared" ref="L27:L36" si="7">+D27-J27-H27</f>
        <v>0</v>
      </c>
    </row>
    <row r="28" spans="1:13" hidden="1" x14ac:dyDescent="0.2">
      <c r="A28" s="455" t="s">
        <v>596</v>
      </c>
      <c r="B28" s="456">
        <v>0</v>
      </c>
      <c r="C28" s="457"/>
      <c r="D28" s="458">
        <f t="shared" si="6"/>
        <v>0</v>
      </c>
      <c r="E28" s="457"/>
      <c r="F28" s="459">
        <v>0</v>
      </c>
      <c r="G28" s="460"/>
      <c r="H28" s="464">
        <f t="shared" si="4"/>
        <v>0</v>
      </c>
      <c r="I28" s="460"/>
      <c r="J28" s="464">
        <f t="shared" si="5"/>
        <v>0</v>
      </c>
      <c r="K28" s="459"/>
      <c r="L28" s="454">
        <f t="shared" si="7"/>
        <v>0</v>
      </c>
    </row>
    <row r="29" spans="1:13" hidden="1" x14ac:dyDescent="0.2">
      <c r="A29" s="455" t="s">
        <v>597</v>
      </c>
      <c r="B29" s="456">
        <v>0</v>
      </c>
      <c r="C29" s="457">
        <v>1995000</v>
      </c>
      <c r="D29" s="458">
        <f t="shared" si="6"/>
        <v>399000</v>
      </c>
      <c r="E29" s="457"/>
      <c r="F29" s="459">
        <v>225000</v>
      </c>
      <c r="G29" s="460">
        <v>862810</v>
      </c>
      <c r="H29" s="464">
        <f t="shared" si="4"/>
        <v>172562</v>
      </c>
      <c r="I29" s="460">
        <v>142420</v>
      </c>
      <c r="J29" s="464">
        <f t="shared" si="5"/>
        <v>28484</v>
      </c>
      <c r="K29" s="459"/>
      <c r="L29" s="454">
        <f t="shared" si="7"/>
        <v>197954</v>
      </c>
    </row>
    <row r="30" spans="1:13" hidden="1" x14ac:dyDescent="0.2">
      <c r="A30" s="455" t="s">
        <v>598</v>
      </c>
      <c r="B30" s="456">
        <v>0</v>
      </c>
      <c r="C30" s="457">
        <v>7337385</v>
      </c>
      <c r="D30" s="458">
        <f t="shared" si="6"/>
        <v>1467477</v>
      </c>
      <c r="E30" s="457"/>
      <c r="F30" s="459">
        <v>0</v>
      </c>
      <c r="G30" s="460">
        <v>6370180</v>
      </c>
      <c r="H30" s="464">
        <f t="shared" si="4"/>
        <v>1274036</v>
      </c>
      <c r="I30" s="460">
        <v>0</v>
      </c>
      <c r="J30" s="464">
        <f t="shared" si="5"/>
        <v>0</v>
      </c>
      <c r="K30" s="459"/>
      <c r="L30" s="454">
        <f t="shared" si="7"/>
        <v>193441</v>
      </c>
    </row>
    <row r="31" spans="1:13" hidden="1" x14ac:dyDescent="0.2">
      <c r="A31" s="455" t="s">
        <v>599</v>
      </c>
      <c r="B31" s="456">
        <v>0</v>
      </c>
      <c r="C31" s="457">
        <v>0</v>
      </c>
      <c r="D31" s="458">
        <f t="shared" si="6"/>
        <v>0</v>
      </c>
      <c r="E31" s="457"/>
      <c r="F31" s="459">
        <v>268158</v>
      </c>
      <c r="G31" s="460">
        <v>4219545</v>
      </c>
      <c r="H31" s="464">
        <f t="shared" si="4"/>
        <v>843909</v>
      </c>
      <c r="I31" s="460">
        <v>0</v>
      </c>
      <c r="J31" s="464">
        <f t="shared" si="5"/>
        <v>0</v>
      </c>
      <c r="K31" s="459"/>
      <c r="L31" s="454">
        <f t="shared" si="7"/>
        <v>-843909</v>
      </c>
    </row>
    <row r="32" spans="1:13" hidden="1" x14ac:dyDescent="0.2">
      <c r="A32" s="455" t="s">
        <v>600</v>
      </c>
      <c r="B32" s="456">
        <v>0</v>
      </c>
      <c r="C32" s="457">
        <v>55000</v>
      </c>
      <c r="D32" s="458">
        <f t="shared" si="6"/>
        <v>11000</v>
      </c>
      <c r="E32" s="457"/>
      <c r="F32" s="459">
        <v>0</v>
      </c>
      <c r="G32" s="460">
        <v>5410740</v>
      </c>
      <c r="H32" s="464">
        <f t="shared" si="4"/>
        <v>1082148</v>
      </c>
      <c r="I32" s="460">
        <v>0</v>
      </c>
      <c r="J32" s="464">
        <f t="shared" si="5"/>
        <v>0</v>
      </c>
      <c r="K32" s="459"/>
      <c r="L32" s="454">
        <f t="shared" si="7"/>
        <v>-1071148</v>
      </c>
    </row>
    <row r="33" spans="1:12" hidden="1" x14ac:dyDescent="0.2">
      <c r="A33" s="455" t="s">
        <v>601</v>
      </c>
      <c r="B33" s="456">
        <v>0</v>
      </c>
      <c r="C33" s="457">
        <v>11002220</v>
      </c>
      <c r="D33" s="458">
        <f t="shared" si="6"/>
        <v>2200444</v>
      </c>
      <c r="E33" s="457"/>
      <c r="F33" s="459">
        <v>144926</v>
      </c>
      <c r="G33" s="460">
        <v>5794415</v>
      </c>
      <c r="H33" s="464">
        <f t="shared" si="4"/>
        <v>1158883</v>
      </c>
      <c r="I33" s="460"/>
      <c r="J33" s="464">
        <f t="shared" si="5"/>
        <v>0</v>
      </c>
      <c r="K33" s="459"/>
      <c r="L33" s="454">
        <f t="shared" si="7"/>
        <v>1041561</v>
      </c>
    </row>
    <row r="34" spans="1:12" hidden="1" x14ac:dyDescent="0.2">
      <c r="A34" s="455" t="s">
        <v>602</v>
      </c>
      <c r="B34" s="456">
        <v>0</v>
      </c>
      <c r="C34" s="457">
        <v>8036230</v>
      </c>
      <c r="D34" s="458">
        <f t="shared" si="6"/>
        <v>1607246</v>
      </c>
      <c r="E34" s="457"/>
      <c r="F34" s="459">
        <v>18770</v>
      </c>
      <c r="G34" s="460">
        <v>2762380</v>
      </c>
      <c r="H34" s="464">
        <f t="shared" si="4"/>
        <v>552476</v>
      </c>
      <c r="I34" s="460">
        <v>50000</v>
      </c>
      <c r="J34" s="464">
        <f t="shared" si="5"/>
        <v>10000</v>
      </c>
      <c r="K34" s="459"/>
      <c r="L34" s="454">
        <f t="shared" si="7"/>
        <v>1044770</v>
      </c>
    </row>
    <row r="35" spans="1:12" hidden="1" x14ac:dyDescent="0.2">
      <c r="A35" s="455" t="s">
        <v>603</v>
      </c>
      <c r="B35" s="456">
        <v>0</v>
      </c>
      <c r="C35" s="457">
        <v>7075210</v>
      </c>
      <c r="D35" s="458">
        <f t="shared" si="6"/>
        <v>1415042</v>
      </c>
      <c r="E35" s="457"/>
      <c r="F35" s="459">
        <v>301200</v>
      </c>
      <c r="G35" s="460">
        <v>6331210</v>
      </c>
      <c r="H35" s="464">
        <f t="shared" si="4"/>
        <v>1266242</v>
      </c>
      <c r="I35" s="460">
        <v>0</v>
      </c>
      <c r="J35" s="464">
        <f t="shared" si="5"/>
        <v>0</v>
      </c>
      <c r="K35" s="459"/>
      <c r="L35" s="454">
        <f t="shared" si="7"/>
        <v>148800</v>
      </c>
    </row>
    <row r="36" spans="1:12" ht="15.75" hidden="1" thickBot="1" x14ac:dyDescent="0.25">
      <c r="A36" s="465" t="s">
        <v>604</v>
      </c>
      <c r="B36" s="466">
        <v>0</v>
      </c>
      <c r="C36" s="467">
        <v>16240470</v>
      </c>
      <c r="D36" s="468">
        <f t="shared" si="6"/>
        <v>3248094</v>
      </c>
      <c r="E36" s="467"/>
      <c r="F36" s="469">
        <v>13100</v>
      </c>
      <c r="G36" s="470">
        <v>14461180</v>
      </c>
      <c r="H36" s="471">
        <f t="shared" si="4"/>
        <v>2892236</v>
      </c>
      <c r="I36" s="470">
        <v>0</v>
      </c>
      <c r="J36" s="471">
        <f t="shared" si="5"/>
        <v>0</v>
      </c>
      <c r="K36" s="469"/>
      <c r="L36" s="472">
        <f t="shared" si="7"/>
        <v>355858</v>
      </c>
    </row>
    <row r="37" spans="1:12" hidden="1" x14ac:dyDescent="0.2">
      <c r="A37" s="473"/>
      <c r="B37" s="458"/>
      <c r="C37" s="458"/>
      <c r="D37" s="458"/>
      <c r="E37" s="458"/>
      <c r="F37" s="458"/>
      <c r="G37" s="458"/>
      <c r="H37" s="458"/>
      <c r="I37" s="458"/>
      <c r="J37" s="458"/>
      <c r="K37" s="458"/>
      <c r="L37" s="458"/>
    </row>
    <row r="38" spans="1:12" hidden="1" x14ac:dyDescent="0.2">
      <c r="A38" s="474" t="s">
        <v>536</v>
      </c>
      <c r="B38" s="457">
        <f>SUM(B25:B37)</f>
        <v>0</v>
      </c>
      <c r="C38" s="457">
        <f>SUM(C25:C37)</f>
        <v>51741515</v>
      </c>
      <c r="D38" s="457">
        <f>SUM(D25:D37)</f>
        <v>10348303</v>
      </c>
      <c r="E38" s="457"/>
      <c r="F38" s="457">
        <f>SUM(F25:F37)</f>
        <v>971154</v>
      </c>
      <c r="G38" s="457">
        <f>SUM(G25:G37)</f>
        <v>46212460</v>
      </c>
      <c r="H38" s="457">
        <f>SUM(H25:H37)</f>
        <v>9242492</v>
      </c>
      <c r="I38" s="457">
        <f>SUM(I25:I37)</f>
        <v>192420</v>
      </c>
      <c r="J38" s="457">
        <f>SUM(J25:J37)</f>
        <v>38484</v>
      </c>
      <c r="K38" s="457"/>
      <c r="L38" s="457">
        <f>SUM(L25:L36)</f>
        <v>1067327</v>
      </c>
    </row>
    <row r="39" spans="1:12" hidden="1" x14ac:dyDescent="0.2">
      <c r="D39" s="463">
        <f>+D17+D38</f>
        <v>11903427</v>
      </c>
    </row>
    <row r="40" spans="1:12" hidden="1" x14ac:dyDescent="0.2">
      <c r="A40" s="442" t="s">
        <v>605</v>
      </c>
      <c r="B40" s="463">
        <f>SUM(B38:C38)</f>
        <v>51741515</v>
      </c>
      <c r="F40" s="463">
        <f>+F38+G38+I38</f>
        <v>47376034</v>
      </c>
      <c r="G40" s="463"/>
      <c r="H40" s="463"/>
      <c r="I40" s="463">
        <f>+H38+J38</f>
        <v>9280976</v>
      </c>
    </row>
    <row r="41" spans="1:12" hidden="1" x14ac:dyDescent="0.2">
      <c r="I41" s="463">
        <f>+I19+I40</f>
        <v>10933112</v>
      </c>
    </row>
    <row r="42" spans="1:12" hidden="1" x14ac:dyDescent="0.2"/>
    <row r="43" spans="1:12" hidden="1" x14ac:dyDescent="0.2">
      <c r="B43" s="463">
        <f>SUM(B19+B40)</f>
        <v>59517135</v>
      </c>
      <c r="C43" s="463">
        <f t="shared" ref="C43:K43" si="8">SUM(C19+C40)</f>
        <v>0</v>
      </c>
      <c r="D43" s="463">
        <f t="shared" si="8"/>
        <v>0</v>
      </c>
      <c r="E43" s="463">
        <f t="shared" si="8"/>
        <v>0</v>
      </c>
      <c r="F43" s="463">
        <f t="shared" si="8"/>
        <v>55636714</v>
      </c>
      <c r="G43" s="463">
        <f t="shared" si="8"/>
        <v>0</v>
      </c>
      <c r="H43" s="463">
        <f t="shared" si="8"/>
        <v>0</v>
      </c>
      <c r="I43" s="463">
        <f>+I17+I38</f>
        <v>317420</v>
      </c>
      <c r="J43" s="463">
        <f t="shared" si="8"/>
        <v>0</v>
      </c>
      <c r="K43" s="463">
        <f t="shared" si="8"/>
        <v>0</v>
      </c>
      <c r="L43" s="463">
        <f>+L17+L38</f>
        <v>970315</v>
      </c>
    </row>
    <row r="44" spans="1:12" hidden="1" x14ac:dyDescent="0.2"/>
    <row r="45" spans="1:12" hidden="1" x14ac:dyDescent="0.2"/>
    <row r="46" spans="1:12" ht="15.75" hidden="1" x14ac:dyDescent="0.25">
      <c r="A46" s="441" t="s">
        <v>664</v>
      </c>
    </row>
    <row r="47" spans="1:12" ht="16.5" hidden="1" thickBot="1" x14ac:dyDescent="0.3">
      <c r="A47" s="441" t="s">
        <v>671</v>
      </c>
      <c r="C47" s="441" t="s">
        <v>586</v>
      </c>
      <c r="G47" s="441" t="s">
        <v>587</v>
      </c>
      <c r="H47" s="441"/>
      <c r="I47" s="441" t="s">
        <v>607</v>
      </c>
    </row>
    <row r="48" spans="1:12" ht="16.5" hidden="1" thickBot="1" x14ac:dyDescent="0.3">
      <c r="A48" s="443"/>
      <c r="B48" s="444" t="s">
        <v>588</v>
      </c>
      <c r="C48" s="445" t="s">
        <v>586</v>
      </c>
      <c r="D48" s="445" t="s">
        <v>589</v>
      </c>
      <c r="E48" s="445"/>
      <c r="F48" s="444" t="s">
        <v>590</v>
      </c>
      <c r="G48" s="445" t="s">
        <v>591</v>
      </c>
      <c r="H48" s="445" t="s">
        <v>589</v>
      </c>
      <c r="I48" s="445" t="s">
        <v>591</v>
      </c>
      <c r="J48" s="445" t="s">
        <v>589</v>
      </c>
      <c r="K48" s="446"/>
      <c r="L48" s="447" t="s">
        <v>592</v>
      </c>
    </row>
    <row r="49" spans="1:12" hidden="1" x14ac:dyDescent="0.2">
      <c r="A49" s="448" t="s">
        <v>593</v>
      </c>
      <c r="B49" s="449">
        <v>0</v>
      </c>
      <c r="C49" s="450">
        <v>4257245</v>
      </c>
      <c r="D49" s="450">
        <f>+C49*0.2</f>
        <v>851449</v>
      </c>
      <c r="E49" s="450"/>
      <c r="F49" s="451">
        <v>288827</v>
      </c>
      <c r="G49" s="452">
        <v>3642385</v>
      </c>
      <c r="H49" s="453">
        <f t="shared" ref="H49:H60" si="9">+G49*0.2</f>
        <v>728477</v>
      </c>
      <c r="I49" s="452"/>
      <c r="J49" s="453">
        <f t="shared" ref="J49:J60" si="10">+I49*0.2</f>
        <v>0</v>
      </c>
      <c r="K49" s="451"/>
      <c r="L49" s="454">
        <f>+D49-J49-H49</f>
        <v>122972</v>
      </c>
    </row>
    <row r="50" spans="1:12" hidden="1" x14ac:dyDescent="0.2">
      <c r="A50" s="455" t="s">
        <v>594</v>
      </c>
      <c r="B50" s="456">
        <v>0</v>
      </c>
      <c r="C50" s="457">
        <v>7063560</v>
      </c>
      <c r="D50" s="458">
        <f>+C50*0.2</f>
        <v>1412712</v>
      </c>
      <c r="E50" s="458"/>
      <c r="F50" s="459">
        <v>0</v>
      </c>
      <c r="G50" s="460">
        <v>3468290</v>
      </c>
      <c r="H50" s="461">
        <f t="shared" si="9"/>
        <v>693658</v>
      </c>
      <c r="I50" s="460"/>
      <c r="J50" s="461">
        <f t="shared" si="10"/>
        <v>0</v>
      </c>
      <c r="K50" s="462"/>
      <c r="L50" s="454">
        <f>+D50-J50-H50</f>
        <v>719054</v>
      </c>
    </row>
    <row r="51" spans="1:12" hidden="1" x14ac:dyDescent="0.2">
      <c r="A51" s="455" t="s">
        <v>595</v>
      </c>
      <c r="B51" s="456">
        <v>0</v>
      </c>
      <c r="C51" s="457">
        <v>10967335</v>
      </c>
      <c r="D51" s="458">
        <f t="shared" ref="D51:D60" si="11">+C51*0.2</f>
        <v>2193467</v>
      </c>
      <c r="E51" s="457"/>
      <c r="F51" s="459">
        <v>0</v>
      </c>
      <c r="G51" s="460">
        <v>6358965</v>
      </c>
      <c r="H51" s="464">
        <f t="shared" si="9"/>
        <v>1271793</v>
      </c>
      <c r="I51" s="460"/>
      <c r="J51" s="464">
        <f t="shared" si="10"/>
        <v>0</v>
      </c>
      <c r="K51" s="459"/>
      <c r="L51" s="454">
        <f t="shared" ref="L51:L60" si="12">+D51-J51-H51</f>
        <v>921674</v>
      </c>
    </row>
    <row r="52" spans="1:12" hidden="1" x14ac:dyDescent="0.2">
      <c r="A52" s="455" t="s">
        <v>596</v>
      </c>
      <c r="B52" s="456">
        <v>0</v>
      </c>
      <c r="C52" s="457">
        <v>6958485</v>
      </c>
      <c r="D52" s="458">
        <f t="shared" si="11"/>
        <v>1391697</v>
      </c>
      <c r="E52" s="457"/>
      <c r="F52" s="459">
        <v>267591</v>
      </c>
      <c r="G52" s="460">
        <f>1627640+12160415</f>
        <v>13788055</v>
      </c>
      <c r="H52" s="464">
        <f t="shared" si="9"/>
        <v>2757611</v>
      </c>
      <c r="I52" s="460"/>
      <c r="J52" s="464">
        <f t="shared" si="10"/>
        <v>0</v>
      </c>
      <c r="K52" s="459"/>
      <c r="L52" s="454">
        <f t="shared" si="12"/>
        <v>-1365914</v>
      </c>
    </row>
    <row r="53" spans="1:12" hidden="1" x14ac:dyDescent="0.2">
      <c r="A53" s="455" t="s">
        <v>597</v>
      </c>
      <c r="B53" s="456">
        <v>0</v>
      </c>
      <c r="C53" s="457">
        <v>19558435</v>
      </c>
      <c r="D53" s="458">
        <f t="shared" si="11"/>
        <v>3911687</v>
      </c>
      <c r="E53" s="457"/>
      <c r="F53" s="459">
        <v>784000</v>
      </c>
      <c r="G53" s="460">
        <v>8563110</v>
      </c>
      <c r="H53" s="464">
        <f t="shared" si="9"/>
        <v>1712622</v>
      </c>
      <c r="I53" s="460">
        <v>112850</v>
      </c>
      <c r="J53" s="464">
        <f t="shared" si="10"/>
        <v>22570</v>
      </c>
      <c r="K53" s="459"/>
      <c r="L53" s="454">
        <f t="shared" si="12"/>
        <v>2176495</v>
      </c>
    </row>
    <row r="54" spans="1:12" hidden="1" x14ac:dyDescent="0.2">
      <c r="A54" s="455" t="s">
        <v>598</v>
      </c>
      <c r="B54" s="456">
        <v>0</v>
      </c>
      <c r="C54" s="457">
        <v>11915530</v>
      </c>
      <c r="D54" s="458">
        <f t="shared" si="11"/>
        <v>2383106</v>
      </c>
      <c r="E54" s="457"/>
      <c r="F54" s="459"/>
      <c r="G54" s="460">
        <v>7437730</v>
      </c>
      <c r="H54" s="464">
        <f t="shared" si="9"/>
        <v>1487546</v>
      </c>
      <c r="I54" s="460">
        <v>196915</v>
      </c>
      <c r="J54" s="464">
        <f t="shared" si="10"/>
        <v>39383</v>
      </c>
      <c r="K54" s="459"/>
      <c r="L54" s="454">
        <f t="shared" si="12"/>
        <v>856177</v>
      </c>
    </row>
    <row r="55" spans="1:12" hidden="1" x14ac:dyDescent="0.2">
      <c r="A55" s="455" t="s">
        <v>599</v>
      </c>
      <c r="B55" s="456">
        <v>0</v>
      </c>
      <c r="C55" s="457">
        <v>-18612120</v>
      </c>
      <c r="D55" s="458">
        <f t="shared" si="11"/>
        <v>-3722424</v>
      </c>
      <c r="E55" s="457"/>
      <c r="F55" s="459">
        <v>154100</v>
      </c>
      <c r="G55" s="460">
        <v>1381625</v>
      </c>
      <c r="H55" s="464">
        <f t="shared" si="9"/>
        <v>276325</v>
      </c>
      <c r="I55" s="460"/>
      <c r="J55" s="464">
        <f t="shared" si="10"/>
        <v>0</v>
      </c>
      <c r="K55" s="459"/>
      <c r="L55" s="454">
        <f t="shared" si="12"/>
        <v>-3998749</v>
      </c>
    </row>
    <row r="56" spans="1:12" hidden="1" x14ac:dyDescent="0.2">
      <c r="A56" s="455" t="s">
        <v>600</v>
      </c>
      <c r="B56" s="456">
        <v>0</v>
      </c>
      <c r="C56" s="457">
        <v>15083210</v>
      </c>
      <c r="D56" s="458">
        <f t="shared" si="11"/>
        <v>3016642</v>
      </c>
      <c r="E56" s="457"/>
      <c r="F56" s="459">
        <v>100</v>
      </c>
      <c r="G56" s="460">
        <v>8348430</v>
      </c>
      <c r="H56" s="464">
        <f t="shared" si="9"/>
        <v>1669686</v>
      </c>
      <c r="I56" s="460"/>
      <c r="J56" s="464">
        <f t="shared" si="10"/>
        <v>0</v>
      </c>
      <c r="K56" s="459"/>
      <c r="L56" s="454">
        <f t="shared" si="12"/>
        <v>1346956</v>
      </c>
    </row>
    <row r="57" spans="1:12" hidden="1" x14ac:dyDescent="0.2">
      <c r="A57" s="455" t="s">
        <v>601</v>
      </c>
      <c r="B57" s="456">
        <v>0</v>
      </c>
      <c r="C57" s="457">
        <v>36090360</v>
      </c>
      <c r="D57" s="458">
        <f t="shared" si="11"/>
        <v>7218072</v>
      </c>
      <c r="E57" s="457"/>
      <c r="F57" s="459">
        <v>62100</v>
      </c>
      <c r="G57" s="460">
        <v>14674170</v>
      </c>
      <c r="H57" s="464">
        <f t="shared" si="9"/>
        <v>2934834</v>
      </c>
      <c r="I57" s="460"/>
      <c r="J57" s="464">
        <f t="shared" si="10"/>
        <v>0</v>
      </c>
      <c r="K57" s="459"/>
      <c r="L57" s="454">
        <f t="shared" si="12"/>
        <v>4283238</v>
      </c>
    </row>
    <row r="58" spans="1:12" hidden="1" x14ac:dyDescent="0.2">
      <c r="A58" s="455" t="s">
        <v>602</v>
      </c>
      <c r="B58" s="456">
        <v>0</v>
      </c>
      <c r="C58" s="457">
        <v>21994675</v>
      </c>
      <c r="D58" s="458">
        <f t="shared" si="11"/>
        <v>4398935</v>
      </c>
      <c r="E58" s="457"/>
      <c r="F58" s="459">
        <v>192969</v>
      </c>
      <c r="G58" s="460">
        <v>17718735</v>
      </c>
      <c r="H58" s="464">
        <f t="shared" si="9"/>
        <v>3543747</v>
      </c>
      <c r="I58" s="460">
        <v>2095015</v>
      </c>
      <c r="J58" s="464">
        <f t="shared" si="10"/>
        <v>419003</v>
      </c>
      <c r="K58" s="459"/>
      <c r="L58" s="454">
        <f t="shared" si="12"/>
        <v>436185</v>
      </c>
    </row>
    <row r="59" spans="1:12" hidden="1" x14ac:dyDescent="0.2">
      <c r="A59" s="455" t="s">
        <v>603</v>
      </c>
      <c r="B59" s="456">
        <v>0</v>
      </c>
      <c r="C59" s="457">
        <v>28349940</v>
      </c>
      <c r="D59" s="458">
        <f t="shared" si="11"/>
        <v>5669988</v>
      </c>
      <c r="E59" s="457"/>
      <c r="F59" s="459">
        <v>100</v>
      </c>
      <c r="G59" s="460">
        <v>13654790</v>
      </c>
      <c r="H59" s="464">
        <f t="shared" si="9"/>
        <v>2730958</v>
      </c>
      <c r="I59" s="460"/>
      <c r="J59" s="464">
        <f t="shared" si="10"/>
        <v>0</v>
      </c>
      <c r="K59" s="459"/>
      <c r="L59" s="454">
        <f t="shared" si="12"/>
        <v>2939030</v>
      </c>
    </row>
    <row r="60" spans="1:12" ht="15.75" hidden="1" thickBot="1" x14ac:dyDescent="0.25">
      <c r="A60" s="465" t="s">
        <v>604</v>
      </c>
      <c r="B60" s="466">
        <v>0</v>
      </c>
      <c r="C60" s="467">
        <v>53456470</v>
      </c>
      <c r="D60" s="468">
        <f t="shared" si="11"/>
        <v>10691294</v>
      </c>
      <c r="E60" s="467"/>
      <c r="F60" s="469">
        <v>94300</v>
      </c>
      <c r="G60" s="470">
        <v>49321680</v>
      </c>
      <c r="H60" s="471">
        <f t="shared" si="9"/>
        <v>9864336</v>
      </c>
      <c r="I60" s="470"/>
      <c r="J60" s="471">
        <f t="shared" si="10"/>
        <v>0</v>
      </c>
      <c r="K60" s="469"/>
      <c r="L60" s="472">
        <f t="shared" si="12"/>
        <v>826958</v>
      </c>
    </row>
    <row r="61" spans="1:12" hidden="1" x14ac:dyDescent="0.2">
      <c r="A61" s="473"/>
      <c r="B61" s="458"/>
      <c r="C61" s="458"/>
      <c r="D61" s="458"/>
      <c r="E61" s="458"/>
      <c r="F61" s="458"/>
      <c r="G61" s="458"/>
      <c r="H61" s="458"/>
      <c r="I61" s="458"/>
      <c r="J61" s="458"/>
      <c r="K61" s="458"/>
      <c r="L61" s="458"/>
    </row>
    <row r="62" spans="1:12" hidden="1" x14ac:dyDescent="0.2">
      <c r="A62" s="474" t="s">
        <v>536</v>
      </c>
      <c r="B62" s="457">
        <f>SUM(B49:B61)</f>
        <v>0</v>
      </c>
      <c r="C62" s="457">
        <f>SUM(C49:C61)</f>
        <v>197083125</v>
      </c>
      <c r="D62" s="457">
        <f>SUM(D49:D61)</f>
        <v>39416625</v>
      </c>
      <c r="E62" s="457"/>
      <c r="F62" s="457">
        <f>SUM(F49:F61)</f>
        <v>1844087</v>
      </c>
      <c r="G62" s="457">
        <f>SUM(G49:G61)</f>
        <v>148357965</v>
      </c>
      <c r="H62" s="457">
        <f>SUM(H49:H61)</f>
        <v>29671593</v>
      </c>
      <c r="I62" s="457">
        <f>SUM(I49:I61)</f>
        <v>2404780</v>
      </c>
      <c r="J62" s="457">
        <f>SUM(J49:J61)</f>
        <v>480956</v>
      </c>
      <c r="K62" s="457"/>
      <c r="L62" s="457">
        <f>SUM(L49:L60)</f>
        <v>9264076</v>
      </c>
    </row>
    <row r="63" spans="1:12" hidden="1" x14ac:dyDescent="0.2"/>
    <row r="64" spans="1:12" hidden="1" x14ac:dyDescent="0.2">
      <c r="A64" s="442" t="s">
        <v>605</v>
      </c>
      <c r="B64" s="463">
        <f>SUM(B62:C62)</f>
        <v>197083125</v>
      </c>
      <c r="F64" s="463">
        <f>+F62+G62+I62</f>
        <v>152606832</v>
      </c>
      <c r="G64" s="463"/>
      <c r="H64" s="463"/>
      <c r="I64" s="463">
        <f>+H62+J62</f>
        <v>30152549</v>
      </c>
    </row>
    <row r="65" spans="1:12" hidden="1" x14ac:dyDescent="0.2"/>
    <row r="66" spans="1:12" hidden="1" x14ac:dyDescent="0.2"/>
    <row r="67" spans="1:12" hidden="1" x14ac:dyDescent="0.2">
      <c r="I67" s="442" t="s">
        <v>665</v>
      </c>
      <c r="J67" s="442">
        <v>81667</v>
      </c>
    </row>
    <row r="68" spans="1:12" hidden="1" x14ac:dyDescent="0.2">
      <c r="I68" s="442" t="s">
        <v>666</v>
      </c>
      <c r="J68" s="442">
        <v>31185</v>
      </c>
    </row>
    <row r="69" spans="1:12" hidden="1" x14ac:dyDescent="0.2">
      <c r="I69" s="442" t="s">
        <v>667</v>
      </c>
      <c r="J69" s="442">
        <v>185333</v>
      </c>
    </row>
    <row r="70" spans="1:12" hidden="1" x14ac:dyDescent="0.2">
      <c r="I70" s="442" t="s">
        <v>668</v>
      </c>
      <c r="J70" s="442">
        <v>11583</v>
      </c>
    </row>
    <row r="71" spans="1:12" hidden="1" x14ac:dyDescent="0.2">
      <c r="I71" s="442" t="s">
        <v>670</v>
      </c>
      <c r="J71" s="442">
        <v>1098640</v>
      </c>
    </row>
    <row r="72" spans="1:12" hidden="1" x14ac:dyDescent="0.2"/>
    <row r="73" spans="1:12" ht="15.75" hidden="1" x14ac:dyDescent="0.25">
      <c r="A73" s="441" t="s">
        <v>683</v>
      </c>
    </row>
    <row r="74" spans="1:12" ht="16.5" hidden="1" thickBot="1" x14ac:dyDescent="0.3">
      <c r="A74" s="441" t="s">
        <v>671</v>
      </c>
      <c r="C74" s="441" t="s">
        <v>586</v>
      </c>
      <c r="G74" s="441" t="s">
        <v>587</v>
      </c>
      <c r="H74" s="441"/>
      <c r="I74" s="441" t="s">
        <v>607</v>
      </c>
    </row>
    <row r="75" spans="1:12" ht="16.5" hidden="1" thickBot="1" x14ac:dyDescent="0.3">
      <c r="A75" s="443"/>
      <c r="B75" s="444" t="s">
        <v>588</v>
      </c>
      <c r="C75" s="445" t="s">
        <v>586</v>
      </c>
      <c r="D75" s="445" t="s">
        <v>589</v>
      </c>
      <c r="E75" s="445"/>
      <c r="F75" s="444" t="s">
        <v>590</v>
      </c>
      <c r="G75" s="445" t="s">
        <v>591</v>
      </c>
      <c r="H75" s="445" t="s">
        <v>589</v>
      </c>
      <c r="I75" s="445" t="s">
        <v>591</v>
      </c>
      <c r="J75" s="445" t="s">
        <v>589</v>
      </c>
      <c r="K75" s="446"/>
      <c r="L75" s="447" t="s">
        <v>592</v>
      </c>
    </row>
    <row r="76" spans="1:12" hidden="1" x14ac:dyDescent="0.2">
      <c r="A76" s="448" t="s">
        <v>593</v>
      </c>
      <c r="B76" s="449">
        <v>0</v>
      </c>
      <c r="C76" s="450">
        <v>83330</v>
      </c>
      <c r="D76" s="450">
        <f>+C76*0.2</f>
        <v>16666</v>
      </c>
      <c r="E76" s="450"/>
      <c r="F76" s="451">
        <v>447137</v>
      </c>
      <c r="G76" s="452">
        <v>16382980</v>
      </c>
      <c r="H76" s="453">
        <f t="shared" ref="H76:H87" si="13">+G76*0.2</f>
        <v>3276596</v>
      </c>
      <c r="I76" s="452"/>
      <c r="J76" s="453">
        <f t="shared" ref="J76:J87" si="14">+I76*0.2</f>
        <v>0</v>
      </c>
      <c r="K76" s="451"/>
      <c r="L76" s="454">
        <f>+D76-J76-H76</f>
        <v>-3259930</v>
      </c>
    </row>
    <row r="77" spans="1:12" hidden="1" x14ac:dyDescent="0.2">
      <c r="A77" s="455" t="s">
        <v>594</v>
      </c>
      <c r="B77" s="456">
        <v>0</v>
      </c>
      <c r="C77" s="457">
        <v>14711030</v>
      </c>
      <c r="D77" s="458">
        <f>+C77*0.2</f>
        <v>2942206</v>
      </c>
      <c r="E77" s="458"/>
      <c r="F77" s="459">
        <v>100</v>
      </c>
      <c r="G77" s="460">
        <v>5047615</v>
      </c>
      <c r="H77" s="461">
        <f t="shared" si="13"/>
        <v>1009523</v>
      </c>
      <c r="I77" s="460"/>
      <c r="J77" s="461">
        <f t="shared" si="14"/>
        <v>0</v>
      </c>
      <c r="K77" s="462"/>
      <c r="L77" s="454">
        <f>+D77-J77-H77</f>
        <v>1932683</v>
      </c>
    </row>
    <row r="78" spans="1:12" hidden="1" x14ac:dyDescent="0.2">
      <c r="A78" s="455" t="s">
        <v>595</v>
      </c>
      <c r="B78" s="456">
        <v>0</v>
      </c>
      <c r="C78" s="457">
        <v>17399325</v>
      </c>
      <c r="D78" s="458">
        <f t="shared" ref="D78:D87" si="15">+C78*0.2</f>
        <v>3479865</v>
      </c>
      <c r="E78" s="457"/>
      <c r="F78" s="459">
        <v>1600</v>
      </c>
      <c r="G78" s="460">
        <v>4170590</v>
      </c>
      <c r="H78" s="464">
        <f t="shared" si="13"/>
        <v>834118</v>
      </c>
      <c r="I78" s="460">
        <v>918835</v>
      </c>
      <c r="J78" s="464">
        <f t="shared" si="14"/>
        <v>183767</v>
      </c>
      <c r="K78" s="459"/>
      <c r="L78" s="454">
        <f t="shared" ref="L78:L87" si="16">+D78-J78-H78</f>
        <v>2461980</v>
      </c>
    </row>
    <row r="79" spans="1:12" hidden="1" x14ac:dyDescent="0.2">
      <c r="A79" s="455" t="s">
        <v>596</v>
      </c>
      <c r="B79" s="456">
        <v>0</v>
      </c>
      <c r="C79" s="457">
        <v>28079050</v>
      </c>
      <c r="D79" s="458">
        <f t="shared" si="15"/>
        <v>5615810</v>
      </c>
      <c r="E79" s="457"/>
      <c r="F79" s="459">
        <v>2458175</v>
      </c>
      <c r="G79" s="460">
        <v>20115010</v>
      </c>
      <c r="H79" s="464">
        <f t="shared" si="13"/>
        <v>4023002</v>
      </c>
      <c r="I79" s="460">
        <v>0</v>
      </c>
      <c r="J79" s="464">
        <f t="shared" si="14"/>
        <v>0</v>
      </c>
      <c r="K79" s="459"/>
      <c r="L79" s="454">
        <f t="shared" si="16"/>
        <v>1592808</v>
      </c>
    </row>
    <row r="80" spans="1:12" hidden="1" x14ac:dyDescent="0.2">
      <c r="A80" s="455" t="s">
        <v>597</v>
      </c>
      <c r="B80" s="456">
        <v>0</v>
      </c>
      <c r="C80" s="457">
        <v>16021630</v>
      </c>
      <c r="D80" s="458">
        <f t="shared" si="15"/>
        <v>3204326</v>
      </c>
      <c r="E80" s="457"/>
      <c r="F80" s="459">
        <v>48660</v>
      </c>
      <c r="G80" s="460">
        <v>14997125</v>
      </c>
      <c r="H80" s="464">
        <f t="shared" si="13"/>
        <v>2999425</v>
      </c>
      <c r="I80" s="460">
        <v>0</v>
      </c>
      <c r="J80" s="464">
        <f t="shared" si="14"/>
        <v>0</v>
      </c>
      <c r="K80" s="459"/>
      <c r="L80" s="454">
        <f t="shared" si="16"/>
        <v>204901</v>
      </c>
    </row>
    <row r="81" spans="1:12" hidden="1" x14ac:dyDescent="0.2">
      <c r="A81" s="455" t="s">
        <v>598</v>
      </c>
      <c r="B81" s="456">
        <v>0</v>
      </c>
      <c r="C81" s="457">
        <v>11273585</v>
      </c>
      <c r="D81" s="458">
        <f t="shared" si="15"/>
        <v>2254717</v>
      </c>
      <c r="E81" s="457"/>
      <c r="F81" s="459">
        <v>300</v>
      </c>
      <c r="G81" s="460">
        <v>10782240</v>
      </c>
      <c r="H81" s="464">
        <f t="shared" si="13"/>
        <v>2156448</v>
      </c>
      <c r="I81" s="460"/>
      <c r="J81" s="464">
        <f t="shared" si="14"/>
        <v>0</v>
      </c>
      <c r="K81" s="459"/>
      <c r="L81" s="454">
        <f t="shared" si="16"/>
        <v>98269</v>
      </c>
    </row>
    <row r="82" spans="1:12" hidden="1" x14ac:dyDescent="0.2">
      <c r="A82" s="455" t="s">
        <v>599</v>
      </c>
      <c r="B82" s="456">
        <v>0</v>
      </c>
      <c r="C82" s="457">
        <v>16750845</v>
      </c>
      <c r="D82" s="458">
        <f t="shared" si="15"/>
        <v>3350169</v>
      </c>
      <c r="E82" s="457"/>
      <c r="F82" s="459">
        <v>500</v>
      </c>
      <c r="G82" s="460">
        <v>15126515</v>
      </c>
      <c r="H82" s="464">
        <f t="shared" si="13"/>
        <v>3025303</v>
      </c>
      <c r="I82" s="460"/>
      <c r="J82" s="464">
        <f t="shared" si="14"/>
        <v>0</v>
      </c>
      <c r="K82" s="459"/>
      <c r="L82" s="454">
        <f t="shared" si="16"/>
        <v>324866</v>
      </c>
    </row>
    <row r="83" spans="1:12" hidden="1" x14ac:dyDescent="0.2">
      <c r="A83" s="455" t="s">
        <v>600</v>
      </c>
      <c r="B83" s="456">
        <v>0</v>
      </c>
      <c r="C83" s="457">
        <v>29433755</v>
      </c>
      <c r="D83" s="458">
        <f t="shared" si="15"/>
        <v>5886751</v>
      </c>
      <c r="E83" s="457"/>
      <c r="F83" s="459">
        <v>270540</v>
      </c>
      <c r="G83" s="460">
        <v>27545420</v>
      </c>
      <c r="H83" s="464">
        <f t="shared" si="13"/>
        <v>5509084</v>
      </c>
      <c r="I83" s="460"/>
      <c r="J83" s="464">
        <f t="shared" si="14"/>
        <v>0</v>
      </c>
      <c r="K83" s="459"/>
      <c r="L83" s="454">
        <f t="shared" si="16"/>
        <v>377667</v>
      </c>
    </row>
    <row r="84" spans="1:12" hidden="1" x14ac:dyDescent="0.2">
      <c r="A84" s="455" t="s">
        <v>601</v>
      </c>
      <c r="B84" s="456">
        <v>0</v>
      </c>
      <c r="C84" s="457">
        <v>20282005</v>
      </c>
      <c r="D84" s="458">
        <f t="shared" si="15"/>
        <v>4056401</v>
      </c>
      <c r="E84" s="457"/>
      <c r="F84" s="459">
        <v>35100</v>
      </c>
      <c r="G84" s="460">
        <v>15635300</v>
      </c>
      <c r="H84" s="464">
        <f t="shared" si="13"/>
        <v>3127060</v>
      </c>
      <c r="I84" s="460"/>
      <c r="J84" s="464">
        <f t="shared" si="14"/>
        <v>0</v>
      </c>
      <c r="K84" s="459"/>
      <c r="L84" s="454">
        <f t="shared" si="16"/>
        <v>929341</v>
      </c>
    </row>
    <row r="85" spans="1:12" hidden="1" x14ac:dyDescent="0.2">
      <c r="A85" s="455" t="s">
        <v>602</v>
      </c>
      <c r="B85" s="456">
        <v>0</v>
      </c>
      <c r="C85" s="457">
        <v>53783950</v>
      </c>
      <c r="D85" s="458">
        <f t="shared" si="15"/>
        <v>10756790</v>
      </c>
      <c r="E85" s="457"/>
      <c r="F85" s="459">
        <v>588216</v>
      </c>
      <c r="G85" s="460">
        <v>54389115</v>
      </c>
      <c r="H85" s="464">
        <f t="shared" si="13"/>
        <v>10877823</v>
      </c>
      <c r="I85" s="460"/>
      <c r="J85" s="464">
        <f t="shared" si="14"/>
        <v>0</v>
      </c>
      <c r="K85" s="459"/>
      <c r="L85" s="454">
        <f t="shared" si="16"/>
        <v>-121033</v>
      </c>
    </row>
    <row r="86" spans="1:12" hidden="1" x14ac:dyDescent="0.2">
      <c r="A86" s="455" t="s">
        <v>603</v>
      </c>
      <c r="B86" s="456">
        <v>0</v>
      </c>
      <c r="C86" s="457">
        <v>32031055</v>
      </c>
      <c r="D86" s="458">
        <f t="shared" si="15"/>
        <v>6406211</v>
      </c>
      <c r="E86" s="457"/>
      <c r="F86" s="459">
        <v>70100</v>
      </c>
      <c r="G86" s="460">
        <v>25229165</v>
      </c>
      <c r="H86" s="464">
        <f t="shared" si="13"/>
        <v>5045833</v>
      </c>
      <c r="I86" s="460"/>
      <c r="J86" s="464">
        <f t="shared" si="14"/>
        <v>0</v>
      </c>
      <c r="K86" s="459"/>
      <c r="L86" s="454">
        <f t="shared" si="16"/>
        <v>1360378</v>
      </c>
    </row>
    <row r="87" spans="1:12" ht="15.75" hidden="1" thickBot="1" x14ac:dyDescent="0.25">
      <c r="A87" s="465" t="s">
        <v>604</v>
      </c>
      <c r="B87" s="466">
        <v>0</v>
      </c>
      <c r="C87" s="467">
        <v>61151445</v>
      </c>
      <c r="D87" s="468">
        <f t="shared" si="15"/>
        <v>12230289</v>
      </c>
      <c r="E87" s="467"/>
      <c r="F87" s="469">
        <v>100</v>
      </c>
      <c r="G87" s="470">
        <v>52469560</v>
      </c>
      <c r="H87" s="471">
        <f t="shared" si="13"/>
        <v>10493912</v>
      </c>
      <c r="I87" s="470"/>
      <c r="J87" s="471">
        <f t="shared" si="14"/>
        <v>0</v>
      </c>
      <c r="K87" s="469"/>
      <c r="L87" s="472">
        <f t="shared" si="16"/>
        <v>1736377</v>
      </c>
    </row>
    <row r="88" spans="1:12" hidden="1" x14ac:dyDescent="0.2">
      <c r="A88" s="473"/>
      <c r="B88" s="458"/>
      <c r="C88" s="458"/>
      <c r="D88" s="458"/>
      <c r="E88" s="458"/>
      <c r="F88" s="458"/>
      <c r="G88" s="458"/>
      <c r="H88" s="458"/>
      <c r="I88" s="458"/>
      <c r="J88" s="458"/>
      <c r="K88" s="458"/>
      <c r="L88" s="458"/>
    </row>
    <row r="89" spans="1:12" hidden="1" x14ac:dyDescent="0.2">
      <c r="A89" s="474" t="s">
        <v>536</v>
      </c>
      <c r="B89" s="457">
        <f>SUM(B76:B88)</f>
        <v>0</v>
      </c>
      <c r="C89" s="457">
        <f>SUM(C76:C88)</f>
        <v>301001005</v>
      </c>
      <c r="D89" s="457">
        <f>SUM(D76:D88)</f>
        <v>60200201</v>
      </c>
      <c r="E89" s="457"/>
      <c r="F89" s="457">
        <f>SUM(F76:F88)</f>
        <v>3920528</v>
      </c>
      <c r="G89" s="457">
        <f>SUM(G76:G88)</f>
        <v>261890635</v>
      </c>
      <c r="H89" s="457">
        <f>SUM(H76:H88)</f>
        <v>52378127</v>
      </c>
      <c r="I89" s="457">
        <f>SUM(I76:I88)</f>
        <v>918835</v>
      </c>
      <c r="J89" s="457">
        <f>SUM(J76:J88)</f>
        <v>183767</v>
      </c>
      <c r="K89" s="457"/>
      <c r="L89" s="457">
        <f>SUM(L76:L87)</f>
        <v>7638307</v>
      </c>
    </row>
    <row r="90" spans="1:12" hidden="1" x14ac:dyDescent="0.2"/>
    <row r="91" spans="1:12" hidden="1" x14ac:dyDescent="0.2">
      <c r="A91" s="442" t="s">
        <v>605</v>
      </c>
      <c r="B91" s="463">
        <f>SUM(B89:C89)</f>
        <v>301001005</v>
      </c>
      <c r="F91" s="463">
        <f>+F89+G89+I89</f>
        <v>266729998</v>
      </c>
      <c r="G91" s="463"/>
      <c r="H91" s="463"/>
      <c r="I91" s="463">
        <f>+H89+J89</f>
        <v>52561894</v>
      </c>
    </row>
    <row r="92" spans="1:12" hidden="1" x14ac:dyDescent="0.2">
      <c r="F92" s="463">
        <f>+B91-F91</f>
        <v>34271007</v>
      </c>
    </row>
    <row r="93" spans="1:12" hidden="1" x14ac:dyDescent="0.2"/>
    <row r="94" spans="1:12" hidden="1" x14ac:dyDescent="0.2"/>
    <row r="95" spans="1:12" hidden="1" x14ac:dyDescent="0.2"/>
    <row r="96" spans="1:12" hidden="1" x14ac:dyDescent="0.2">
      <c r="H96" s="442">
        <v>11168650</v>
      </c>
    </row>
    <row r="97" spans="1:12" hidden="1" x14ac:dyDescent="0.2">
      <c r="H97" s="442">
        <v>11123570</v>
      </c>
    </row>
    <row r="98" spans="1:12" hidden="1" x14ac:dyDescent="0.2"/>
    <row r="99" spans="1:12" ht="15.75" x14ac:dyDescent="0.25">
      <c r="A99" s="441" t="s">
        <v>716</v>
      </c>
    </row>
    <row r="100" spans="1:12" ht="16.5" thickBot="1" x14ac:dyDescent="0.3">
      <c r="A100" s="441" t="s">
        <v>671</v>
      </c>
      <c r="C100" s="441" t="s">
        <v>586</v>
      </c>
      <c r="G100" s="441" t="s">
        <v>587</v>
      </c>
      <c r="H100" s="441"/>
      <c r="I100" s="441" t="s">
        <v>607</v>
      </c>
    </row>
    <row r="101" spans="1:12" ht="16.5" thickBot="1" x14ac:dyDescent="0.3">
      <c r="A101" s="443"/>
      <c r="B101" s="444" t="s">
        <v>588</v>
      </c>
      <c r="C101" s="445" t="s">
        <v>586</v>
      </c>
      <c r="D101" s="445" t="s">
        <v>589</v>
      </c>
      <c r="E101" s="445"/>
      <c r="F101" s="444" t="s">
        <v>590</v>
      </c>
      <c r="G101" s="445" t="s">
        <v>591</v>
      </c>
      <c r="H101" s="445" t="s">
        <v>589</v>
      </c>
      <c r="I101" s="445" t="s">
        <v>591</v>
      </c>
      <c r="J101" s="445" t="s">
        <v>589</v>
      </c>
      <c r="K101" s="446"/>
      <c r="L101" s="447" t="s">
        <v>592</v>
      </c>
    </row>
    <row r="102" spans="1:12" x14ac:dyDescent="0.2">
      <c r="A102" s="448" t="s">
        <v>593</v>
      </c>
      <c r="B102" s="449">
        <v>0</v>
      </c>
      <c r="C102" s="450">
        <v>1218700</v>
      </c>
      <c r="D102" s="450">
        <f>+C102*0.2</f>
        <v>243740</v>
      </c>
      <c r="E102" s="450"/>
      <c r="F102" s="451">
        <v>94424</v>
      </c>
      <c r="G102" s="452">
        <v>11020185</v>
      </c>
      <c r="H102" s="453">
        <f t="shared" ref="H102:H113" si="17">+G102*0.2</f>
        <v>2204037</v>
      </c>
      <c r="I102" s="452"/>
      <c r="J102" s="453">
        <f t="shared" ref="J102:J113" si="18">+I102*0.2</f>
        <v>0</v>
      </c>
      <c r="K102" s="451"/>
      <c r="L102" s="454">
        <f>+D102-J102-H102</f>
        <v>-1960297</v>
      </c>
    </row>
    <row r="103" spans="1:12" x14ac:dyDescent="0.2">
      <c r="A103" s="455" t="s">
        <v>594</v>
      </c>
      <c r="B103" s="456">
        <v>0</v>
      </c>
      <c r="C103" s="457">
        <v>4142790</v>
      </c>
      <c r="D103" s="458">
        <f>+C103*0.2</f>
        <v>828558</v>
      </c>
      <c r="E103" s="458"/>
      <c r="F103" s="459">
        <v>151000</v>
      </c>
      <c r="G103" s="460">
        <v>3739720</v>
      </c>
      <c r="H103" s="461">
        <f t="shared" si="17"/>
        <v>747944</v>
      </c>
      <c r="I103" s="460">
        <v>440345</v>
      </c>
      <c r="J103" s="461">
        <f t="shared" si="18"/>
        <v>88069</v>
      </c>
      <c r="K103" s="462"/>
      <c r="L103" s="454">
        <f>+D103-J103-H103</f>
        <v>-7455</v>
      </c>
    </row>
    <row r="104" spans="1:12" x14ac:dyDescent="0.2">
      <c r="A104" s="455" t="s">
        <v>595</v>
      </c>
      <c r="B104" s="456">
        <v>0</v>
      </c>
      <c r="C104" s="457">
        <v>23166410</v>
      </c>
      <c r="D104" s="458">
        <f t="shared" ref="D104:D113" si="19">+C104*0.2</f>
        <v>4633282</v>
      </c>
      <c r="E104" s="457"/>
      <c r="F104" s="459">
        <v>2115800</v>
      </c>
      <c r="G104" s="460">
        <v>24198250</v>
      </c>
      <c r="H104" s="464">
        <f t="shared" si="17"/>
        <v>4839650</v>
      </c>
      <c r="I104" s="460"/>
      <c r="J104" s="464">
        <f t="shared" si="18"/>
        <v>0</v>
      </c>
      <c r="K104" s="459"/>
      <c r="L104" s="454">
        <f t="shared" ref="L104:L113" si="20">+D104-J104-H104</f>
        <v>-206368</v>
      </c>
    </row>
    <row r="105" spans="1:12" x14ac:dyDescent="0.2">
      <c r="A105" s="455" t="s">
        <v>596</v>
      </c>
      <c r="B105" s="456">
        <v>0</v>
      </c>
      <c r="C105" s="457">
        <v>8684575</v>
      </c>
      <c r="D105" s="458">
        <f t="shared" si="19"/>
        <v>1736915</v>
      </c>
      <c r="E105" s="457"/>
      <c r="F105" s="459"/>
      <c r="G105" s="460">
        <v>9058175</v>
      </c>
      <c r="H105" s="464">
        <f t="shared" si="17"/>
        <v>1811635</v>
      </c>
      <c r="I105" s="460"/>
      <c r="J105" s="464">
        <f t="shared" si="18"/>
        <v>0</v>
      </c>
      <c r="K105" s="459"/>
      <c r="L105" s="454">
        <f t="shared" si="20"/>
        <v>-74720</v>
      </c>
    </row>
    <row r="106" spans="1:12" x14ac:dyDescent="0.2">
      <c r="A106" s="455" t="s">
        <v>597</v>
      </c>
      <c r="B106" s="456">
        <v>0</v>
      </c>
      <c r="C106" s="457">
        <v>4902100</v>
      </c>
      <c r="D106" s="458">
        <f t="shared" si="19"/>
        <v>980420</v>
      </c>
      <c r="E106" s="457"/>
      <c r="F106" s="459">
        <v>41000</v>
      </c>
      <c r="G106" s="460">
        <v>5368600</v>
      </c>
      <c r="H106" s="464">
        <f t="shared" si="17"/>
        <v>1073720</v>
      </c>
      <c r="I106" s="460">
        <v>30225</v>
      </c>
      <c r="J106" s="464">
        <f t="shared" si="18"/>
        <v>6045</v>
      </c>
      <c r="K106" s="459"/>
      <c r="L106" s="454">
        <f t="shared" si="20"/>
        <v>-99345</v>
      </c>
    </row>
    <row r="107" spans="1:12" x14ac:dyDescent="0.2">
      <c r="A107" s="455" t="s">
        <v>598</v>
      </c>
      <c r="B107" s="456">
        <v>0</v>
      </c>
      <c r="C107" s="457">
        <v>4695707</v>
      </c>
      <c r="D107" s="458">
        <f t="shared" si="19"/>
        <v>939141.4</v>
      </c>
      <c r="E107" s="457"/>
      <c r="F107" s="459">
        <v>200</v>
      </c>
      <c r="G107" s="460">
        <v>6422070</v>
      </c>
      <c r="H107" s="464">
        <f t="shared" si="17"/>
        <v>1284414</v>
      </c>
      <c r="I107" s="460"/>
      <c r="J107" s="464">
        <f t="shared" si="18"/>
        <v>0</v>
      </c>
      <c r="K107" s="459"/>
      <c r="L107" s="454">
        <f t="shared" si="20"/>
        <v>-345272.6</v>
      </c>
    </row>
    <row r="108" spans="1:12" x14ac:dyDescent="0.2">
      <c r="A108" s="455" t="s">
        <v>599</v>
      </c>
      <c r="B108" s="456">
        <v>0</v>
      </c>
      <c r="C108" s="457">
        <v>15560680</v>
      </c>
      <c r="D108" s="458">
        <f t="shared" si="19"/>
        <v>3112136</v>
      </c>
      <c r="E108" s="457"/>
      <c r="F108" s="459">
        <v>416447</v>
      </c>
      <c r="G108" s="460">
        <v>11765040</v>
      </c>
      <c r="H108" s="464">
        <f t="shared" si="17"/>
        <v>2353008</v>
      </c>
      <c r="I108" s="460"/>
      <c r="J108" s="464">
        <f t="shared" si="18"/>
        <v>0</v>
      </c>
      <c r="K108" s="459"/>
      <c r="L108" s="454">
        <f t="shared" si="20"/>
        <v>759128</v>
      </c>
    </row>
    <row r="109" spans="1:12" x14ac:dyDescent="0.2">
      <c r="A109" s="455" t="s">
        <v>600</v>
      </c>
      <c r="B109" s="456">
        <v>0</v>
      </c>
      <c r="C109" s="457">
        <v>2749595</v>
      </c>
      <c r="D109" s="458">
        <f t="shared" si="19"/>
        <v>549919</v>
      </c>
      <c r="E109" s="457"/>
      <c r="F109" s="459">
        <v>52579</v>
      </c>
      <c r="G109" s="460">
        <v>4101910</v>
      </c>
      <c r="H109" s="464">
        <f t="shared" si="17"/>
        <v>820382</v>
      </c>
      <c r="I109" s="460">
        <v>4775602</v>
      </c>
      <c r="J109" s="464"/>
      <c r="K109" s="459"/>
      <c r="L109" s="454">
        <f t="shared" si="20"/>
        <v>-270463</v>
      </c>
    </row>
    <row r="110" spans="1:12" x14ac:dyDescent="0.2">
      <c r="A110" s="455" t="s">
        <v>601</v>
      </c>
      <c r="B110" s="456">
        <v>0</v>
      </c>
      <c r="C110" s="457">
        <v>6514885</v>
      </c>
      <c r="D110" s="458">
        <f t="shared" si="19"/>
        <v>1302977</v>
      </c>
      <c r="E110" s="457"/>
      <c r="F110" s="459">
        <v>218320</v>
      </c>
      <c r="G110" s="460">
        <v>4642805</v>
      </c>
      <c r="H110" s="464">
        <f t="shared" si="17"/>
        <v>928561</v>
      </c>
      <c r="I110" s="460"/>
      <c r="J110" s="464">
        <f t="shared" si="18"/>
        <v>0</v>
      </c>
      <c r="K110" s="459"/>
      <c r="L110" s="454">
        <f t="shared" si="20"/>
        <v>374416</v>
      </c>
    </row>
    <row r="111" spans="1:12" x14ac:dyDescent="0.2">
      <c r="A111" s="455" t="s">
        <v>602</v>
      </c>
      <c r="B111" s="456">
        <v>0</v>
      </c>
      <c r="C111" s="457">
        <v>25469530</v>
      </c>
      <c r="D111" s="458">
        <f t="shared" si="19"/>
        <v>5093906</v>
      </c>
      <c r="E111" s="457"/>
      <c r="F111" s="459">
        <v>91401</v>
      </c>
      <c r="G111" s="460">
        <f>5411885+10390750</f>
        <v>15802635</v>
      </c>
      <c r="H111" s="464">
        <f t="shared" si="17"/>
        <v>3160527</v>
      </c>
      <c r="I111" s="460"/>
      <c r="J111" s="464">
        <f t="shared" si="18"/>
        <v>0</v>
      </c>
      <c r="K111" s="459"/>
      <c r="L111" s="454">
        <f t="shared" si="20"/>
        <v>1933379</v>
      </c>
    </row>
    <row r="112" spans="1:12" x14ac:dyDescent="0.2">
      <c r="A112" s="455" t="s">
        <v>603</v>
      </c>
      <c r="B112" s="456">
        <v>62748</v>
      </c>
      <c r="C112" s="457">
        <v>34631735</v>
      </c>
      <c r="D112" s="458">
        <f t="shared" si="19"/>
        <v>6926347</v>
      </c>
      <c r="E112" s="457"/>
      <c r="F112" s="459">
        <v>134650</v>
      </c>
      <c r="G112" s="460">
        <f>9294985+23316940</f>
        <v>32611925</v>
      </c>
      <c r="H112" s="464">
        <f t="shared" si="17"/>
        <v>6522385</v>
      </c>
      <c r="I112" s="460"/>
      <c r="J112" s="464">
        <f t="shared" si="18"/>
        <v>0</v>
      </c>
      <c r="K112" s="459"/>
      <c r="L112" s="454">
        <f t="shared" si="20"/>
        <v>403962</v>
      </c>
    </row>
    <row r="113" spans="1:12" ht="15.75" thickBot="1" x14ac:dyDescent="0.25">
      <c r="A113" s="465" t="s">
        <v>604</v>
      </c>
      <c r="B113" s="466">
        <v>4047355</v>
      </c>
      <c r="C113" s="467">
        <v>116678515</v>
      </c>
      <c r="D113" s="468">
        <f t="shared" si="19"/>
        <v>23335703</v>
      </c>
      <c r="E113" s="467"/>
      <c r="F113" s="469">
        <v>283868</v>
      </c>
      <c r="G113" s="470">
        <f>11338840+101479400</f>
        <v>112818240</v>
      </c>
      <c r="H113" s="471">
        <f t="shared" si="17"/>
        <v>22563648</v>
      </c>
      <c r="I113" s="470"/>
      <c r="J113" s="471">
        <f t="shared" si="18"/>
        <v>0</v>
      </c>
      <c r="K113" s="469"/>
      <c r="L113" s="472">
        <f t="shared" si="20"/>
        <v>772055</v>
      </c>
    </row>
    <row r="114" spans="1:12" x14ac:dyDescent="0.2">
      <c r="A114" s="473"/>
      <c r="B114" s="458"/>
      <c r="C114" s="458"/>
      <c r="D114" s="458"/>
      <c r="E114" s="458"/>
      <c r="F114" s="458"/>
      <c r="G114" s="458"/>
      <c r="H114" s="458"/>
      <c r="I114" s="458"/>
      <c r="J114" s="458"/>
      <c r="K114" s="458"/>
      <c r="L114" s="458"/>
    </row>
    <row r="115" spans="1:12" x14ac:dyDescent="0.2">
      <c r="A115" s="474" t="s">
        <v>536</v>
      </c>
      <c r="B115" s="457">
        <f>SUM(B102:B114)</f>
        <v>4110103</v>
      </c>
      <c r="C115" s="457">
        <f>SUM(C102:C114)</f>
        <v>248415222</v>
      </c>
      <c r="D115" s="457">
        <f>SUM(D102:D114)</f>
        <v>49683044.399999999</v>
      </c>
      <c r="E115" s="457"/>
      <c r="F115" s="457">
        <f>SUM(F102:F114)</f>
        <v>3599689</v>
      </c>
      <c r="G115" s="457">
        <f>SUM(G102:G114)</f>
        <v>241549555</v>
      </c>
      <c r="H115" s="457">
        <f>SUM(H102:H114)</f>
        <v>48309911</v>
      </c>
      <c r="I115" s="457">
        <f>SUM(I102:I114)</f>
        <v>5246172</v>
      </c>
      <c r="J115" s="457">
        <f>SUM(J102:J114)</f>
        <v>94114</v>
      </c>
      <c r="K115" s="457"/>
      <c r="L115" s="457">
        <f>SUM(L102:L113)</f>
        <v>1279019.3999999999</v>
      </c>
    </row>
    <row r="117" spans="1:12" x14ac:dyDescent="0.2">
      <c r="A117" s="442" t="s">
        <v>605</v>
      </c>
      <c r="B117" s="463">
        <f>SUM(B115:C115)</f>
        <v>252525325</v>
      </c>
      <c r="F117" s="463">
        <f>+F115+G115+I115</f>
        <v>250395416</v>
      </c>
      <c r="G117" s="463"/>
      <c r="H117" s="463"/>
      <c r="I117" s="463">
        <f>+H115+J115</f>
        <v>48404025</v>
      </c>
    </row>
    <row r="118" spans="1:12" x14ac:dyDescent="0.2">
      <c r="F118" s="463">
        <f>+B117-F117</f>
        <v>2129909</v>
      </c>
    </row>
  </sheetData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M84"/>
  <sheetViews>
    <sheetView zoomScale="75" workbookViewId="0">
      <selection activeCell="H37" sqref="H37"/>
    </sheetView>
  </sheetViews>
  <sheetFormatPr defaultRowHeight="15.75" x14ac:dyDescent="0.25"/>
  <cols>
    <col min="1" max="1" width="4.5703125" style="82" customWidth="1"/>
    <col min="2" max="2" width="52.85546875" style="79" customWidth="1"/>
    <col min="3" max="3" width="10.42578125" style="80" customWidth="1"/>
    <col min="4" max="5" width="21.140625" style="81" customWidth="1"/>
    <col min="6" max="6" width="21.140625" style="81" hidden="1" customWidth="1"/>
    <col min="7" max="7" width="24.28515625" style="81" hidden="1" customWidth="1"/>
    <col min="8" max="8" width="19.28515625" style="81" hidden="1" customWidth="1"/>
    <col min="9" max="9" width="21.140625" style="81" hidden="1" customWidth="1"/>
    <col min="10" max="11" width="19.28515625" style="81" hidden="1" customWidth="1"/>
    <col min="12" max="12" width="11.7109375" style="82" customWidth="1"/>
    <col min="13" max="14" width="9.140625" style="82"/>
    <col min="15" max="15" width="17.85546875" style="82" customWidth="1"/>
    <col min="16" max="16384" width="9.140625" style="82"/>
  </cols>
  <sheetData>
    <row r="1" spans="1:11" x14ac:dyDescent="0.25">
      <c r="A1" s="25" t="s">
        <v>581</v>
      </c>
    </row>
    <row r="2" spans="1:11" x14ac:dyDescent="0.25">
      <c r="A2" s="83" t="s">
        <v>700</v>
      </c>
    </row>
    <row r="3" spans="1:11" x14ac:dyDescent="0.25">
      <c r="A3" s="83" t="s">
        <v>93</v>
      </c>
    </row>
    <row r="5" spans="1:11" ht="33" customHeight="1" thickBot="1" x14ac:dyDescent="0.3">
      <c r="A5" s="84" t="s">
        <v>0</v>
      </c>
      <c r="C5" s="80" t="s">
        <v>429</v>
      </c>
      <c r="D5" s="417" t="s">
        <v>699</v>
      </c>
      <c r="E5" s="417" t="s">
        <v>686</v>
      </c>
      <c r="F5" s="417" t="s">
        <v>672</v>
      </c>
      <c r="G5" s="417" t="s">
        <v>652</v>
      </c>
      <c r="H5" s="417" t="s">
        <v>608</v>
      </c>
      <c r="I5" s="417" t="s">
        <v>554</v>
      </c>
      <c r="J5" s="85" t="s">
        <v>554</v>
      </c>
      <c r="K5" s="85" t="s">
        <v>534</v>
      </c>
    </row>
    <row r="6" spans="1:11" ht="16.5" thickTop="1" x14ac:dyDescent="0.25">
      <c r="A6" s="84" t="s">
        <v>42</v>
      </c>
    </row>
    <row r="7" spans="1:11" x14ac:dyDescent="0.25">
      <c r="D7" s="86"/>
      <c r="E7" s="86"/>
      <c r="F7" s="86"/>
      <c r="G7" s="86"/>
      <c r="H7" s="86"/>
      <c r="I7" s="86"/>
      <c r="J7" s="86"/>
      <c r="K7" s="86"/>
    </row>
    <row r="8" spans="1:11" x14ac:dyDescent="0.25">
      <c r="B8" s="79" t="s">
        <v>1</v>
      </c>
      <c r="C8" s="80" t="s">
        <v>421</v>
      </c>
      <c r="D8" s="87">
        <f>+BA!D50</f>
        <v>3763383.77</v>
      </c>
      <c r="E8" s="87">
        <f>+BA!E50</f>
        <v>239086</v>
      </c>
      <c r="F8" s="87">
        <f>+BA!F50</f>
        <v>27634894</v>
      </c>
      <c r="G8" s="87">
        <f>+BA!G50</f>
        <v>3116922</v>
      </c>
      <c r="H8" s="87">
        <f>+BA!H50</f>
        <v>775499</v>
      </c>
      <c r="I8" s="87">
        <f>+BA!I50</f>
        <v>29955</v>
      </c>
      <c r="J8" s="87">
        <v>0</v>
      </c>
      <c r="K8" s="87" t="e">
        <f>+BA!#REF!</f>
        <v>#REF!</v>
      </c>
    </row>
    <row r="9" spans="1:11" x14ac:dyDescent="0.25">
      <c r="B9" s="79" t="s">
        <v>41</v>
      </c>
      <c r="D9" s="86"/>
      <c r="E9" s="86"/>
      <c r="F9" s="86"/>
      <c r="G9" s="86"/>
      <c r="H9" s="86"/>
      <c r="I9" s="86"/>
      <c r="J9" s="86"/>
      <c r="K9" s="86"/>
    </row>
    <row r="10" spans="1:11" x14ac:dyDescent="0.25">
      <c r="B10" s="84"/>
      <c r="D10" s="89">
        <f>SUM(D8:D9)</f>
        <v>3763383.77</v>
      </c>
      <c r="E10" s="89">
        <f>SUM(E8:E9)</f>
        <v>239086</v>
      </c>
      <c r="F10" s="89">
        <f t="shared" ref="F10:K10" si="0">SUM(F8:F9)</f>
        <v>27634894</v>
      </c>
      <c r="G10" s="89">
        <f t="shared" si="0"/>
        <v>3116922</v>
      </c>
      <c r="H10" s="89">
        <f t="shared" si="0"/>
        <v>775499</v>
      </c>
      <c r="I10" s="89">
        <f t="shared" si="0"/>
        <v>29955</v>
      </c>
      <c r="J10" s="89">
        <f t="shared" si="0"/>
        <v>0</v>
      </c>
      <c r="K10" s="89" t="e">
        <f t="shared" si="0"/>
        <v>#REF!</v>
      </c>
    </row>
    <row r="11" spans="1:11" x14ac:dyDescent="0.25">
      <c r="A11" s="79" t="s">
        <v>43</v>
      </c>
      <c r="D11" s="86"/>
      <c r="E11" s="86"/>
      <c r="F11" s="86"/>
      <c r="G11" s="86"/>
      <c r="H11" s="86"/>
      <c r="I11" s="86"/>
      <c r="J11" s="86"/>
      <c r="K11" s="86"/>
    </row>
    <row r="12" spans="1:11" x14ac:dyDescent="0.25">
      <c r="B12" s="79" t="s">
        <v>51</v>
      </c>
      <c r="C12" s="80" t="s">
        <v>420</v>
      </c>
      <c r="D12" s="90">
        <f>+BA!D42</f>
        <v>118063753</v>
      </c>
      <c r="E12" s="90">
        <f>+BA!E42</f>
        <v>105233009.45</v>
      </c>
      <c r="F12" s="90">
        <f>+BA!F42</f>
        <v>6598867.5499999998</v>
      </c>
      <c r="G12" s="90">
        <f>+BA!G42</f>
        <v>9268721</v>
      </c>
      <c r="H12" s="90">
        <f>+BA!H42</f>
        <v>675855</v>
      </c>
      <c r="I12" s="90">
        <f>+BA!I42</f>
        <v>0</v>
      </c>
      <c r="J12" s="90">
        <f>+BA!J42</f>
        <v>0</v>
      </c>
      <c r="K12" s="90" t="e">
        <f>+BA!#REF!</f>
        <v>#REF!</v>
      </c>
    </row>
    <row r="13" spans="1:11" x14ac:dyDescent="0.25">
      <c r="B13" s="79" t="s">
        <v>44</v>
      </c>
      <c r="C13" s="80" t="s">
        <v>420</v>
      </c>
      <c r="D13" s="90">
        <f>+BA!D45+BA!D44</f>
        <v>5189578</v>
      </c>
      <c r="E13" s="90">
        <f>+BA!E45+BA!E44</f>
        <v>473167</v>
      </c>
      <c r="F13" s="90">
        <f>+BA!F45+BA!F44</f>
        <v>0</v>
      </c>
      <c r="G13" s="90">
        <f>+BA!G45+BA!G44</f>
        <v>965</v>
      </c>
      <c r="H13" s="90">
        <f>+BA!H45+BA!H44</f>
        <v>97012</v>
      </c>
      <c r="I13" s="90">
        <f>+BA!I45+BA!I44</f>
        <v>10417</v>
      </c>
      <c r="J13" s="90">
        <v>0</v>
      </c>
      <c r="K13" s="90" t="e">
        <f>+BA!#REF!+BA!#REF!</f>
        <v>#REF!</v>
      </c>
    </row>
    <row r="14" spans="1:11" x14ac:dyDescent="0.25">
      <c r="B14" s="79" t="s">
        <v>3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</row>
    <row r="15" spans="1:11" x14ac:dyDescent="0.25">
      <c r="B15" s="79" t="s">
        <v>4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</row>
    <row r="16" spans="1:11" x14ac:dyDescent="0.25">
      <c r="D16" s="89">
        <f>SUM(D12:D15)</f>
        <v>123253331</v>
      </c>
      <c r="E16" s="89">
        <f>SUM(E12:E15)</f>
        <v>105706176.45</v>
      </c>
      <c r="F16" s="89">
        <f t="shared" ref="F16:K16" si="1">SUM(F12:F15)</f>
        <v>6598867.5499999998</v>
      </c>
      <c r="G16" s="89">
        <f t="shared" si="1"/>
        <v>9269686</v>
      </c>
      <c r="H16" s="89">
        <f t="shared" si="1"/>
        <v>772867</v>
      </c>
      <c r="I16" s="89">
        <f t="shared" si="1"/>
        <v>10417</v>
      </c>
      <c r="J16" s="89">
        <f t="shared" si="1"/>
        <v>0</v>
      </c>
      <c r="K16" s="89" t="e">
        <f t="shared" si="1"/>
        <v>#REF!</v>
      </c>
    </row>
    <row r="17" spans="1:11" x14ac:dyDescent="0.25">
      <c r="A17" s="79" t="s">
        <v>5</v>
      </c>
      <c r="D17" s="86"/>
      <c r="E17" s="86"/>
      <c r="F17" s="86"/>
      <c r="G17" s="86"/>
      <c r="H17" s="86"/>
      <c r="I17" s="86"/>
      <c r="J17" s="86"/>
      <c r="K17" s="86"/>
    </row>
    <row r="18" spans="1:11" x14ac:dyDescent="0.25">
      <c r="B18" s="79" t="s">
        <v>507</v>
      </c>
      <c r="D18" s="91">
        <f>+BA!D35</f>
        <v>0</v>
      </c>
      <c r="E18" s="91">
        <f>+BA!E35</f>
        <v>0</v>
      </c>
      <c r="F18" s="91">
        <f>+BA!F35</f>
        <v>0</v>
      </c>
      <c r="G18" s="91">
        <f>+BA!G35</f>
        <v>3077645</v>
      </c>
      <c r="H18" s="91">
        <f>+BA!H35</f>
        <v>1621324</v>
      </c>
      <c r="I18" s="91">
        <f>+BA!I35</f>
        <v>0</v>
      </c>
      <c r="J18" s="91">
        <f>+BA!J35</f>
        <v>0</v>
      </c>
      <c r="K18" s="91" t="e">
        <f>+BA!#REF!</f>
        <v>#REF!</v>
      </c>
    </row>
    <row r="19" spans="1:11" x14ac:dyDescent="0.25">
      <c r="B19" s="79" t="s">
        <v>6</v>
      </c>
      <c r="D19" s="91">
        <f>+BA!D36</f>
        <v>0</v>
      </c>
      <c r="E19" s="91">
        <f>+BA!E36</f>
        <v>0</v>
      </c>
      <c r="F19" s="91">
        <f>+BA!F36</f>
        <v>0</v>
      </c>
      <c r="G19" s="91">
        <f>+BA!G36</f>
        <v>0</v>
      </c>
      <c r="H19" s="91">
        <f>+BA!H36</f>
        <v>0</v>
      </c>
      <c r="I19" s="91">
        <f>+BA!I36</f>
        <v>0</v>
      </c>
      <c r="J19" s="91">
        <f>+BA!J36</f>
        <v>0</v>
      </c>
      <c r="K19" s="91" t="e">
        <f>+BA!#REF!</f>
        <v>#REF!</v>
      </c>
    </row>
    <row r="20" spans="1:11" x14ac:dyDescent="0.25">
      <c r="B20" s="79" t="s">
        <v>516</v>
      </c>
      <c r="C20" s="80" t="s">
        <v>419</v>
      </c>
      <c r="D20" s="86">
        <f>+BA!D37</f>
        <v>0</v>
      </c>
      <c r="E20" s="86">
        <f>+BA!E37</f>
        <v>0</v>
      </c>
      <c r="F20" s="86">
        <f>+BA!F37</f>
        <v>0</v>
      </c>
      <c r="G20" s="86">
        <f>+BA!G37</f>
        <v>0</v>
      </c>
      <c r="H20" s="86">
        <f>+BA!H37</f>
        <v>0</v>
      </c>
      <c r="I20" s="86">
        <f>+BA!I37</f>
        <v>0</v>
      </c>
      <c r="J20" s="86">
        <f>+BA!J37</f>
        <v>0</v>
      </c>
      <c r="K20" s="86" t="e">
        <f>+BA!#REF!</f>
        <v>#REF!</v>
      </c>
    </row>
    <row r="21" spans="1:11" x14ac:dyDescent="0.25">
      <c r="B21" s="79" t="s">
        <v>45</v>
      </c>
      <c r="D21" s="91">
        <f>+BA!D38</f>
        <v>0</v>
      </c>
      <c r="E21" s="91">
        <f>+BA!E38</f>
        <v>0</v>
      </c>
      <c r="F21" s="91">
        <f>+BA!F38</f>
        <v>0</v>
      </c>
      <c r="G21" s="91">
        <f>+BA!G38</f>
        <v>0</v>
      </c>
      <c r="H21" s="91">
        <f>+BA!H38</f>
        <v>0</v>
      </c>
      <c r="I21" s="91">
        <f>+BA!I38</f>
        <v>0</v>
      </c>
      <c r="J21" s="91">
        <f>+BA!J38</f>
        <v>0</v>
      </c>
      <c r="K21" s="91" t="e">
        <f>+BA!#REF!</f>
        <v>#REF!</v>
      </c>
    </row>
    <row r="22" spans="1:11" x14ac:dyDescent="0.25">
      <c r="B22" s="79" t="s">
        <v>46</v>
      </c>
      <c r="C22" s="80" t="s">
        <v>422</v>
      </c>
      <c r="D22" s="86"/>
      <c r="E22" s="86"/>
      <c r="F22" s="86"/>
      <c r="G22" s="86"/>
      <c r="H22" s="86"/>
      <c r="I22" s="86"/>
      <c r="J22" s="86"/>
      <c r="K22" s="86"/>
    </row>
    <row r="23" spans="1:11" ht="12.75" customHeight="1" x14ac:dyDescent="0.25">
      <c r="D23" s="89">
        <f>SUM(D18:D22)</f>
        <v>0</v>
      </c>
      <c r="E23" s="89">
        <f>SUM(E18:E22)</f>
        <v>0</v>
      </c>
      <c r="F23" s="89">
        <f t="shared" ref="F23:K23" si="2">SUM(F18:F22)</f>
        <v>0</v>
      </c>
      <c r="G23" s="89">
        <f t="shared" si="2"/>
        <v>3077645</v>
      </c>
      <c r="H23" s="89">
        <f t="shared" si="2"/>
        <v>1621324</v>
      </c>
      <c r="I23" s="89">
        <f t="shared" si="2"/>
        <v>0</v>
      </c>
      <c r="J23" s="89">
        <f t="shared" si="2"/>
        <v>0</v>
      </c>
      <c r="K23" s="89" t="e">
        <f t="shared" si="2"/>
        <v>#REF!</v>
      </c>
    </row>
    <row r="24" spans="1:11" x14ac:dyDescent="0.25">
      <c r="B24" s="79" t="s">
        <v>47</v>
      </c>
      <c r="D24" s="86"/>
      <c r="E24" s="86"/>
      <c r="F24" s="86"/>
      <c r="G24" s="86"/>
      <c r="H24" s="86"/>
      <c r="I24" s="86"/>
      <c r="J24" s="86"/>
      <c r="K24" s="86"/>
    </row>
    <row r="25" spans="1:11" x14ac:dyDescent="0.25">
      <c r="B25" s="79" t="s">
        <v>48</v>
      </c>
      <c r="D25" s="86"/>
      <c r="E25" s="86"/>
      <c r="F25" s="86"/>
      <c r="G25" s="86"/>
      <c r="H25" s="86"/>
      <c r="I25" s="86"/>
      <c r="J25" s="86"/>
      <c r="K25" s="86"/>
    </row>
    <row r="26" spans="1:11" x14ac:dyDescent="0.25">
      <c r="B26" s="79" t="s">
        <v>49</v>
      </c>
      <c r="C26" s="80" t="s">
        <v>423</v>
      </c>
      <c r="D26" s="86">
        <f>+BA!D54</f>
        <v>0</v>
      </c>
      <c r="E26" s="86">
        <f>+BA!E54</f>
        <v>0</v>
      </c>
      <c r="F26" s="86">
        <f>+BA!F54</f>
        <v>0</v>
      </c>
      <c r="G26" s="86">
        <f>+BA!G54</f>
        <v>0</v>
      </c>
      <c r="H26" s="86">
        <f>+BA!H54</f>
        <v>0</v>
      </c>
      <c r="I26" s="86">
        <f>+BA!I54</f>
        <v>0</v>
      </c>
      <c r="J26" s="86">
        <f>+BA!J54</f>
        <v>0</v>
      </c>
      <c r="K26" s="86" t="e">
        <f>+BA!#REF!</f>
        <v>#REF!</v>
      </c>
    </row>
    <row r="27" spans="1:11" x14ac:dyDescent="0.25">
      <c r="B27" s="79" t="s">
        <v>115</v>
      </c>
      <c r="D27" s="91">
        <f>+BA!D58</f>
        <v>0</v>
      </c>
      <c r="E27" s="91">
        <f>+BA!E58</f>
        <v>0</v>
      </c>
      <c r="F27" s="91">
        <f>+BA!F58</f>
        <v>0</v>
      </c>
      <c r="G27" s="91">
        <f>+BA!G58</f>
        <v>0</v>
      </c>
      <c r="H27" s="91">
        <f>+BA!H58</f>
        <v>0</v>
      </c>
      <c r="I27" s="91">
        <f>+BA!I58</f>
        <v>0</v>
      </c>
      <c r="J27" s="91">
        <f>+BA!J58</f>
        <v>0</v>
      </c>
      <c r="K27" s="91" t="e">
        <f>+BA!#REF!</f>
        <v>#REF!</v>
      </c>
    </row>
    <row r="28" spans="1:11" x14ac:dyDescent="0.25">
      <c r="D28" s="86"/>
      <c r="E28" s="86"/>
      <c r="F28" s="86"/>
      <c r="G28" s="86"/>
      <c r="H28" s="86"/>
      <c r="I28" s="86"/>
      <c r="J28" s="86"/>
      <c r="K28" s="86"/>
    </row>
    <row r="29" spans="1:11" ht="16.5" thickBot="1" x14ac:dyDescent="0.3">
      <c r="B29" s="92" t="s">
        <v>50</v>
      </c>
      <c r="D29" s="93">
        <f>+D23+D16+D10+D26+D27</f>
        <v>127016714.77</v>
      </c>
      <c r="E29" s="93">
        <f>+E23+E16+E10+E26+E27</f>
        <v>105945262.45</v>
      </c>
      <c r="F29" s="93">
        <f t="shared" ref="F29:K29" si="3">+F23+F16+F10+F26+F27</f>
        <v>34233761.549999997</v>
      </c>
      <c r="G29" s="93">
        <f t="shared" si="3"/>
        <v>15464253</v>
      </c>
      <c r="H29" s="93">
        <f t="shared" si="3"/>
        <v>3169690</v>
      </c>
      <c r="I29" s="93">
        <f t="shared" si="3"/>
        <v>40372</v>
      </c>
      <c r="J29" s="93">
        <f t="shared" si="3"/>
        <v>0</v>
      </c>
      <c r="K29" s="93" t="e">
        <f t="shared" si="3"/>
        <v>#REF!</v>
      </c>
    </row>
    <row r="30" spans="1:11" ht="12" customHeight="1" thickTop="1" x14ac:dyDescent="0.25">
      <c r="D30" s="86"/>
      <c r="E30" s="86"/>
      <c r="F30" s="86"/>
      <c r="G30" s="86"/>
      <c r="H30" s="86"/>
      <c r="I30" s="86"/>
      <c r="J30" s="86"/>
      <c r="K30" s="86"/>
    </row>
    <row r="31" spans="1:11" x14ac:dyDescent="0.25">
      <c r="A31" s="84" t="s">
        <v>7</v>
      </c>
      <c r="D31" s="86"/>
      <c r="E31" s="86"/>
      <c r="F31" s="86"/>
      <c r="G31" s="86"/>
      <c r="H31" s="86"/>
      <c r="I31" s="86"/>
      <c r="J31" s="86"/>
      <c r="K31" s="86"/>
    </row>
    <row r="32" spans="1:11" x14ac:dyDescent="0.25">
      <c r="B32" s="79" t="s">
        <v>717</v>
      </c>
      <c r="D32" s="86">
        <f>+BA!D28</f>
        <v>17162500</v>
      </c>
      <c r="E32" s="86"/>
      <c r="F32" s="86"/>
      <c r="G32" s="86"/>
      <c r="H32" s="86"/>
      <c r="I32" s="86"/>
      <c r="J32" s="86"/>
      <c r="K32" s="86"/>
    </row>
    <row r="33" spans="1:11" x14ac:dyDescent="0.25">
      <c r="B33" s="79" t="s">
        <v>52</v>
      </c>
      <c r="C33" s="80" t="s">
        <v>718</v>
      </c>
      <c r="D33" s="87">
        <f>+BA!D20</f>
        <v>6741217</v>
      </c>
      <c r="E33" s="87">
        <f>+BA!E20</f>
        <v>1965989</v>
      </c>
      <c r="F33" s="87">
        <f>+BA!F20</f>
        <v>1555117</v>
      </c>
      <c r="G33" s="87">
        <f>+BA!G20</f>
        <v>299199</v>
      </c>
      <c r="H33" s="87">
        <f>+BA!H20</f>
        <v>125000</v>
      </c>
      <c r="I33" s="87">
        <f>+BA!I20</f>
        <v>0</v>
      </c>
      <c r="J33" s="87">
        <v>0</v>
      </c>
      <c r="K33" s="87" t="e">
        <f>+BA!#REF!</f>
        <v>#REF!</v>
      </c>
    </row>
    <row r="34" spans="1:11" x14ac:dyDescent="0.25">
      <c r="B34" s="79" t="s">
        <v>53</v>
      </c>
      <c r="D34" s="86"/>
      <c r="E34" s="86"/>
      <c r="F34" s="86"/>
      <c r="G34" s="86"/>
      <c r="H34" s="86"/>
      <c r="I34" s="86"/>
      <c r="J34" s="86"/>
      <c r="K34" s="86"/>
    </row>
    <row r="35" spans="1:11" x14ac:dyDescent="0.25">
      <c r="B35" s="79" t="s">
        <v>54</v>
      </c>
      <c r="D35" s="86"/>
      <c r="E35" s="86"/>
      <c r="F35" s="86"/>
      <c r="G35" s="86"/>
      <c r="H35" s="86"/>
      <c r="I35" s="86"/>
      <c r="J35" s="86"/>
      <c r="K35" s="86"/>
    </row>
    <row r="36" spans="1:11" ht="16.5" thickBot="1" x14ac:dyDescent="0.3">
      <c r="B36" s="92" t="s">
        <v>55</v>
      </c>
      <c r="D36" s="93">
        <f>SUM(D32:D35)</f>
        <v>23903717</v>
      </c>
      <c r="E36" s="93">
        <f>SUM(E33:E35)</f>
        <v>1965989</v>
      </c>
      <c r="F36" s="93">
        <f t="shared" ref="F36:K36" si="4">SUM(F33:F35)</f>
        <v>1555117</v>
      </c>
      <c r="G36" s="93">
        <f t="shared" si="4"/>
        <v>299199</v>
      </c>
      <c r="H36" s="93">
        <f t="shared" si="4"/>
        <v>125000</v>
      </c>
      <c r="I36" s="93">
        <f t="shared" si="4"/>
        <v>0</v>
      </c>
      <c r="J36" s="93">
        <f t="shared" si="4"/>
        <v>0</v>
      </c>
      <c r="K36" s="93" t="e">
        <f t="shared" si="4"/>
        <v>#REF!</v>
      </c>
    </row>
    <row r="37" spans="1:11" ht="16.5" thickTop="1" x14ac:dyDescent="0.25">
      <c r="D37" s="86"/>
      <c r="E37" s="86"/>
      <c r="F37" s="86"/>
      <c r="G37" s="86"/>
      <c r="H37" s="86"/>
      <c r="I37" s="86"/>
      <c r="J37" s="86"/>
      <c r="K37" s="86"/>
    </row>
    <row r="38" spans="1:11" x14ac:dyDescent="0.25">
      <c r="B38" s="84" t="s">
        <v>56</v>
      </c>
      <c r="D38" s="94">
        <f>+D29+D36</f>
        <v>150920431.76999998</v>
      </c>
      <c r="E38" s="94">
        <f>+E29+E36</f>
        <v>107911251.45</v>
      </c>
      <c r="F38" s="94">
        <f t="shared" ref="F38:K38" si="5">+F29+F36</f>
        <v>35788878.549999997</v>
      </c>
      <c r="G38" s="94">
        <f t="shared" si="5"/>
        <v>15763452</v>
      </c>
      <c r="H38" s="94">
        <f t="shared" si="5"/>
        <v>3294690</v>
      </c>
      <c r="I38" s="94">
        <f t="shared" si="5"/>
        <v>40372</v>
      </c>
      <c r="J38" s="94">
        <f t="shared" si="5"/>
        <v>0</v>
      </c>
      <c r="K38" s="94" t="e">
        <f t="shared" si="5"/>
        <v>#REF!</v>
      </c>
    </row>
    <row r="39" spans="1:11" x14ac:dyDescent="0.25">
      <c r="D39" s="86"/>
      <c r="E39" s="86"/>
      <c r="F39" s="86"/>
      <c r="G39" s="86"/>
      <c r="H39" s="86"/>
      <c r="I39" s="86"/>
      <c r="J39" s="86"/>
      <c r="K39" s="86"/>
    </row>
    <row r="40" spans="1:11" x14ac:dyDescent="0.25">
      <c r="A40" s="25" t="s">
        <v>76</v>
      </c>
      <c r="D40" s="86"/>
      <c r="E40" s="86"/>
      <c r="F40" s="86"/>
      <c r="G40" s="86"/>
      <c r="H40" s="86"/>
      <c r="I40" s="86"/>
      <c r="J40" s="86"/>
      <c r="K40" s="86"/>
    </row>
    <row r="41" spans="1:11" ht="9.75" customHeight="1" x14ac:dyDescent="0.25">
      <c r="D41" s="86"/>
      <c r="E41" s="86"/>
      <c r="F41" s="86"/>
      <c r="G41" s="86"/>
      <c r="H41" s="86"/>
      <c r="I41" s="86"/>
      <c r="J41" s="86"/>
      <c r="K41" s="86"/>
    </row>
    <row r="42" spans="1:11" x14ac:dyDescent="0.25">
      <c r="A42" s="25" t="s">
        <v>104</v>
      </c>
      <c r="D42" s="86"/>
      <c r="E42" s="86"/>
      <c r="F42" s="86"/>
      <c r="G42" s="86"/>
      <c r="H42" s="86"/>
      <c r="I42" s="86"/>
      <c r="J42" s="86"/>
      <c r="K42" s="86"/>
    </row>
    <row r="43" spans="1:11" x14ac:dyDescent="0.25">
      <c r="B43" s="82" t="s">
        <v>57</v>
      </c>
      <c r="C43" s="80" t="s">
        <v>425</v>
      </c>
      <c r="D43" s="90">
        <f>BA!D98</f>
        <v>73000000</v>
      </c>
      <c r="E43" s="90">
        <f>BA!E98</f>
        <v>24700000</v>
      </c>
      <c r="F43" s="90">
        <f>BA!F98</f>
        <v>0</v>
      </c>
      <c r="G43" s="90">
        <f>BA!G98</f>
        <v>0</v>
      </c>
      <c r="H43" s="90">
        <f>BA!H98</f>
        <v>0</v>
      </c>
      <c r="I43" s="90">
        <f>BA!I98</f>
        <v>0</v>
      </c>
      <c r="J43" s="90">
        <f>BA!J98</f>
        <v>0</v>
      </c>
      <c r="K43" s="90" t="e">
        <f>BA!#REF!</f>
        <v>#REF!</v>
      </c>
    </row>
    <row r="44" spans="1:11" x14ac:dyDescent="0.25">
      <c r="B44" s="82" t="s">
        <v>58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  <c r="I44" s="91">
        <v>0</v>
      </c>
      <c r="J44" s="91">
        <v>0</v>
      </c>
      <c r="K44" s="91">
        <v>0</v>
      </c>
    </row>
    <row r="45" spans="1:11" x14ac:dyDescent="0.25">
      <c r="B45" s="83" t="s">
        <v>59</v>
      </c>
      <c r="C45" s="80" t="s">
        <v>424</v>
      </c>
      <c r="D45" s="86">
        <f>BA!D101</f>
        <v>37093741.219999999</v>
      </c>
      <c r="E45" s="86">
        <f>BA!E101</f>
        <v>34527831</v>
      </c>
      <c r="F45" s="86">
        <f>BA!F101</f>
        <v>2532133</v>
      </c>
      <c r="G45" s="86">
        <f>BA!G101</f>
        <v>14131356</v>
      </c>
      <c r="H45" s="86">
        <f>BA!H101</f>
        <v>2593054</v>
      </c>
      <c r="I45" s="86">
        <f>BA!I101</f>
        <v>0</v>
      </c>
      <c r="J45" s="86">
        <f>BA!J101</f>
        <v>0</v>
      </c>
      <c r="K45" s="86" t="e">
        <f>BA!#REF!</f>
        <v>#REF!</v>
      </c>
    </row>
    <row r="46" spans="1:11" x14ac:dyDescent="0.25">
      <c r="B46" s="83" t="s">
        <v>60</v>
      </c>
      <c r="D46" s="90">
        <f>+BA!D102</f>
        <v>1232000</v>
      </c>
      <c r="E46" s="90">
        <f>+BA!E102</f>
        <v>864330</v>
      </c>
      <c r="F46" s="90">
        <f>+BA!F102</f>
        <v>1011528</v>
      </c>
      <c r="G46" s="90">
        <f>+BA!G102</f>
        <v>499032</v>
      </c>
      <c r="H46" s="90">
        <f>+BA!H102</f>
        <v>370730</v>
      </c>
      <c r="I46" s="90">
        <f>+BA!I102</f>
        <v>0</v>
      </c>
      <c r="J46" s="90">
        <f>+BA!J102</f>
        <v>0</v>
      </c>
      <c r="K46" s="90" t="e">
        <f>+BA!#REF!</f>
        <v>#REF!</v>
      </c>
    </row>
    <row r="47" spans="1:11" x14ac:dyDescent="0.25">
      <c r="B47" s="83" t="s">
        <v>8</v>
      </c>
      <c r="C47" s="80" t="s">
        <v>427</v>
      </c>
      <c r="D47" s="86">
        <f>+BA!D103+BA!D104</f>
        <v>1173346</v>
      </c>
      <c r="E47" s="86">
        <f>+BA!E103+BA!E104</f>
        <v>3456667</v>
      </c>
      <c r="F47" s="86">
        <f>+BA!F103+BA!F104</f>
        <v>5337026</v>
      </c>
      <c r="G47" s="86">
        <f>+BA!G103+BA!G104</f>
        <v>693369</v>
      </c>
      <c r="H47" s="86">
        <f>+BA!H103+BA!H104</f>
        <v>44395</v>
      </c>
      <c r="I47" s="86">
        <f>+BA!I103+BA!I104</f>
        <v>50220</v>
      </c>
      <c r="J47" s="86">
        <v>0</v>
      </c>
      <c r="K47" s="86" t="e">
        <f>+BA!#REF!+BA!#REF!</f>
        <v>#REF!</v>
      </c>
    </row>
    <row r="48" spans="1:11" x14ac:dyDescent="0.25">
      <c r="B48" s="83" t="s">
        <v>92</v>
      </c>
      <c r="C48" s="80" t="s">
        <v>428</v>
      </c>
      <c r="D48" s="90">
        <f>+BA!D106+BA!D105</f>
        <v>0</v>
      </c>
      <c r="E48" s="90">
        <f>+BA!E106+BA!E105</f>
        <v>0</v>
      </c>
      <c r="F48" s="90">
        <f>+BA!F106+BA!F105</f>
        <v>0</v>
      </c>
      <c r="G48" s="90">
        <f>+BA!G106+BA!G105</f>
        <v>0</v>
      </c>
      <c r="H48" s="90">
        <f>+BA!H106+BA!H105</f>
        <v>0</v>
      </c>
      <c r="I48" s="90">
        <f>+BA!I106+BA!I105</f>
        <v>0</v>
      </c>
      <c r="J48" s="90">
        <f>+BA!J106+BA!J105</f>
        <v>0</v>
      </c>
      <c r="K48" s="90" t="e">
        <f>+BA!#REF!+BA!#REF!</f>
        <v>#REF!</v>
      </c>
    </row>
    <row r="49" spans="1:13" x14ac:dyDescent="0.25">
      <c r="B49" s="83" t="s">
        <v>61</v>
      </c>
      <c r="D49" s="90">
        <v>0</v>
      </c>
      <c r="E49" s="90">
        <v>0</v>
      </c>
      <c r="F49" s="90">
        <v>0</v>
      </c>
      <c r="G49" s="90">
        <v>0</v>
      </c>
      <c r="H49" s="90">
        <v>0</v>
      </c>
      <c r="I49" s="90">
        <v>0</v>
      </c>
      <c r="J49" s="90">
        <v>0</v>
      </c>
      <c r="K49" s="90">
        <v>0</v>
      </c>
    </row>
    <row r="50" spans="1:13" x14ac:dyDescent="0.25">
      <c r="B50" s="83" t="s">
        <v>62</v>
      </c>
      <c r="C50" s="80" t="s">
        <v>426</v>
      </c>
      <c r="D50" s="90">
        <f>+BA!D92</f>
        <v>0</v>
      </c>
      <c r="E50" s="90">
        <f>+BA!E92</f>
        <v>0</v>
      </c>
      <c r="F50" s="90">
        <f>+BA!F92</f>
        <v>0</v>
      </c>
      <c r="G50" s="90">
        <f>+BA!G92</f>
        <v>0</v>
      </c>
      <c r="H50" s="90">
        <f>+BA!H92</f>
        <v>0</v>
      </c>
      <c r="I50" s="90">
        <f>+BA!I92</f>
        <v>0</v>
      </c>
      <c r="J50" s="90">
        <f>+BA!J92</f>
        <v>0</v>
      </c>
      <c r="K50" s="90" t="e">
        <f>+BA!#REF!</f>
        <v>#REF!</v>
      </c>
    </row>
    <row r="51" spans="1:13" x14ac:dyDescent="0.25">
      <c r="B51" s="82" t="s">
        <v>94</v>
      </c>
      <c r="D51" s="90">
        <v>0</v>
      </c>
      <c r="E51" s="90">
        <v>0</v>
      </c>
      <c r="F51" s="90">
        <v>0</v>
      </c>
      <c r="G51" s="90">
        <v>0</v>
      </c>
      <c r="H51" s="90">
        <v>0</v>
      </c>
      <c r="I51" s="90">
        <v>0</v>
      </c>
      <c r="J51" s="90">
        <v>0</v>
      </c>
      <c r="K51" s="90">
        <v>0</v>
      </c>
    </row>
    <row r="52" spans="1:13" x14ac:dyDescent="0.25">
      <c r="B52" s="82" t="s">
        <v>63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  <c r="J52" s="91">
        <v>0</v>
      </c>
      <c r="K52" s="91">
        <v>0</v>
      </c>
    </row>
    <row r="53" spans="1:13" x14ac:dyDescent="0.25">
      <c r="B53" s="82" t="s">
        <v>64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  <c r="J53" s="91">
        <v>0</v>
      </c>
      <c r="K53" s="91">
        <v>0</v>
      </c>
    </row>
    <row r="54" spans="1:13" x14ac:dyDescent="0.25">
      <c r="B54" s="82"/>
      <c r="D54" s="86"/>
      <c r="E54" s="86"/>
      <c r="F54" s="86"/>
      <c r="G54" s="86"/>
      <c r="H54" s="86"/>
      <c r="I54" s="86"/>
      <c r="J54" s="86"/>
      <c r="K54" s="86"/>
    </row>
    <row r="55" spans="1:13" ht="16.5" thickBot="1" x14ac:dyDescent="0.3">
      <c r="B55" s="92" t="s">
        <v>65</v>
      </c>
      <c r="D55" s="93">
        <f>SUM(D43:D54)</f>
        <v>112499087.22</v>
      </c>
      <c r="E55" s="93">
        <f>SUM(E43:E54)</f>
        <v>63548828</v>
      </c>
      <c r="F55" s="93">
        <f t="shared" ref="F55:K55" si="6">SUM(F43:F54)</f>
        <v>8880687</v>
      </c>
      <c r="G55" s="93">
        <f t="shared" si="6"/>
        <v>15323757</v>
      </c>
      <c r="H55" s="93">
        <f t="shared" si="6"/>
        <v>3008179</v>
      </c>
      <c r="I55" s="93">
        <f t="shared" si="6"/>
        <v>50220</v>
      </c>
      <c r="J55" s="93">
        <f t="shared" si="6"/>
        <v>0</v>
      </c>
      <c r="K55" s="93" t="e">
        <f t="shared" si="6"/>
        <v>#REF!</v>
      </c>
      <c r="L55" s="79"/>
      <c r="M55" s="79"/>
    </row>
    <row r="56" spans="1:13" ht="16.5" thickTop="1" x14ac:dyDescent="0.25">
      <c r="A56" s="25" t="s">
        <v>66</v>
      </c>
      <c r="D56" s="86"/>
      <c r="E56" s="86"/>
      <c r="F56" s="86"/>
      <c r="G56" s="86"/>
      <c r="H56" s="86"/>
      <c r="I56" s="86"/>
      <c r="J56" s="86"/>
      <c r="K56" s="86"/>
      <c r="L56" s="79"/>
      <c r="M56" s="79"/>
    </row>
    <row r="57" spans="1:13" x14ac:dyDescent="0.25">
      <c r="B57" s="82" t="s">
        <v>67</v>
      </c>
      <c r="C57" s="80">
        <v>6</v>
      </c>
      <c r="D57" s="90"/>
      <c r="E57" s="90"/>
      <c r="F57" s="90"/>
      <c r="G57" s="90"/>
      <c r="H57" s="90"/>
      <c r="I57" s="90"/>
      <c r="J57" s="90"/>
      <c r="K57" s="90"/>
      <c r="L57" s="79"/>
      <c r="M57" s="79"/>
    </row>
    <row r="58" spans="1:13" x14ac:dyDescent="0.25">
      <c r="B58" s="82" t="s">
        <v>68</v>
      </c>
      <c r="D58" s="90"/>
      <c r="E58" s="90"/>
      <c r="F58" s="90"/>
      <c r="G58" s="90"/>
      <c r="H58" s="90"/>
      <c r="I58" s="90"/>
      <c r="J58" s="90"/>
      <c r="K58" s="90"/>
      <c r="L58" s="79"/>
      <c r="M58" s="79"/>
    </row>
    <row r="59" spans="1:13" x14ac:dyDescent="0.25">
      <c r="B59" s="82" t="s">
        <v>69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  <c r="K59" s="90">
        <v>0</v>
      </c>
    </row>
    <row r="60" spans="1:13" x14ac:dyDescent="0.25">
      <c r="B60" s="82" t="s">
        <v>63</v>
      </c>
      <c r="D60" s="86"/>
      <c r="E60" s="86"/>
      <c r="F60" s="86"/>
      <c r="G60" s="86"/>
      <c r="H60" s="86"/>
      <c r="I60" s="86"/>
      <c r="J60" s="86"/>
      <c r="K60" s="86"/>
    </row>
    <row r="61" spans="1:13" ht="16.5" thickBot="1" x14ac:dyDescent="0.3">
      <c r="B61" s="92" t="s">
        <v>70</v>
      </c>
      <c r="D61" s="93">
        <f>SUM(D57:D60)</f>
        <v>0</v>
      </c>
      <c r="E61" s="93">
        <f>SUM(E57:E60)</f>
        <v>0</v>
      </c>
      <c r="F61" s="93">
        <f t="shared" ref="F61:K61" si="7">SUM(F57:F60)</f>
        <v>0</v>
      </c>
      <c r="G61" s="93">
        <f t="shared" si="7"/>
        <v>0</v>
      </c>
      <c r="H61" s="93">
        <f t="shared" si="7"/>
        <v>0</v>
      </c>
      <c r="I61" s="93">
        <f t="shared" si="7"/>
        <v>0</v>
      </c>
      <c r="J61" s="93">
        <f t="shared" si="7"/>
        <v>0</v>
      </c>
      <c r="K61" s="93">
        <f t="shared" si="7"/>
        <v>0</v>
      </c>
      <c r="L61" s="95"/>
    </row>
    <row r="62" spans="1:13" ht="12.75" customHeight="1" thickTop="1" x14ac:dyDescent="0.25">
      <c r="D62" s="86"/>
      <c r="E62" s="86"/>
      <c r="F62" s="86"/>
      <c r="G62" s="86"/>
      <c r="H62" s="86"/>
      <c r="I62" s="86"/>
      <c r="J62" s="86"/>
      <c r="K62" s="86"/>
    </row>
    <row r="63" spans="1:13" x14ac:dyDescent="0.25">
      <c r="A63" s="25" t="s">
        <v>71</v>
      </c>
      <c r="L63" s="95"/>
    </row>
    <row r="64" spans="1:13" x14ac:dyDescent="0.25">
      <c r="B64" s="82" t="s">
        <v>40</v>
      </c>
      <c r="C64" s="80">
        <v>7</v>
      </c>
      <c r="D64" s="86">
        <f>+BA!D69</f>
        <v>100000</v>
      </c>
      <c r="E64" s="86">
        <f>+BA!E69</f>
        <v>100000</v>
      </c>
      <c r="F64" s="86">
        <f>+BA!F69</f>
        <v>100000</v>
      </c>
      <c r="G64" s="86">
        <f>+BA!G69</f>
        <v>100000</v>
      </c>
      <c r="H64" s="86">
        <f>+BA!H69</f>
        <v>100000</v>
      </c>
      <c r="I64" s="86">
        <f>+BA!I69</f>
        <v>100000</v>
      </c>
      <c r="J64" s="86">
        <f>+BA!J69</f>
        <v>0</v>
      </c>
      <c r="K64" s="86" t="e">
        <f>+BA!#REF!</f>
        <v>#REF!</v>
      </c>
    </row>
    <row r="65" spans="2:12" x14ac:dyDescent="0.25">
      <c r="B65" s="82" t="s">
        <v>415</v>
      </c>
      <c r="C65" s="80">
        <v>7</v>
      </c>
      <c r="D65" s="86">
        <f>+BA!D70</f>
        <v>0</v>
      </c>
      <c r="E65" s="86">
        <f>+BA!E70</f>
        <v>0</v>
      </c>
      <c r="F65" s="86">
        <f>+BA!F70</f>
        <v>0</v>
      </c>
      <c r="G65" s="86">
        <f>+BA!G70</f>
        <v>0</v>
      </c>
      <c r="H65" s="86">
        <f>+BA!H70</f>
        <v>0</v>
      </c>
      <c r="I65" s="86">
        <f>+BA!I70</f>
        <v>0</v>
      </c>
      <c r="J65" s="86">
        <f>+BA!J70</f>
        <v>0</v>
      </c>
      <c r="K65" s="86" t="e">
        <f>+BA!#REF!</f>
        <v>#REF!</v>
      </c>
    </row>
    <row r="66" spans="2:12" x14ac:dyDescent="0.25">
      <c r="B66" s="82" t="s">
        <v>72</v>
      </c>
      <c r="D66" s="90">
        <f>+BA!D74</f>
        <v>0</v>
      </c>
      <c r="E66" s="90">
        <f>+BA!E74</f>
        <v>0</v>
      </c>
      <c r="F66" s="90">
        <f>+BA!F74</f>
        <v>0</v>
      </c>
      <c r="G66" s="90">
        <f>+BA!G74</f>
        <v>0</v>
      </c>
      <c r="H66" s="90">
        <f>+BA!H74</f>
        <v>0</v>
      </c>
      <c r="I66" s="90">
        <f>+BA!I74</f>
        <v>0</v>
      </c>
      <c r="J66" s="90">
        <f>+BA!J74</f>
        <v>0</v>
      </c>
      <c r="K66" s="90" t="e">
        <f>+BA!#REF!</f>
        <v>#REF!</v>
      </c>
      <c r="L66" s="95"/>
    </row>
    <row r="67" spans="2:12" x14ac:dyDescent="0.25">
      <c r="B67" s="82" t="s">
        <v>73</v>
      </c>
      <c r="D67" s="90">
        <f>+BA!D73</f>
        <v>0</v>
      </c>
      <c r="E67" s="90">
        <f>+BA!E73</f>
        <v>0</v>
      </c>
      <c r="F67" s="90">
        <f>+BA!F73</f>
        <v>0</v>
      </c>
      <c r="G67" s="90">
        <f>+BA!G73</f>
        <v>0</v>
      </c>
      <c r="H67" s="90">
        <f>+BA!H73</f>
        <v>0</v>
      </c>
      <c r="I67" s="90">
        <f>+BA!I73</f>
        <v>0</v>
      </c>
      <c r="J67" s="90">
        <f>+BA!J73</f>
        <v>0</v>
      </c>
      <c r="K67" s="90" t="e">
        <f>+BA!#REF!</f>
        <v>#REF!</v>
      </c>
    </row>
    <row r="68" spans="2:12" x14ac:dyDescent="0.25">
      <c r="B68" s="82" t="s">
        <v>9</v>
      </c>
      <c r="D68" s="90">
        <f>+BA!D75</f>
        <v>0</v>
      </c>
      <c r="E68" s="90">
        <f>+BA!E75</f>
        <v>0</v>
      </c>
      <c r="F68" s="90">
        <f>+BA!F75</f>
        <v>0</v>
      </c>
      <c r="G68" s="90">
        <f>+BA!G75</f>
        <v>0</v>
      </c>
      <c r="H68" s="90">
        <f>+BA!H75</f>
        <v>0</v>
      </c>
      <c r="I68" s="90">
        <f>+BA!I75</f>
        <v>0</v>
      </c>
      <c r="J68" s="90">
        <f>+BA!J75</f>
        <v>0</v>
      </c>
      <c r="K68" s="90" t="e">
        <f>+BA!#REF!</f>
        <v>#REF!</v>
      </c>
    </row>
    <row r="69" spans="2:12" x14ac:dyDescent="0.25">
      <c r="B69" s="82" t="s">
        <v>74</v>
      </c>
      <c r="C69" s="80">
        <v>7</v>
      </c>
      <c r="D69" s="86">
        <f>+BA!D76</f>
        <v>44262423.450000003</v>
      </c>
      <c r="E69" s="86">
        <f>+BA!E76</f>
        <v>26808191.550000001</v>
      </c>
      <c r="F69" s="86">
        <f>+BA!F76</f>
        <v>339695</v>
      </c>
      <c r="G69" s="86">
        <f>+BA!G76</f>
        <v>-109848</v>
      </c>
      <c r="H69" s="86">
        <f>+BA!H76</f>
        <v>-109848</v>
      </c>
      <c r="I69" s="86">
        <f>+BA!I76</f>
        <v>0</v>
      </c>
      <c r="J69" s="86">
        <f>+BA!J76</f>
        <v>0</v>
      </c>
      <c r="K69" s="86" t="e">
        <f>+BA!#REF!</f>
        <v>#REF!</v>
      </c>
    </row>
    <row r="70" spans="2:12" x14ac:dyDescent="0.25">
      <c r="B70" s="82" t="s">
        <v>75</v>
      </c>
      <c r="C70" s="80">
        <v>7</v>
      </c>
      <c r="D70" s="86">
        <f>+BA!D77</f>
        <v>-5941078.900000006</v>
      </c>
      <c r="E70" s="86">
        <f>+BA!E77</f>
        <v>17454231.899999999</v>
      </c>
      <c r="F70" s="86">
        <f>+BA!F77</f>
        <v>26468496.550000001</v>
      </c>
      <c r="G70" s="86">
        <f>+BA!G77</f>
        <v>449543</v>
      </c>
      <c r="H70" s="86">
        <f>+BA!H77</f>
        <v>296359</v>
      </c>
      <c r="I70" s="86">
        <f>+BA!I77</f>
        <v>-109848</v>
      </c>
      <c r="J70" s="86">
        <v>0</v>
      </c>
      <c r="K70" s="86" t="e">
        <f>+BA!#REF!</f>
        <v>#REF!</v>
      </c>
    </row>
    <row r="71" spans="2:12" ht="16.5" thickBot="1" x14ac:dyDescent="0.3">
      <c r="B71" s="92" t="s">
        <v>118</v>
      </c>
      <c r="D71" s="93">
        <f>SUM(D64:D70)</f>
        <v>38421344.549999997</v>
      </c>
      <c r="E71" s="93">
        <f>SUM(E64:E70)</f>
        <v>44362423.450000003</v>
      </c>
      <c r="F71" s="93">
        <f t="shared" ref="F71:K71" si="8">SUM(F64:F70)</f>
        <v>26908191.550000001</v>
      </c>
      <c r="G71" s="93">
        <f t="shared" si="8"/>
        <v>439695</v>
      </c>
      <c r="H71" s="93">
        <f t="shared" si="8"/>
        <v>286511</v>
      </c>
      <c r="I71" s="93">
        <f t="shared" si="8"/>
        <v>-9848</v>
      </c>
      <c r="J71" s="93">
        <f t="shared" si="8"/>
        <v>0</v>
      </c>
      <c r="K71" s="93" t="e">
        <f t="shared" si="8"/>
        <v>#REF!</v>
      </c>
    </row>
    <row r="72" spans="2:12" ht="16.5" thickTop="1" x14ac:dyDescent="0.25">
      <c r="B72" s="82"/>
      <c r="D72" s="90"/>
      <c r="E72" s="90"/>
      <c r="F72" s="90"/>
      <c r="G72" s="90"/>
      <c r="H72" s="90"/>
      <c r="I72" s="90"/>
      <c r="J72" s="90"/>
      <c r="K72" s="90"/>
    </row>
    <row r="73" spans="2:12" x14ac:dyDescent="0.25">
      <c r="B73" s="92" t="s">
        <v>77</v>
      </c>
      <c r="D73" s="94">
        <f>+D71+D61+D55</f>
        <v>150920431.76999998</v>
      </c>
      <c r="E73" s="94">
        <f>+E71+E61+E55</f>
        <v>107911251.45</v>
      </c>
      <c r="F73" s="94">
        <f t="shared" ref="F73:K73" si="9">+F71+F61+F55</f>
        <v>35788878.549999997</v>
      </c>
      <c r="G73" s="94">
        <f t="shared" si="9"/>
        <v>15763452</v>
      </c>
      <c r="H73" s="94">
        <f t="shared" si="9"/>
        <v>3294690</v>
      </c>
      <c r="I73" s="94">
        <f t="shared" si="9"/>
        <v>40372</v>
      </c>
      <c r="J73" s="94">
        <f t="shared" si="9"/>
        <v>0</v>
      </c>
      <c r="K73" s="94" t="e">
        <f t="shared" si="9"/>
        <v>#REF!</v>
      </c>
      <c r="L73" s="95"/>
    </row>
    <row r="75" spans="2:12" x14ac:dyDescent="0.25">
      <c r="C75" s="92">
        <v>2</v>
      </c>
      <c r="D75" s="88"/>
      <c r="E75" s="88"/>
      <c r="F75" s="88"/>
      <c r="G75" s="88"/>
      <c r="H75" s="88"/>
      <c r="I75" s="88"/>
      <c r="J75" s="88"/>
      <c r="K75" s="88"/>
    </row>
    <row r="76" spans="2:12" x14ac:dyDescent="0.25">
      <c r="B76" s="97" t="s">
        <v>582</v>
      </c>
      <c r="C76" s="92"/>
      <c r="D76" s="97" t="s">
        <v>653</v>
      </c>
      <c r="E76" s="97"/>
      <c r="F76" s="97"/>
      <c r="G76" s="97"/>
      <c r="J76" s="97"/>
      <c r="K76" s="97"/>
    </row>
    <row r="77" spans="2:12" ht="18" customHeight="1" x14ac:dyDescent="0.25">
      <c r="B77" s="92"/>
      <c r="C77" s="92"/>
      <c r="D77" s="96"/>
      <c r="E77" s="96"/>
      <c r="F77" s="96"/>
      <c r="G77" s="96"/>
      <c r="H77" s="96"/>
      <c r="I77" s="96"/>
      <c r="J77" s="96"/>
      <c r="K77" s="96"/>
    </row>
    <row r="78" spans="2:12" ht="33" hidden="1" customHeight="1" x14ac:dyDescent="0.25">
      <c r="B78" s="80"/>
      <c r="D78" s="88"/>
      <c r="E78" s="88"/>
      <c r="F78" s="88"/>
      <c r="G78" s="88"/>
      <c r="H78" s="88"/>
      <c r="I78" s="88"/>
      <c r="J78" s="88"/>
      <c r="K78" s="88"/>
    </row>
    <row r="79" spans="2:12" hidden="1" x14ac:dyDescent="0.25">
      <c r="D79" s="88">
        <f>+D73-D38</f>
        <v>0</v>
      </c>
      <c r="E79" s="88">
        <f>+E73-E38</f>
        <v>0</v>
      </c>
      <c r="F79" s="88">
        <f t="shared" ref="F79:K79" si="10">+F73-F38</f>
        <v>0</v>
      </c>
      <c r="G79" s="88">
        <f t="shared" si="10"/>
        <v>0</v>
      </c>
      <c r="H79" s="88">
        <f t="shared" si="10"/>
        <v>0</v>
      </c>
      <c r="I79" s="88">
        <f t="shared" si="10"/>
        <v>0</v>
      </c>
      <c r="J79" s="88">
        <f t="shared" si="10"/>
        <v>0</v>
      </c>
      <c r="K79" s="88" t="e">
        <f t="shared" si="10"/>
        <v>#REF!</v>
      </c>
    </row>
    <row r="80" spans="2:12" hidden="1" x14ac:dyDescent="0.25">
      <c r="D80" s="98"/>
      <c r="E80" s="98"/>
      <c r="F80" s="98"/>
      <c r="G80" s="98"/>
      <c r="H80" s="98"/>
      <c r="I80" s="98"/>
      <c r="J80" s="98"/>
      <c r="K80" s="98"/>
    </row>
    <row r="81" spans="4:11" hidden="1" x14ac:dyDescent="0.25">
      <c r="D81" s="98"/>
      <c r="E81" s="98"/>
      <c r="F81" s="98"/>
      <c r="G81" s="98"/>
      <c r="H81" s="98"/>
      <c r="I81" s="98"/>
      <c r="J81" s="98"/>
      <c r="K81" s="98"/>
    </row>
    <row r="82" spans="4:11" x14ac:dyDescent="0.25">
      <c r="D82" s="98"/>
      <c r="E82" s="98"/>
      <c r="F82" s="98"/>
      <c r="G82" s="98"/>
      <c r="H82" s="98"/>
      <c r="I82" s="98"/>
      <c r="J82" s="98"/>
      <c r="K82" s="98"/>
    </row>
    <row r="83" spans="4:11" x14ac:dyDescent="0.25">
      <c r="D83" s="98"/>
      <c r="E83" s="98"/>
      <c r="F83" s="98"/>
      <c r="G83" s="98"/>
      <c r="H83" s="98"/>
      <c r="I83" s="98"/>
      <c r="J83" s="98"/>
      <c r="K83" s="98"/>
    </row>
    <row r="84" spans="4:11" x14ac:dyDescent="0.25">
      <c r="D84" s="98"/>
      <c r="E84" s="98"/>
      <c r="F84" s="98"/>
      <c r="G84" s="98"/>
      <c r="H84" s="98"/>
      <c r="I84" s="98"/>
      <c r="J84" s="98"/>
      <c r="K84" s="98"/>
    </row>
  </sheetData>
  <phoneticPr fontId="3" type="noConversion"/>
  <pageMargins left="0.46" right="0.4" top="0.34" bottom="0.3" header="0.22" footer="0.2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39"/>
  <sheetViews>
    <sheetView tabSelected="1" workbookViewId="0">
      <selection activeCell="H37" sqref="H37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5" width="18.28515625" style="8" customWidth="1"/>
    <col min="6" max="6" width="18.28515625" style="8" hidden="1" customWidth="1"/>
    <col min="7" max="9" width="16.28515625" style="8" hidden="1" customWidth="1"/>
    <col min="10" max="10" width="14.42578125" style="8" hidden="1" customWidth="1"/>
    <col min="11" max="12" width="16.28515625" style="8" hidden="1" customWidth="1"/>
    <col min="13" max="13" width="9.140625" style="1" customWidth="1"/>
    <col min="14" max="15" width="9.140625" style="1"/>
    <col min="16" max="16" width="17.85546875" style="1" customWidth="1"/>
    <col min="17" max="16384" width="9.140625" style="1"/>
  </cols>
  <sheetData>
    <row r="1" spans="1:12" ht="15.75" x14ac:dyDescent="0.25">
      <c r="A1" s="25" t="s">
        <v>581</v>
      </c>
    </row>
    <row r="2" spans="1:12" ht="15.75" x14ac:dyDescent="0.25">
      <c r="A2" s="14" t="s">
        <v>701</v>
      </c>
    </row>
    <row r="3" spans="1:12" ht="15.75" x14ac:dyDescent="0.25">
      <c r="A3" s="14" t="s">
        <v>93</v>
      </c>
    </row>
    <row r="4" spans="1:12" ht="15.75" x14ac:dyDescent="0.25">
      <c r="A4" s="14"/>
    </row>
    <row r="5" spans="1:12" ht="13.5" thickBot="1" x14ac:dyDescent="0.25">
      <c r="C5" s="12" t="s">
        <v>429</v>
      </c>
      <c r="D5" s="416" t="s">
        <v>699</v>
      </c>
      <c r="E5" s="416" t="s">
        <v>686</v>
      </c>
      <c r="F5" s="416" t="s">
        <v>672</v>
      </c>
      <c r="G5" s="416" t="s">
        <v>652</v>
      </c>
      <c r="H5" s="416" t="s">
        <v>655</v>
      </c>
      <c r="I5" s="416" t="s">
        <v>656</v>
      </c>
      <c r="J5" s="416" t="s">
        <v>554</v>
      </c>
      <c r="K5" s="17" t="s">
        <v>554</v>
      </c>
      <c r="L5" s="17" t="s">
        <v>534</v>
      </c>
    </row>
    <row r="6" spans="1:12" ht="13.5" thickTop="1" x14ac:dyDescent="0.2"/>
    <row r="8" spans="1:12" x14ac:dyDescent="0.2">
      <c r="B8" s="1" t="s">
        <v>10</v>
      </c>
      <c r="C8" s="12">
        <v>8</v>
      </c>
      <c r="D8" s="8">
        <f>+'A-Sh BA'!C12</f>
        <v>252525325</v>
      </c>
      <c r="E8" s="8">
        <f>+'A-Sh BA'!D12</f>
        <v>301001005</v>
      </c>
      <c r="F8" s="8">
        <f>+'A-Sh BA'!E12</f>
        <v>197083125</v>
      </c>
      <c r="G8" s="8">
        <f>+I8+H8</f>
        <v>59517135</v>
      </c>
      <c r="H8" s="8">
        <f>+'A-Sh BA'!F12</f>
        <v>51741515</v>
      </c>
      <c r="I8" s="8">
        <f>+'A-Sh BA'!G12</f>
        <v>7775620</v>
      </c>
      <c r="J8" s="8">
        <f>+'A-Sh BA'!H12</f>
        <v>1441665</v>
      </c>
      <c r="K8" s="8">
        <f>+'A-Sh BA'!I12</f>
        <v>6419730</v>
      </c>
      <c r="L8" s="8" t="e">
        <f>+'A-Sh BA'!#REF!</f>
        <v>#REF!</v>
      </c>
    </row>
    <row r="9" spans="1:12" x14ac:dyDescent="0.2">
      <c r="B9" s="1" t="s">
        <v>78</v>
      </c>
      <c r="C9" s="12">
        <v>9</v>
      </c>
      <c r="D9" s="8">
        <f>+'A-Sh BA'!C19</f>
        <v>0</v>
      </c>
      <c r="E9" s="8">
        <f>+'A-Sh BA'!D19</f>
        <v>0</v>
      </c>
      <c r="F9" s="8">
        <f>+'A-Sh BA'!E19</f>
        <v>0</v>
      </c>
      <c r="G9" s="8">
        <f t="shared" ref="G9:G15" si="0">+I9+H9</f>
        <v>0</v>
      </c>
      <c r="H9" s="8">
        <f>+'A-Sh BA'!F19</f>
        <v>0</v>
      </c>
      <c r="I9" s="8">
        <f>+'A-Sh BA'!G19</f>
        <v>0</v>
      </c>
      <c r="J9" s="8">
        <f>+'A-Sh BA'!H19</f>
        <v>0</v>
      </c>
      <c r="K9" s="8">
        <f>+'A-Sh BA'!I19</f>
        <v>0</v>
      </c>
      <c r="L9" s="8" t="e">
        <f>+'A-Sh BA'!#REF!</f>
        <v>#REF!</v>
      </c>
    </row>
    <row r="10" spans="1:12" ht="25.5" x14ac:dyDescent="0.2">
      <c r="B10" s="4" t="s">
        <v>79</v>
      </c>
    </row>
    <row r="11" spans="1:12" ht="25.5" x14ac:dyDescent="0.2">
      <c r="B11" s="4" t="s">
        <v>80</v>
      </c>
    </row>
    <row r="12" spans="1:12" x14ac:dyDescent="0.2">
      <c r="B12" s="1" t="s">
        <v>81</v>
      </c>
      <c r="C12" s="12">
        <v>10</v>
      </c>
      <c r="D12" s="8">
        <f>-'A-Sh BA'!C65-'A-Sh BA'!C68</f>
        <v>-239895292</v>
      </c>
      <c r="E12" s="8">
        <f>-'A-Sh BA'!D65-'A-Sh BA'!D68</f>
        <v>-214502823</v>
      </c>
      <c r="F12" s="8">
        <f>-'A-Sh BA'!E65-'A-Sh BA'!E68</f>
        <v>-146916226</v>
      </c>
      <c r="G12" s="8">
        <f t="shared" si="0"/>
        <v>-49088037</v>
      </c>
      <c r="H12" s="8">
        <f>-'A-Sh BA'!F65-'A-Sh BA'!F68</f>
        <v>-42581114</v>
      </c>
      <c r="I12" s="8">
        <f>-'A-Sh BA'!G65-'A-Sh BA'!G68</f>
        <v>-6506923</v>
      </c>
      <c r="J12" s="8">
        <f>-'A-Sh BA'!H65-'A-Sh BA'!H68</f>
        <v>-817123</v>
      </c>
      <c r="K12" s="8">
        <f>-'A-Sh BA'!I65-'A-Sh BA'!I68</f>
        <v>0</v>
      </c>
      <c r="L12" s="8" t="e">
        <f>-'A-Sh BA'!#REF!-'A-Sh BA'!#REF!</f>
        <v>#REF!</v>
      </c>
    </row>
    <row r="13" spans="1:12" x14ac:dyDescent="0.2">
      <c r="B13" s="1" t="s">
        <v>82</v>
      </c>
      <c r="C13" s="12">
        <v>11</v>
      </c>
      <c r="D13" s="8">
        <f>-'A-Sh BA'!C71-'A-Sh BA'!C76-'A-Sh BA'!C77</f>
        <v>-1947563.9</v>
      </c>
      <c r="E13" s="8">
        <f>-'A-Sh BA'!D71-'A-Sh BA'!D76-'A-Sh BA'!D77</f>
        <v>-51873373</v>
      </c>
      <c r="F13" s="8">
        <f>-'A-Sh BA'!E71-'A-Sh BA'!E76-'A-Sh BA'!E77</f>
        <v>-6840809</v>
      </c>
      <c r="G13" s="8">
        <f t="shared" si="0"/>
        <v>-3574604</v>
      </c>
      <c r="H13" s="8">
        <f>-'A-Sh BA'!F71-'A-Sh BA'!F76-'A-Sh BA'!F77</f>
        <v>-3465854</v>
      </c>
      <c r="I13" s="8">
        <f>-'A-Sh BA'!G71-'A-Sh BA'!G76-'A-Sh BA'!G77</f>
        <v>-108750</v>
      </c>
      <c r="J13" s="8">
        <f>-'A-Sh BA'!H71-'A-Sh BA'!H76-'A-Sh BA'!H77</f>
        <v>-458628</v>
      </c>
      <c r="K13" s="8">
        <f>-'A-Sh BA'!I71-'A-Sh BA'!I76-'A-Sh BA'!I77</f>
        <v>-3740508</v>
      </c>
      <c r="L13" s="8" t="e">
        <f>-'A-Sh BA'!#REF!-'A-Sh BA'!#REF!-'A-Sh BA'!#REF!</f>
        <v>#REF!</v>
      </c>
    </row>
    <row r="14" spans="1:12" x14ac:dyDescent="0.2">
      <c r="B14" s="1" t="s">
        <v>11</v>
      </c>
      <c r="C14" s="12">
        <v>12</v>
      </c>
      <c r="D14" s="8">
        <f>-'A-Sh BA'!C72</f>
        <v>-15224479</v>
      </c>
      <c r="E14" s="8">
        <f>-'A-Sh BA'!D72</f>
        <v>-13027120</v>
      </c>
      <c r="F14" s="8">
        <f>-'A-Sh BA'!E72</f>
        <v>-11992883</v>
      </c>
      <c r="G14" s="8">
        <f t="shared" si="0"/>
        <v>-6235503</v>
      </c>
      <c r="H14" s="8">
        <f>-'A-Sh BA'!F72</f>
        <v>-5395944</v>
      </c>
      <c r="I14" s="8">
        <f>-'A-Sh BA'!G72</f>
        <v>-839559</v>
      </c>
      <c r="J14" s="8">
        <f>-'A-Sh BA'!H72</f>
        <v>-275762</v>
      </c>
      <c r="K14" s="8">
        <f>-'A-Sh BA'!I72</f>
        <v>-351588</v>
      </c>
      <c r="L14" s="8" t="e">
        <f>-'A-Sh BA'!#REF!</f>
        <v>#REF!</v>
      </c>
    </row>
    <row r="15" spans="1:12" x14ac:dyDescent="0.2">
      <c r="B15" s="1" t="s">
        <v>83</v>
      </c>
      <c r="D15" s="21">
        <f>-'A-Sh BA'!C81</f>
        <v>-393198</v>
      </c>
      <c r="E15" s="21">
        <f>-'A-Sh BA'!D81</f>
        <v>-507961</v>
      </c>
      <c r="F15" s="21">
        <f>-'A-Sh BA'!E81</f>
        <v>-152491</v>
      </c>
      <c r="G15" s="8">
        <f t="shared" si="0"/>
        <v>-18217</v>
      </c>
      <c r="H15" s="21">
        <f>-'A-Sh BA'!F81</f>
        <v>-18217</v>
      </c>
      <c r="I15" s="21">
        <f>-'A-Sh BA'!G81</f>
        <v>0</v>
      </c>
      <c r="J15" s="21">
        <f>-'A-Sh BA'!H81</f>
        <v>0</v>
      </c>
      <c r="K15" s="21">
        <f>-'A-Sh BA'!I81</f>
        <v>-243504</v>
      </c>
      <c r="L15" s="21" t="e">
        <f>-'A-Sh BA'!#REF!</f>
        <v>#REF!</v>
      </c>
    </row>
    <row r="16" spans="1:12" ht="13.5" thickBot="1" x14ac:dyDescent="0.25">
      <c r="D16" s="9">
        <f>SUM(D8:D15)</f>
        <v>-4935207.9000000004</v>
      </c>
      <c r="E16" s="9">
        <f>SUM(E8:E15)</f>
        <v>21089728</v>
      </c>
      <c r="F16" s="9">
        <f t="shared" ref="F16:L16" si="1">SUM(F8:F15)</f>
        <v>31180716</v>
      </c>
      <c r="G16" s="9">
        <f t="shared" si="1"/>
        <v>600774</v>
      </c>
      <c r="H16" s="9">
        <f t="shared" si="1"/>
        <v>280386</v>
      </c>
      <c r="I16" s="9">
        <f t="shared" si="1"/>
        <v>320388</v>
      </c>
      <c r="J16" s="9">
        <f t="shared" si="1"/>
        <v>-109848</v>
      </c>
      <c r="K16" s="9">
        <f t="shared" si="1"/>
        <v>2084130</v>
      </c>
      <c r="L16" s="9" t="e">
        <f t="shared" si="1"/>
        <v>#REF!</v>
      </c>
    </row>
    <row r="17" spans="1:12" s="2" customFormat="1" ht="13.5" thickTop="1" x14ac:dyDescent="0.2">
      <c r="A17" s="3" t="s">
        <v>84</v>
      </c>
      <c r="C17" s="7"/>
      <c r="D17" s="10"/>
      <c r="E17" s="10"/>
      <c r="F17" s="10"/>
      <c r="G17" s="10"/>
      <c r="H17" s="10"/>
      <c r="I17" s="10"/>
      <c r="J17" s="10"/>
      <c r="K17" s="10"/>
      <c r="L17" s="10"/>
    </row>
    <row r="18" spans="1:12" s="2" customFormat="1" x14ac:dyDescent="0.2">
      <c r="B18" s="5"/>
      <c r="C18" s="7"/>
      <c r="D18" s="10"/>
      <c r="E18" s="10"/>
      <c r="F18" s="10"/>
      <c r="G18" s="10"/>
      <c r="H18" s="10"/>
      <c r="I18" s="10"/>
      <c r="J18" s="10"/>
      <c r="K18" s="10"/>
      <c r="L18" s="10"/>
    </row>
    <row r="19" spans="1:12" s="2" customFormat="1" ht="25.5" x14ac:dyDescent="0.2">
      <c r="B19" s="4" t="s">
        <v>85</v>
      </c>
      <c r="C19" s="7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2">
      <c r="B20" s="4" t="s">
        <v>86</v>
      </c>
    </row>
    <row r="21" spans="1:12" x14ac:dyDescent="0.2">
      <c r="B21" s="1" t="s">
        <v>12</v>
      </c>
      <c r="C21" s="12">
        <v>13</v>
      </c>
      <c r="D21" s="8">
        <f>+'A-Sh BA'!C36-'A-Sh BA'!C89</f>
        <v>-1005871.0000000002</v>
      </c>
      <c r="E21" s="8">
        <f>+'A-Sh BA'!D36-'A-Sh BA'!D89</f>
        <v>-505687.00000000017</v>
      </c>
      <c r="F21" s="8">
        <f>+'A-Sh BA'!E36-'A-Sh BA'!E89</f>
        <v>-10010.000000000175</v>
      </c>
      <c r="G21" s="8">
        <f>+I21+H21</f>
        <v>-3.4924596548080444E-10</v>
      </c>
      <c r="H21" s="8">
        <f>+'A-Sh BA'!F36-'A-Sh BA'!F89</f>
        <v>-1.7462298274040222E-10</v>
      </c>
      <c r="I21" s="8">
        <f>+'A-Sh BA'!G36-'A-Sh BA'!G89</f>
        <v>-1.7462298274040222E-10</v>
      </c>
      <c r="J21" s="8">
        <f>+'A-Sh BA'!H36-'A-Sh BA'!H89</f>
        <v>-1.7462298274040222E-10</v>
      </c>
      <c r="K21" s="8">
        <f>+'A-Sh BA'!I36-'A-Sh BA'!I89</f>
        <v>-973704.00000000023</v>
      </c>
      <c r="L21" s="8" t="e">
        <f>+'A-Sh BA'!#REF!-'A-Sh BA'!#REF!</f>
        <v>#REF!</v>
      </c>
    </row>
    <row r="23" spans="1:12" ht="13.5" thickBot="1" x14ac:dyDescent="0.25">
      <c r="B23" s="6" t="s">
        <v>13</v>
      </c>
      <c r="C23" s="13"/>
      <c r="D23" s="22">
        <f>+D16+D21</f>
        <v>-5941078.9000000004</v>
      </c>
      <c r="E23" s="22">
        <f>+E16+E21</f>
        <v>20584041</v>
      </c>
      <c r="F23" s="22">
        <f>+F16+F21</f>
        <v>31170706</v>
      </c>
      <c r="G23" s="22">
        <f t="shared" ref="G23:L23" si="2">+G16+G21</f>
        <v>600773.99999999965</v>
      </c>
      <c r="H23" s="22">
        <f t="shared" si="2"/>
        <v>280385.99999999983</v>
      </c>
      <c r="I23" s="22">
        <f t="shared" si="2"/>
        <v>320387.99999999983</v>
      </c>
      <c r="J23" s="419">
        <f t="shared" si="2"/>
        <v>-109848.00000000017</v>
      </c>
      <c r="K23" s="22">
        <f t="shared" si="2"/>
        <v>1110425.9999999998</v>
      </c>
      <c r="L23" s="22" t="e">
        <f t="shared" si="2"/>
        <v>#REF!</v>
      </c>
    </row>
    <row r="24" spans="1:12" s="2" customFormat="1" ht="13.5" thickTop="1" x14ac:dyDescent="0.2">
      <c r="C24" s="13"/>
      <c r="D24" s="10"/>
      <c r="E24" s="10"/>
      <c r="F24" s="10"/>
      <c r="G24" s="10"/>
      <c r="H24" s="10"/>
      <c r="I24" s="10"/>
      <c r="J24" s="418"/>
      <c r="K24" s="10"/>
      <c r="L24" s="10"/>
    </row>
    <row r="25" spans="1:12" s="2" customFormat="1" x14ac:dyDescent="0.2">
      <c r="B25" s="5" t="s">
        <v>14</v>
      </c>
      <c r="C25" s="13">
        <v>14</v>
      </c>
      <c r="D25" s="10">
        <f>-'A-Sh BA'!C102</f>
        <v>0</v>
      </c>
      <c r="E25" s="10">
        <f>-'A-Sh BA'!D102</f>
        <v>-3129809.1</v>
      </c>
      <c r="F25" s="10">
        <f>-'A-Sh BA'!E102</f>
        <v>-4702209.45</v>
      </c>
      <c r="G25" s="10">
        <f>+I25+H25</f>
        <v>-151231.19999999998</v>
      </c>
      <c r="H25" s="10">
        <f>-'A-Sh BA'!F102</f>
        <v>-127202.09999999999</v>
      </c>
      <c r="I25" s="10">
        <f>-'A-Sh BA'!G102</f>
        <v>-24029.1</v>
      </c>
      <c r="J25" s="418">
        <f>-'A-Sh BA'!H102</f>
        <v>0</v>
      </c>
      <c r="K25" s="10">
        <f>-'A-Sh BA'!I102</f>
        <v>-121043</v>
      </c>
      <c r="L25" s="10" t="e">
        <f>-'A-Sh BA'!#REF!</f>
        <v>#REF!</v>
      </c>
    </row>
    <row r="26" spans="1:12" s="2" customFormat="1" x14ac:dyDescent="0.2">
      <c r="B26" s="5"/>
      <c r="C26" s="13"/>
      <c r="D26" s="10"/>
      <c r="E26" s="10"/>
      <c r="F26" s="10"/>
      <c r="G26" s="10"/>
      <c r="H26" s="10"/>
      <c r="I26" s="10"/>
      <c r="J26" s="418"/>
      <c r="K26" s="10"/>
      <c r="L26" s="10"/>
    </row>
    <row r="27" spans="1:12" s="2" customFormat="1" ht="13.5" thickBot="1" x14ac:dyDescent="0.25">
      <c r="B27" s="6" t="s">
        <v>15</v>
      </c>
      <c r="C27" s="7"/>
      <c r="D27" s="15">
        <f>+D23+D25+0.1</f>
        <v>-5941078.8000000007</v>
      </c>
      <c r="E27" s="15">
        <f>+E23+E25+0.1</f>
        <v>17454232</v>
      </c>
      <c r="F27" s="15">
        <f>+F23+F25+0.1</f>
        <v>26468496.650000002</v>
      </c>
      <c r="G27" s="15">
        <f>+G23+G25</f>
        <v>449542.7999999997</v>
      </c>
      <c r="H27" s="15">
        <f>+H23+H25</f>
        <v>153183.89999999985</v>
      </c>
      <c r="I27" s="15">
        <f>+I23+I25+0.1</f>
        <v>296358.99999999983</v>
      </c>
      <c r="J27" s="419">
        <f>+J23+J25</f>
        <v>-109848.00000000017</v>
      </c>
      <c r="K27" s="15">
        <f>+K23+K25</f>
        <v>989382.99999999977</v>
      </c>
      <c r="L27" s="15" t="e">
        <f>+L23+L25</f>
        <v>#REF!</v>
      </c>
    </row>
    <row r="28" spans="1:12" s="2" customFormat="1" ht="13.5" thickTop="1" x14ac:dyDescent="0.2">
      <c r="D28" s="10"/>
      <c r="E28" s="10"/>
      <c r="F28" s="10"/>
      <c r="G28" s="10"/>
      <c r="H28" s="10"/>
      <c r="I28" s="10"/>
      <c r="J28" s="10"/>
      <c r="K28" s="10"/>
      <c r="L28" s="10"/>
    </row>
    <row r="29" spans="1:12" s="2" customFormat="1" x14ac:dyDescent="0.2">
      <c r="D29" s="10"/>
      <c r="E29" s="10"/>
      <c r="F29" s="10"/>
      <c r="G29" s="10"/>
      <c r="H29" s="10"/>
      <c r="I29" s="10"/>
      <c r="J29" s="10"/>
      <c r="K29" s="10"/>
      <c r="L29" s="10"/>
    </row>
    <row r="30" spans="1:12" s="2" customFormat="1" x14ac:dyDescent="0.2">
      <c r="D30" s="10"/>
      <c r="E30" s="10"/>
      <c r="F30" s="10"/>
      <c r="G30" s="10"/>
      <c r="H30" s="10"/>
      <c r="I30" s="10"/>
      <c r="J30" s="10"/>
      <c r="K30" s="10"/>
      <c r="L30" s="10"/>
    </row>
    <row r="31" spans="1:12" s="2" customFormat="1" ht="15.75" x14ac:dyDescent="0.25">
      <c r="B31" s="97" t="s">
        <v>582</v>
      </c>
      <c r="C31" s="92"/>
      <c r="D31" s="97" t="s">
        <v>653</v>
      </c>
      <c r="E31" s="97"/>
      <c r="F31" s="97"/>
      <c r="G31" s="97"/>
      <c r="H31" s="81"/>
      <c r="K31" s="97"/>
      <c r="L31" s="10"/>
    </row>
    <row r="32" spans="1:12" s="2" customFormat="1" x14ac:dyDescent="0.2">
      <c r="D32" s="10"/>
      <c r="E32" s="10"/>
      <c r="F32" s="10"/>
      <c r="G32" s="10"/>
      <c r="H32" s="10"/>
      <c r="I32" s="10"/>
      <c r="J32" s="10"/>
      <c r="K32" s="10"/>
      <c r="L32" s="10"/>
    </row>
    <row r="33" spans="2:12" s="2" customFormat="1" x14ac:dyDescent="0.2">
      <c r="D33" s="10"/>
      <c r="E33" s="10"/>
      <c r="F33" s="10"/>
      <c r="G33" s="10"/>
      <c r="H33" s="10"/>
      <c r="I33" s="10"/>
      <c r="J33" s="10"/>
      <c r="K33" s="10"/>
      <c r="L33" s="10"/>
    </row>
    <row r="34" spans="2:12" s="2" customFormat="1" x14ac:dyDescent="0.2">
      <c r="C34" s="344"/>
      <c r="D34" s="10"/>
      <c r="E34" s="10"/>
      <c r="F34" s="10"/>
      <c r="G34" s="10"/>
      <c r="H34" s="10"/>
      <c r="I34" s="10"/>
      <c r="J34" s="10"/>
      <c r="K34" s="10"/>
      <c r="L34" s="10"/>
    </row>
    <row r="35" spans="2:12" s="2" customFormat="1" x14ac:dyDescent="0.2">
      <c r="C35" s="7"/>
      <c r="D35" s="8"/>
      <c r="E35" s="8"/>
      <c r="F35" s="8"/>
      <c r="G35" s="8"/>
      <c r="H35" s="8"/>
      <c r="I35" s="8"/>
      <c r="J35" s="8"/>
      <c r="K35" s="8"/>
      <c r="L35" s="8"/>
    </row>
    <row r="36" spans="2:12" ht="15.75" x14ac:dyDescent="0.25">
      <c r="B36" s="19"/>
      <c r="C36" s="19"/>
      <c r="J36" s="97"/>
      <c r="K36" s="97"/>
      <c r="L36" s="97"/>
    </row>
    <row r="37" spans="2:12" ht="14.25" x14ac:dyDescent="0.2">
      <c r="B37" s="19"/>
      <c r="C37" s="19"/>
      <c r="D37" s="56"/>
      <c r="E37" s="56"/>
      <c r="F37" s="56"/>
      <c r="G37" s="56"/>
      <c r="H37" s="56"/>
      <c r="I37" s="56"/>
      <c r="J37" s="56"/>
      <c r="K37" s="56"/>
      <c r="L37" s="56"/>
    </row>
    <row r="38" spans="2:12" ht="15" x14ac:dyDescent="0.25">
      <c r="B38" s="18"/>
      <c r="C38" s="18"/>
      <c r="D38" s="20"/>
      <c r="E38" s="20"/>
      <c r="F38" s="20"/>
      <c r="G38" s="20"/>
      <c r="H38" s="20"/>
      <c r="I38" s="20"/>
      <c r="J38" s="20"/>
      <c r="K38" s="20"/>
      <c r="L38" s="20"/>
    </row>
    <row r="39" spans="2:12" x14ac:dyDescent="0.2">
      <c r="C39" s="345">
        <v>3</v>
      </c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zoomScale="80" workbookViewId="0">
      <selection activeCell="H37" sqref="H37"/>
    </sheetView>
  </sheetViews>
  <sheetFormatPr defaultRowHeight="15.75" x14ac:dyDescent="0.25"/>
  <cols>
    <col min="1" max="1" width="3.140625" style="82" customWidth="1"/>
    <col min="2" max="2" width="64.140625" style="82" customWidth="1"/>
    <col min="3" max="3" width="4.5703125" style="82" customWidth="1"/>
    <col min="4" max="5" width="22.140625" style="99" customWidth="1"/>
    <col min="6" max="6" width="22.140625" style="99" hidden="1" customWidth="1"/>
    <col min="7" max="8" width="19.7109375" style="99" hidden="1" customWidth="1"/>
    <col min="9" max="9" width="18.28515625" style="99" hidden="1" customWidth="1"/>
    <col min="10" max="10" width="18.42578125" style="99" hidden="1" customWidth="1"/>
    <col min="11" max="12" width="15.7109375" style="99" hidden="1" customWidth="1"/>
    <col min="13" max="13" width="9.140625" style="82" hidden="1" customWidth="1"/>
    <col min="14" max="14" width="13.140625" style="82" bestFit="1" customWidth="1"/>
    <col min="15" max="15" width="9.140625" style="82"/>
    <col min="16" max="16" width="17.85546875" style="82" customWidth="1"/>
    <col min="17" max="16384" width="9.140625" style="82"/>
  </cols>
  <sheetData>
    <row r="1" spans="1:13" x14ac:dyDescent="0.25">
      <c r="A1" s="25" t="s">
        <v>581</v>
      </c>
    </row>
    <row r="2" spans="1:13" x14ac:dyDescent="0.25">
      <c r="A2" s="101" t="s">
        <v>25</v>
      </c>
    </row>
    <row r="3" spans="1:13" s="79" customFormat="1" x14ac:dyDescent="0.25">
      <c r="A3" s="102" t="s">
        <v>702</v>
      </c>
      <c r="D3" s="103"/>
      <c r="E3" s="103"/>
      <c r="F3" s="103"/>
      <c r="G3" s="103"/>
      <c r="H3" s="103"/>
      <c r="I3" s="103"/>
      <c r="J3" s="103"/>
      <c r="K3" s="103"/>
      <c r="L3" s="103"/>
    </row>
    <row r="4" spans="1:13" s="79" customFormat="1" x14ac:dyDescent="0.25">
      <c r="A4" s="83" t="s">
        <v>93</v>
      </c>
      <c r="D4" s="103"/>
      <c r="E4" s="103"/>
      <c r="F4" s="103"/>
      <c r="G4" s="103"/>
      <c r="H4" s="103"/>
      <c r="I4" s="103"/>
      <c r="J4" s="103"/>
      <c r="K4" s="103"/>
      <c r="L4" s="103"/>
    </row>
    <row r="5" spans="1:13" s="79" customFormat="1" x14ac:dyDescent="0.25">
      <c r="D5" s="105"/>
      <c r="E5" s="105"/>
      <c r="F5" s="105"/>
      <c r="G5" s="105"/>
      <c r="H5" s="105"/>
      <c r="I5" s="105"/>
      <c r="J5" s="105"/>
      <c r="K5" s="105"/>
      <c r="L5" s="105"/>
    </row>
    <row r="6" spans="1:13" s="79" customFormat="1" ht="16.5" customHeight="1" thickBot="1" x14ac:dyDescent="0.3">
      <c r="B6" s="104"/>
      <c r="C6" s="104"/>
      <c r="D6" s="416" t="s">
        <v>699</v>
      </c>
      <c r="E6" s="416" t="s">
        <v>686</v>
      </c>
      <c r="F6" s="416" t="s">
        <v>672</v>
      </c>
      <c r="G6" s="416" t="s">
        <v>652</v>
      </c>
      <c r="H6" s="416" t="s">
        <v>609</v>
      </c>
      <c r="I6" s="416" t="s">
        <v>608</v>
      </c>
      <c r="J6" s="416" t="s">
        <v>554</v>
      </c>
      <c r="K6" s="106" t="s">
        <v>555</v>
      </c>
      <c r="L6" s="106" t="s">
        <v>535</v>
      </c>
    </row>
    <row r="7" spans="1:13" s="79" customFormat="1" ht="16.5" thickTop="1" x14ac:dyDescent="0.25">
      <c r="A7" s="84" t="s">
        <v>26</v>
      </c>
      <c r="D7" s="105"/>
      <c r="E7" s="105"/>
      <c r="F7" s="105"/>
      <c r="G7" s="105"/>
      <c r="H7" s="105"/>
      <c r="I7" s="105"/>
      <c r="J7" s="105"/>
      <c r="K7" s="105"/>
      <c r="L7" s="105"/>
    </row>
    <row r="8" spans="1:13" s="79" customFormat="1" x14ac:dyDescent="0.25">
      <c r="B8" s="79" t="s">
        <v>27</v>
      </c>
      <c r="D8" s="107">
        <f>+'ardh-shpenz'!D23</f>
        <v>-5941078.9000000004</v>
      </c>
      <c r="E8" s="107">
        <f>+'ardh-shpenz'!E23</f>
        <v>20584041</v>
      </c>
      <c r="F8" s="107">
        <f>+'ardh-shpenz'!F23</f>
        <v>31170706</v>
      </c>
      <c r="G8" s="107">
        <f>+I8+H8</f>
        <v>600773.99999999965</v>
      </c>
      <c r="H8" s="107">
        <f>+'ardh-shpenz'!H23</f>
        <v>280385.99999999983</v>
      </c>
      <c r="I8" s="107">
        <f>+'ardh-shpenz'!I23</f>
        <v>320387.99999999983</v>
      </c>
      <c r="J8" s="107">
        <f>+'ardh-shpenz'!J23</f>
        <v>-109848.00000000017</v>
      </c>
      <c r="K8" s="107">
        <f>+'ardh-shpenz'!K23</f>
        <v>1110425.9999999998</v>
      </c>
      <c r="L8" s="107" t="e">
        <f>+'ardh-shpenz'!L23</f>
        <v>#REF!</v>
      </c>
    </row>
    <row r="9" spans="1:13" s="79" customFormat="1" x14ac:dyDescent="0.25">
      <c r="B9" s="79" t="s">
        <v>28</v>
      </c>
      <c r="D9" s="107"/>
      <c r="E9" s="107"/>
      <c r="F9" s="107"/>
      <c r="G9" s="107">
        <f t="shared" ref="G9:G18" si="0">+I9+H9</f>
        <v>0</v>
      </c>
      <c r="H9" s="107"/>
      <c r="I9" s="107"/>
      <c r="J9" s="107"/>
      <c r="K9" s="107"/>
      <c r="L9" s="107"/>
    </row>
    <row r="10" spans="1:13" s="79" customFormat="1" x14ac:dyDescent="0.25">
      <c r="B10" s="79" t="s">
        <v>29</v>
      </c>
      <c r="D10" s="107">
        <f>-'ardh-shpenz'!D15</f>
        <v>393198</v>
      </c>
      <c r="E10" s="107">
        <f>-'ardh-shpenz'!E15</f>
        <v>507961</v>
      </c>
      <c r="F10" s="107">
        <f>-'ardh-shpenz'!F15</f>
        <v>152491</v>
      </c>
      <c r="G10" s="107">
        <f t="shared" si="0"/>
        <v>18217</v>
      </c>
      <c r="H10" s="107">
        <f>-'ardh-shpenz'!H15</f>
        <v>18217</v>
      </c>
      <c r="I10" s="107">
        <f>-'ardh-shpenz'!I15</f>
        <v>0</v>
      </c>
      <c r="J10" s="107">
        <f>-'ardh-shpenz'!J15</f>
        <v>0</v>
      </c>
      <c r="K10" s="107">
        <f>-'ardh-shpenz'!K15</f>
        <v>243504</v>
      </c>
      <c r="L10" s="107" t="e">
        <f>-'ardh-shpenz'!L15</f>
        <v>#REF!</v>
      </c>
    </row>
    <row r="11" spans="1:13" s="79" customFormat="1" x14ac:dyDescent="0.25">
      <c r="B11" s="79" t="s">
        <v>30</v>
      </c>
      <c r="D11" s="107">
        <v>0</v>
      </c>
      <c r="E11" s="107">
        <v>0</v>
      </c>
      <c r="F11" s="107">
        <f>+BK!F27-BK!C27+BK!C51-BK!F51</f>
        <v>0</v>
      </c>
      <c r="G11" s="107">
        <f t="shared" si="0"/>
        <v>0</v>
      </c>
      <c r="H11" s="107">
        <f>+BK!H27-BK!G27+BK!G51-BK!H51</f>
        <v>0</v>
      </c>
      <c r="I11" s="107">
        <f>+BK!I27-BK!H27+BK!H51-BK!I51</f>
        <v>0</v>
      </c>
      <c r="J11" s="107">
        <f>+BK!J27-BK!I27+BK!I51-BK!J51</f>
        <v>0</v>
      </c>
      <c r="K11" s="107" t="e">
        <f>+BK!K27-BK!J27+BK!J51-BK!K51</f>
        <v>#REF!</v>
      </c>
      <c r="L11" s="107" t="e">
        <f>+BK!L27-BK!K27+BK!K51-BK!L51</f>
        <v>#REF!</v>
      </c>
      <c r="M11" s="107"/>
    </row>
    <row r="12" spans="1:13" s="79" customFormat="1" x14ac:dyDescent="0.25">
      <c r="B12" s="79" t="s">
        <v>31</v>
      </c>
      <c r="D12" s="105"/>
      <c r="E12" s="105"/>
      <c r="F12" s="105"/>
      <c r="G12" s="107">
        <f t="shared" si="0"/>
        <v>0</v>
      </c>
      <c r="H12" s="105"/>
      <c r="I12" s="105"/>
      <c r="J12" s="105"/>
      <c r="K12" s="105"/>
      <c r="L12" s="105"/>
    </row>
    <row r="13" spans="1:13" s="79" customFormat="1" x14ac:dyDescent="0.25">
      <c r="B13" s="79" t="s">
        <v>32</v>
      </c>
      <c r="D13" s="105"/>
      <c r="E13" s="105"/>
      <c r="F13" s="105"/>
      <c r="G13" s="107">
        <f t="shared" si="0"/>
        <v>0</v>
      </c>
      <c r="H13" s="105"/>
      <c r="I13" s="105"/>
      <c r="J13" s="105"/>
      <c r="K13" s="105"/>
      <c r="L13" s="105"/>
    </row>
    <row r="14" spans="1:13" s="79" customFormat="1" x14ac:dyDescent="0.25">
      <c r="B14" s="104"/>
      <c r="C14" s="104"/>
      <c r="D14" s="105"/>
      <c r="E14" s="105"/>
      <c r="F14" s="105"/>
      <c r="G14" s="107">
        <f t="shared" si="0"/>
        <v>0</v>
      </c>
      <c r="H14" s="105"/>
      <c r="I14" s="105"/>
      <c r="J14" s="105"/>
      <c r="K14" s="105"/>
      <c r="L14" s="105"/>
    </row>
    <row r="15" spans="1:13" s="79" customFormat="1" ht="31.5" x14ac:dyDescent="0.25">
      <c r="B15" s="108" t="s">
        <v>87</v>
      </c>
      <c r="C15" s="108"/>
      <c r="D15" s="103">
        <f>+BK!E12-BK!D12+BK!E13-BK!D13+BK!E25-BK!D25+BK!E26-BK!D26</f>
        <v>-17547154.549999997</v>
      </c>
      <c r="E15" s="103">
        <f>+BK!F12-BK!E12+BK!F13-BK!E13+BK!F25-BK!E25+BK!F26-BK!E26</f>
        <v>-99107308.900000006</v>
      </c>
      <c r="F15" s="103">
        <f>+BK!G12-BK!F12+BK!G13-BK!F13+BK!G25-BK!F25+BK!G26-BK!F26</f>
        <v>2670818.4500000002</v>
      </c>
      <c r="G15" s="107">
        <f t="shared" si="0"/>
        <v>-9259269</v>
      </c>
      <c r="H15" s="103">
        <f>+BK!H12-BK!G12+BK!H13-BK!G13+BK!H25-BK!G25+BK!H26-BK!G26</f>
        <v>-8496819</v>
      </c>
      <c r="I15" s="103">
        <f>+BK!I12-BK!H12+BK!I13-BK!H13+BK!I25-BK!H25+BK!I26-BK!H26</f>
        <v>-762450</v>
      </c>
      <c r="J15" s="103">
        <f>+BK!J12-BK!I12+BK!J13-BK!I13+BK!J25-BK!I25+BK!J26-BK!I26</f>
        <v>-10417</v>
      </c>
      <c r="K15" s="103" t="e">
        <f>+BK!K12-BK!J12+BK!K13-BK!J13+BK!K25-BK!J25+BK!K26-BK!J26</f>
        <v>#REF!</v>
      </c>
      <c r="L15" s="103" t="e">
        <f>+BK!#REF!-BK!K12+BK!#REF!-BK!K13+BK!#REF!-BK!K25+BK!#REF!-BK!K26</f>
        <v>#REF!</v>
      </c>
    </row>
    <row r="16" spans="1:13" s="79" customFormat="1" x14ac:dyDescent="0.25">
      <c r="D16" s="105"/>
      <c r="E16" s="105"/>
      <c r="F16" s="105"/>
      <c r="G16" s="107">
        <f t="shared" si="0"/>
        <v>0</v>
      </c>
      <c r="H16" s="105"/>
      <c r="I16" s="105"/>
      <c r="J16" s="105"/>
      <c r="K16" s="105"/>
      <c r="L16" s="105"/>
    </row>
    <row r="17" spans="1:14" s="79" customFormat="1" x14ac:dyDescent="0.25">
      <c r="B17" s="79" t="s">
        <v>33</v>
      </c>
      <c r="D17" s="107">
        <f>+BK!E18+BK!E19+BK!E20+BK!E21+BK!E22-BK!D22-BK!D21-BK!D20-BK!D19-BK!D18</f>
        <v>0</v>
      </c>
      <c r="E17" s="107">
        <f>+BK!F18+BK!F19+BK!F20+BK!F21+BK!F22-BK!E22-BK!E21-BK!E20-BK!E19-BK!E18</f>
        <v>0</v>
      </c>
      <c r="F17" s="107">
        <f>+BK!G18+BK!G19+BK!G20+BK!G21+BK!G22-BK!F22-BK!F21-BK!F20-BK!F19-BK!F18</f>
        <v>3077645</v>
      </c>
      <c r="G17" s="107">
        <f t="shared" si="0"/>
        <v>-3077645</v>
      </c>
      <c r="H17" s="107">
        <f>+BK!H18+BK!H19+BK!H20+BK!H21+BK!H22-BK!G22-BK!G21-BK!G20-BK!G19-BK!G18</f>
        <v>-1456321</v>
      </c>
      <c r="I17" s="107">
        <f>+BK!I18+BK!I19+BK!I20+BK!I21+BK!I22-BK!H22-BK!H21-BK!H20-BK!H19-BK!H18</f>
        <v>-1621324</v>
      </c>
      <c r="J17" s="107">
        <f>+BK!J18+BK!J19+BK!J20+BK!J21+BK!J22-BK!I22-BK!I21-BK!I20-BK!I19-BK!I18</f>
        <v>0</v>
      </c>
      <c r="K17" s="107" t="e">
        <f>+BK!K18+BK!K19+BK!K20+BK!K21+BK!K22-BK!J22-BK!J21-BK!J20-BK!J19-BK!J18</f>
        <v>#REF!</v>
      </c>
      <c r="L17" s="107" t="e">
        <f>+BK!#REF!+BK!#REF!+BK!#REF!+BK!#REF!+BK!#REF!-BK!K22-BK!K21-BK!K20-BK!K19-BK!K18</f>
        <v>#REF!</v>
      </c>
    </row>
    <row r="18" spans="1:14" s="79" customFormat="1" x14ac:dyDescent="0.25">
      <c r="B18" s="79" t="s">
        <v>119</v>
      </c>
      <c r="D18" s="103">
        <f>BK!D43-BK!E43+BK!D45-BK!E45+BK!D46-BK!E46+BK!D47-BK!E47+BK!D48-BK!E48+BK!D49-BK!E49+BK!D50-BK!E50-E21+'ardh-shpenz'!D25</f>
        <v>48950259.219999999</v>
      </c>
      <c r="E18" s="103">
        <f>BK!E43-BK!F43+BK!E45-BK!F45+BK!E46-BK!F46+BK!E47-BK!F47+BK!E48-BK!F48+BK!E49-BK!F49+BK!E50-BK!F50-F21+'ardh-shpenz'!E25</f>
        <v>51538331.899999999</v>
      </c>
      <c r="F18" s="103">
        <f>BK!F43-BK!G43+BK!F45-BK!G45+BK!F46-BK!G46+BK!F47-BK!G47+BK!F48-BK!G48+BK!F49-BK!G49+BK!F50-BK!G50-G21+'ardh-shpenz'!F25</f>
        <v>-11145279.449999999</v>
      </c>
      <c r="G18" s="107">
        <f t="shared" si="0"/>
        <v>15122305.800000001</v>
      </c>
      <c r="H18" s="103">
        <f>BK!G43-BK!H43+BK!G45-BK!H45+BK!G46-BK!H46+BK!G47-BK!H47+BK!G48-BK!H48+BK!G49-BK!H49+BK!G50-BK!H50-H21+'ardh-shpenz'!H25</f>
        <v>12188375.9</v>
      </c>
      <c r="I18" s="103">
        <f>BK!H43-BK!I43+BK!H45-BK!I45+BK!H46-BK!I46+BK!H47-BK!I47+BK!H48-BK!I48+BK!H49-BK!I49+BK!H50-BK!I50-I21+'ardh-shpenz'!I25</f>
        <v>2933929.9</v>
      </c>
      <c r="J18" s="103">
        <f>BK!I43-BK!J43+BK!I45-BK!J45+BK!I46-BK!J46+BK!I47-BK!J47+BK!I48-BK!J48+BK!I49-BK!J49+BK!I50-BK!J50-J21+'ardh-shpenz'!J25</f>
        <v>50220</v>
      </c>
      <c r="K18" s="103" t="e">
        <f>BK!J43-BK!K43+BK!J45-BK!K45+BK!J46-BK!K46+BK!J47-BK!K47+BK!J48-BK!K48+BK!J49-BK!K49+BK!J50-BK!K50-K21+'ardh-shpenz'!K25</f>
        <v>#REF!</v>
      </c>
      <c r="L18" s="103" t="e">
        <f>BK!K43-BK!#REF!+BK!K45-BK!#REF!+BK!K46-BK!#REF!+BK!K47-BK!#REF!+BK!K48-BK!#REF!+BK!K49-BK!#REF!+BK!K50-BK!#REF!-L21+'ardh-shpenz'!L25</f>
        <v>#REF!</v>
      </c>
    </row>
    <row r="19" spans="1:14" s="79" customFormat="1" x14ac:dyDescent="0.25">
      <c r="B19" s="102" t="s">
        <v>34</v>
      </c>
      <c r="C19" s="102"/>
      <c r="D19" s="109">
        <f>SUM(D8:D18)</f>
        <v>25855223.770000003</v>
      </c>
      <c r="E19" s="109">
        <f>SUM(E8:E18)</f>
        <v>-26476975.000000007</v>
      </c>
      <c r="F19" s="109">
        <f t="shared" ref="F19:L19" si="1">SUM(F8:F18)</f>
        <v>25926381.000000004</v>
      </c>
      <c r="G19" s="109">
        <f t="shared" si="1"/>
        <v>3404382.8000000007</v>
      </c>
      <c r="H19" s="109">
        <f t="shared" si="1"/>
        <v>2533838.9000000004</v>
      </c>
      <c r="I19" s="109">
        <f t="shared" si="1"/>
        <v>870543.89999999967</v>
      </c>
      <c r="J19" s="109">
        <f t="shared" si="1"/>
        <v>-70045.000000000175</v>
      </c>
      <c r="K19" s="109" t="e">
        <f t="shared" si="1"/>
        <v>#REF!</v>
      </c>
      <c r="L19" s="109" t="e">
        <f t="shared" si="1"/>
        <v>#REF!</v>
      </c>
      <c r="N19" s="110"/>
    </row>
    <row r="20" spans="1:14" s="79" customFormat="1" ht="12.75" customHeight="1" x14ac:dyDescent="0.25">
      <c r="B20" s="79" t="s">
        <v>16</v>
      </c>
      <c r="D20" s="105"/>
      <c r="E20" s="105"/>
      <c r="F20" s="105"/>
      <c r="G20" s="105"/>
      <c r="H20" s="105"/>
      <c r="I20" s="105"/>
      <c r="J20" s="105"/>
      <c r="K20" s="105"/>
      <c r="L20" s="105"/>
    </row>
    <row r="21" spans="1:14" s="79" customFormat="1" ht="12.75" customHeight="1" x14ac:dyDescent="0.25">
      <c r="B21" s="79" t="s">
        <v>17</v>
      </c>
      <c r="D21" s="107"/>
      <c r="E21" s="107"/>
      <c r="F21" s="107"/>
      <c r="G21" s="107"/>
      <c r="H21" s="107"/>
      <c r="I21" s="107"/>
      <c r="J21" s="107"/>
      <c r="K21" s="107"/>
      <c r="L21" s="107"/>
    </row>
    <row r="22" spans="1:14" s="79" customFormat="1" x14ac:dyDescent="0.25">
      <c r="D22" s="105"/>
      <c r="E22" s="105"/>
      <c r="F22" s="105"/>
      <c r="G22" s="105"/>
      <c r="H22" s="105"/>
      <c r="I22" s="105"/>
      <c r="J22" s="105"/>
      <c r="K22" s="105"/>
      <c r="L22" s="105"/>
    </row>
    <row r="23" spans="1:14" s="79" customFormat="1" x14ac:dyDescent="0.25">
      <c r="A23" s="111" t="s">
        <v>18</v>
      </c>
      <c r="D23" s="112">
        <f>SUM(D19:D22)</f>
        <v>25855223.770000003</v>
      </c>
      <c r="E23" s="112">
        <f>SUM(E19:E22)</f>
        <v>-26476975.000000007</v>
      </c>
      <c r="F23" s="112">
        <f t="shared" ref="F23:L23" si="2">SUM(F19:F22)</f>
        <v>25926381.000000004</v>
      </c>
      <c r="G23" s="112">
        <f t="shared" si="2"/>
        <v>3404382.8000000007</v>
      </c>
      <c r="H23" s="112">
        <f t="shared" si="2"/>
        <v>2533838.9000000004</v>
      </c>
      <c r="I23" s="112">
        <f t="shared" si="2"/>
        <v>870543.89999999967</v>
      </c>
      <c r="J23" s="112">
        <f t="shared" si="2"/>
        <v>-70045.000000000175</v>
      </c>
      <c r="K23" s="112" t="e">
        <f t="shared" si="2"/>
        <v>#REF!</v>
      </c>
      <c r="L23" s="112" t="e">
        <f t="shared" si="2"/>
        <v>#REF!</v>
      </c>
    </row>
    <row r="24" spans="1:14" s="79" customFormat="1" x14ac:dyDescent="0.25">
      <c r="A24" s="111"/>
      <c r="D24" s="103"/>
      <c r="E24" s="103"/>
      <c r="F24" s="103"/>
      <c r="G24" s="103"/>
      <c r="H24" s="103"/>
      <c r="I24" s="103"/>
      <c r="J24" s="103"/>
      <c r="K24" s="103"/>
      <c r="L24" s="103"/>
    </row>
    <row r="25" spans="1:14" s="79" customFormat="1" x14ac:dyDescent="0.25">
      <c r="B25" s="79" t="s">
        <v>35</v>
      </c>
      <c r="D25" s="103">
        <f>-BK!D32</f>
        <v>-17162500</v>
      </c>
      <c r="E25" s="103"/>
      <c r="F25" s="103"/>
      <c r="G25" s="103"/>
      <c r="H25" s="103"/>
      <c r="I25" s="103"/>
      <c r="J25" s="103"/>
      <c r="K25" s="103"/>
      <c r="L25" s="103"/>
    </row>
    <row r="26" spans="1:14" s="79" customFormat="1" x14ac:dyDescent="0.25">
      <c r="B26" s="79" t="s">
        <v>36</v>
      </c>
      <c r="D26" s="107">
        <f>-BK!D33+BK!E33+'ardh-shpenz'!D15</f>
        <v>-5168426</v>
      </c>
      <c r="E26" s="107">
        <f>-BK!E33+BK!F33+'ardh-shpenz'!E15</f>
        <v>-918833</v>
      </c>
      <c r="F26" s="107">
        <f>-BK!F33+BK!G33+'ardh-shpenz'!F15</f>
        <v>-1408409</v>
      </c>
      <c r="G26" s="107">
        <f>+I26+H26</f>
        <v>-317416</v>
      </c>
      <c r="H26" s="107">
        <f>-BK!G33+BK!H33+'ardh-shpenz'!H15</f>
        <v>-192416</v>
      </c>
      <c r="I26" s="107">
        <f>-BK!H33+BK!I33+'ardh-shpenz'!I15</f>
        <v>-125000</v>
      </c>
      <c r="J26" s="107">
        <f>-BK!I33+BK!J33+'ardh-shpenz'!J15</f>
        <v>0</v>
      </c>
      <c r="K26" s="107" t="e">
        <f>-BK!J33+BK!K33+'ardh-shpenz'!K15</f>
        <v>#REF!</v>
      </c>
      <c r="L26" s="107" t="e">
        <f>-BK!K33+BK!#REF!+'ardh-shpenz'!L15</f>
        <v>#REF!</v>
      </c>
    </row>
    <row r="27" spans="1:14" s="79" customFormat="1" x14ac:dyDescent="0.25">
      <c r="B27" s="79" t="s">
        <v>37</v>
      </c>
      <c r="D27" s="105"/>
      <c r="E27" s="105"/>
      <c r="F27" s="105"/>
      <c r="G27" s="105"/>
      <c r="H27" s="105"/>
      <c r="I27" s="105"/>
      <c r="J27" s="105"/>
      <c r="K27" s="105"/>
      <c r="L27" s="105"/>
    </row>
    <row r="28" spans="1:14" s="79" customFormat="1" ht="12.75" customHeight="1" x14ac:dyDescent="0.25">
      <c r="B28" s="79" t="s">
        <v>19</v>
      </c>
      <c r="D28" s="105"/>
      <c r="E28" s="105"/>
      <c r="F28" s="105"/>
      <c r="G28" s="105"/>
      <c r="H28" s="105"/>
      <c r="I28" s="105"/>
      <c r="J28" s="105"/>
      <c r="K28" s="105"/>
      <c r="L28" s="105"/>
    </row>
    <row r="29" spans="1:14" s="79" customFormat="1" ht="12.75" customHeight="1" x14ac:dyDescent="0.25">
      <c r="B29" s="79" t="s">
        <v>20</v>
      </c>
      <c r="D29" s="113"/>
      <c r="E29" s="113"/>
      <c r="F29" s="113"/>
      <c r="G29" s="113"/>
      <c r="H29" s="113"/>
      <c r="I29" s="113"/>
      <c r="J29" s="113"/>
      <c r="K29" s="113"/>
      <c r="L29" s="113"/>
    </row>
    <row r="30" spans="1:14" s="79" customFormat="1" x14ac:dyDescent="0.25"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</row>
    <row r="31" spans="1:14" s="79" customFormat="1" x14ac:dyDescent="0.25">
      <c r="B31" s="80" t="s">
        <v>88</v>
      </c>
      <c r="C31" s="80"/>
      <c r="D31" s="112">
        <f>SUM(D25:D29)</f>
        <v>-22330926</v>
      </c>
      <c r="E31" s="112">
        <f>SUM(E25:E29)</f>
        <v>-918833</v>
      </c>
      <c r="F31" s="112">
        <f>SUM(F25:F29)</f>
        <v>-1408409</v>
      </c>
      <c r="G31" s="112">
        <f t="shared" ref="G31:L31" si="3">SUM(G25:G29)</f>
        <v>-317416</v>
      </c>
      <c r="H31" s="112">
        <f t="shared" si="3"/>
        <v>-192416</v>
      </c>
      <c r="I31" s="112">
        <f t="shared" si="3"/>
        <v>-125000</v>
      </c>
      <c r="J31" s="112">
        <f t="shared" si="3"/>
        <v>0</v>
      </c>
      <c r="K31" s="112" t="e">
        <f t="shared" si="3"/>
        <v>#REF!</v>
      </c>
      <c r="L31" s="112" t="e">
        <f t="shared" si="3"/>
        <v>#REF!</v>
      </c>
    </row>
    <row r="32" spans="1:14" s="79" customFormat="1" x14ac:dyDescent="0.25">
      <c r="B32" s="104"/>
      <c r="C32" s="104"/>
      <c r="D32" s="105"/>
      <c r="E32" s="105"/>
      <c r="F32" s="105"/>
      <c r="G32" s="105"/>
      <c r="H32" s="105"/>
      <c r="I32" s="105"/>
      <c r="J32" s="105"/>
      <c r="K32" s="105"/>
      <c r="L32" s="105"/>
    </row>
    <row r="33" spans="2:12" s="79" customFormat="1" x14ac:dyDescent="0.25">
      <c r="B33" s="79" t="s">
        <v>90</v>
      </c>
      <c r="D33" s="103">
        <v>0</v>
      </c>
      <c r="E33" s="103">
        <v>0</v>
      </c>
      <c r="F33" s="103">
        <v>0</v>
      </c>
      <c r="G33" s="103">
        <f>+H33+I33</f>
        <v>0</v>
      </c>
      <c r="H33" s="103">
        <v>0</v>
      </c>
      <c r="I33" s="103">
        <v>0</v>
      </c>
      <c r="J33" s="103">
        <v>0</v>
      </c>
      <c r="K33" s="103">
        <v>0</v>
      </c>
      <c r="L33" s="103">
        <v>0</v>
      </c>
    </row>
    <row r="34" spans="2:12" s="79" customFormat="1" x14ac:dyDescent="0.25">
      <c r="B34" s="79" t="s">
        <v>21</v>
      </c>
      <c r="D34" s="103"/>
      <c r="E34" s="103"/>
      <c r="F34" s="103"/>
      <c r="G34" s="103">
        <f>+H34+I34</f>
        <v>0</v>
      </c>
      <c r="H34" s="103"/>
      <c r="I34" s="103"/>
      <c r="J34" s="103"/>
      <c r="K34" s="103"/>
      <c r="L34" s="103"/>
    </row>
    <row r="35" spans="2:12" s="79" customFormat="1" x14ac:dyDescent="0.25">
      <c r="B35" s="79" t="s">
        <v>38</v>
      </c>
      <c r="D35" s="107">
        <f>+BK!D57-BK!E57</f>
        <v>0</v>
      </c>
      <c r="E35" s="107">
        <f>+BK!E57-BK!F57</f>
        <v>0</v>
      </c>
      <c r="F35" s="107">
        <f>+BK!F57-BK!G57</f>
        <v>0</v>
      </c>
      <c r="G35" s="103">
        <f>+H35+I35</f>
        <v>0</v>
      </c>
      <c r="H35" s="107">
        <f>+BK!G57-BK!H57</f>
        <v>0</v>
      </c>
      <c r="I35" s="107">
        <f>+BK!H57-BK!I57</f>
        <v>0</v>
      </c>
      <c r="J35" s="107">
        <f>+BK!I57-BK!J57</f>
        <v>0</v>
      </c>
      <c r="K35" s="107">
        <f>+BK!J57-BK!K57</f>
        <v>0</v>
      </c>
      <c r="L35" s="107" t="e">
        <f>+BK!K57-BK!#REF!</f>
        <v>#REF!</v>
      </c>
    </row>
    <row r="36" spans="2:12" s="79" customFormat="1" x14ac:dyDescent="0.25">
      <c r="B36" s="79" t="s">
        <v>22</v>
      </c>
      <c r="D36" s="105"/>
      <c r="E36" s="105"/>
      <c r="F36" s="105"/>
      <c r="G36" s="103">
        <f>+H36+I36</f>
        <v>0</v>
      </c>
      <c r="H36" s="105"/>
      <c r="I36" s="105"/>
      <c r="J36" s="105"/>
      <c r="K36" s="105"/>
      <c r="L36" s="105"/>
    </row>
    <row r="37" spans="2:12" s="79" customFormat="1" ht="15" customHeight="1" x14ac:dyDescent="0.25">
      <c r="B37" s="79" t="s">
        <v>39</v>
      </c>
      <c r="D37" s="114">
        <v>0</v>
      </c>
      <c r="E37" s="114">
        <v>0</v>
      </c>
      <c r="F37" s="114">
        <v>0</v>
      </c>
      <c r="G37" s="103">
        <f>+H37+I37</f>
        <v>0</v>
      </c>
      <c r="H37" s="114">
        <v>0</v>
      </c>
      <c r="I37" s="114">
        <f>+BK!H64+BK!H65+BK!H66+BK!H67+BK!H68+BK!H69-BK!I64-BK!I65-BK!I66-BK!I67-BK!I68-BK!I69+-BK!I70</f>
        <v>0</v>
      </c>
      <c r="J37" s="114">
        <f>+BK!I64+BK!I65+BK!I66+BK!I67+BK!I68+BK!I69-BK!J64-BK!J65-BK!J66-BK!J67-BK!J68-BK!J69+-BK!J70</f>
        <v>100000</v>
      </c>
      <c r="K37" s="114" t="e">
        <f>+BK!J64+BK!J65+BK!J66+BK!J67+BK!J68+BK!J69-BK!K64-BK!K65-BK!K66-BK!K67-BK!K68-BK!K69+-BK!K70</f>
        <v>#REF!</v>
      </c>
      <c r="L37" s="114" t="e">
        <f>+BK!K64+BK!K65+BK!K66+BK!K67+BK!K68+BK!K69-BK!#REF!-BK!#REF!-BK!#REF!-BK!#REF!-BK!#REF!-BK!#REF!+-BK!#REF!</f>
        <v>#REF!</v>
      </c>
    </row>
    <row r="38" spans="2:12" s="79" customFormat="1" x14ac:dyDescent="0.25">
      <c r="B38" s="104"/>
      <c r="C38" s="104"/>
      <c r="D38" s="105"/>
      <c r="E38" s="105"/>
      <c r="F38" s="105"/>
      <c r="G38" s="105"/>
      <c r="H38" s="105"/>
      <c r="I38" s="105"/>
      <c r="J38" s="105"/>
      <c r="K38" s="105"/>
      <c r="L38" s="105"/>
    </row>
    <row r="39" spans="2:12" s="79" customFormat="1" x14ac:dyDescent="0.25">
      <c r="B39" s="80" t="s">
        <v>120</v>
      </c>
      <c r="C39" s="80"/>
      <c r="D39" s="112">
        <f>SUM(D33:D38)</f>
        <v>0</v>
      </c>
      <c r="E39" s="112">
        <f>SUM(E33:E38)</f>
        <v>0</v>
      </c>
      <c r="F39" s="112">
        <f t="shared" ref="F39:L39" si="4">SUM(F33:F38)</f>
        <v>0</v>
      </c>
      <c r="G39" s="112">
        <f t="shared" si="4"/>
        <v>0</v>
      </c>
      <c r="H39" s="112">
        <f t="shared" si="4"/>
        <v>0</v>
      </c>
      <c r="I39" s="112">
        <f t="shared" si="4"/>
        <v>0</v>
      </c>
      <c r="J39" s="112">
        <f t="shared" si="4"/>
        <v>100000</v>
      </c>
      <c r="K39" s="112" t="e">
        <f t="shared" si="4"/>
        <v>#REF!</v>
      </c>
      <c r="L39" s="112" t="e">
        <f t="shared" si="4"/>
        <v>#REF!</v>
      </c>
    </row>
    <row r="40" spans="2:12" s="79" customFormat="1" x14ac:dyDescent="0.25">
      <c r="B40" s="104"/>
      <c r="C40" s="104"/>
      <c r="D40" s="105"/>
      <c r="E40" s="105"/>
      <c r="F40" s="105"/>
      <c r="G40" s="105"/>
      <c r="H40" s="105"/>
      <c r="I40" s="105"/>
      <c r="J40" s="105"/>
      <c r="K40" s="105"/>
      <c r="L40" s="105"/>
    </row>
    <row r="41" spans="2:12" s="79" customFormat="1" x14ac:dyDescent="0.25">
      <c r="B41" s="111" t="s">
        <v>23</v>
      </c>
      <c r="C41" s="111"/>
      <c r="D41" s="115">
        <f>+D39+D23+D31</f>
        <v>3524297.7700000033</v>
      </c>
      <c r="E41" s="115">
        <f>+E39+E23+E31</f>
        <v>-27395808.000000007</v>
      </c>
      <c r="F41" s="115">
        <f>+F39+F23+F31</f>
        <v>24517972.000000004</v>
      </c>
      <c r="G41" s="115">
        <f t="shared" ref="G41:L41" si="5">+G39+G23+G31</f>
        <v>3086966.8000000007</v>
      </c>
      <c r="H41" s="115">
        <f t="shared" si="5"/>
        <v>2341422.9000000004</v>
      </c>
      <c r="I41" s="115">
        <f t="shared" si="5"/>
        <v>745543.89999999967</v>
      </c>
      <c r="J41" s="115">
        <f t="shared" si="5"/>
        <v>29954.999999999825</v>
      </c>
      <c r="K41" s="115" t="e">
        <f t="shared" si="5"/>
        <v>#REF!</v>
      </c>
      <c r="L41" s="115" t="e">
        <f t="shared" si="5"/>
        <v>#REF!</v>
      </c>
    </row>
    <row r="42" spans="2:12" s="79" customFormat="1" x14ac:dyDescent="0.25">
      <c r="B42" s="111"/>
      <c r="C42" s="111"/>
      <c r="D42" s="107"/>
      <c r="E42" s="107"/>
      <c r="F42" s="107"/>
      <c r="G42" s="107"/>
      <c r="H42" s="107"/>
      <c r="I42" s="107"/>
      <c r="J42" s="107"/>
      <c r="K42" s="107"/>
      <c r="L42" s="107"/>
    </row>
    <row r="43" spans="2:12" s="79" customFormat="1" x14ac:dyDescent="0.25">
      <c r="B43" s="111" t="s">
        <v>89</v>
      </c>
      <c r="C43" s="111"/>
      <c r="D43" s="116">
        <f>+E44</f>
        <v>239085.79999999702</v>
      </c>
      <c r="E43" s="116">
        <f>+F44</f>
        <v>27634893.800000004</v>
      </c>
      <c r="F43" s="116">
        <f>+G44</f>
        <v>3116921.8000000007</v>
      </c>
      <c r="G43" s="116">
        <v>29955</v>
      </c>
      <c r="H43" s="116">
        <f>+I44</f>
        <v>775498.89999999944</v>
      </c>
      <c r="I43" s="116">
        <f>+J44</f>
        <v>29954.999999999825</v>
      </c>
      <c r="J43" s="116">
        <v>0</v>
      </c>
      <c r="K43" s="116">
        <v>165113</v>
      </c>
      <c r="L43" s="116" t="e">
        <f>+#REF!</f>
        <v>#REF!</v>
      </c>
    </row>
    <row r="44" spans="2:12" s="79" customFormat="1" x14ac:dyDescent="0.25">
      <c r="B44" s="111" t="s">
        <v>24</v>
      </c>
      <c r="C44" s="111"/>
      <c r="D44" s="117">
        <f t="shared" ref="D44:J44" si="6">+D43+D41</f>
        <v>3763383.5700000003</v>
      </c>
      <c r="E44" s="117">
        <f t="shared" si="6"/>
        <v>239085.79999999702</v>
      </c>
      <c r="F44" s="117">
        <f t="shared" si="6"/>
        <v>27634893.800000004</v>
      </c>
      <c r="G44" s="117">
        <f t="shared" si="6"/>
        <v>3116921.8000000007</v>
      </c>
      <c r="H44" s="117">
        <f t="shared" si="6"/>
        <v>3116921.8</v>
      </c>
      <c r="I44" s="117">
        <f t="shared" si="6"/>
        <v>775498.89999999944</v>
      </c>
      <c r="J44" s="117">
        <f t="shared" si="6"/>
        <v>29954.999999999825</v>
      </c>
      <c r="K44" s="117">
        <v>130091</v>
      </c>
      <c r="L44" s="117" t="e">
        <f>+BK!K8</f>
        <v>#REF!</v>
      </c>
    </row>
    <row r="45" spans="2:12" s="79" customFormat="1" x14ac:dyDescent="0.25">
      <c r="D45" s="103"/>
      <c r="E45" s="103"/>
      <c r="F45" s="103"/>
      <c r="G45" s="103"/>
      <c r="H45" s="103"/>
      <c r="I45" s="103"/>
      <c r="J45" s="103"/>
      <c r="K45" s="103"/>
      <c r="L45" s="103"/>
    </row>
    <row r="46" spans="2:12" s="79" customFormat="1" x14ac:dyDescent="0.25">
      <c r="D46" s="103"/>
      <c r="E46" s="103"/>
      <c r="F46" s="103"/>
      <c r="G46" s="103"/>
      <c r="H46" s="103"/>
      <c r="I46" s="103"/>
      <c r="J46" s="103"/>
      <c r="K46" s="103"/>
      <c r="L46" s="103"/>
    </row>
    <row r="48" spans="2:12" x14ac:dyDescent="0.25">
      <c r="B48" s="97" t="s">
        <v>582</v>
      </c>
      <c r="C48" s="92"/>
      <c r="D48" s="97" t="s">
        <v>653</v>
      </c>
      <c r="G48" s="97"/>
      <c r="H48" s="81"/>
      <c r="K48" s="97"/>
    </row>
    <row r="49" spans="2:12" x14ac:dyDescent="0.25">
      <c r="B49" s="95"/>
      <c r="C49" s="95"/>
    </row>
    <row r="50" spans="2:12" x14ac:dyDescent="0.25">
      <c r="B50" s="92"/>
      <c r="C50" s="92"/>
      <c r="D50" s="97"/>
      <c r="E50" s="97"/>
      <c r="F50" s="97"/>
      <c r="G50" s="97"/>
      <c r="H50" s="97"/>
      <c r="I50" s="97"/>
      <c r="J50" s="97"/>
      <c r="K50" s="97"/>
      <c r="L50" s="97"/>
    </row>
    <row r="51" spans="2:12" x14ac:dyDescent="0.25">
      <c r="B51" s="92"/>
      <c r="C51" s="92"/>
      <c r="D51" s="96"/>
      <c r="E51" s="96"/>
      <c r="F51" s="96"/>
      <c r="G51" s="96"/>
      <c r="H51" s="96"/>
      <c r="I51" s="96"/>
      <c r="J51" s="96"/>
      <c r="K51" s="96"/>
      <c r="L51" s="96"/>
    </row>
    <row r="52" spans="2:12" x14ac:dyDescent="0.25">
      <c r="B52" s="80"/>
      <c r="C52" s="92">
        <v>4</v>
      </c>
      <c r="D52" s="88"/>
      <c r="E52" s="88"/>
      <c r="F52" s="88"/>
      <c r="G52" s="88"/>
      <c r="H52" s="88"/>
      <c r="I52" s="88"/>
      <c r="J52" s="88"/>
      <c r="K52" s="88"/>
      <c r="L52" s="88"/>
    </row>
  </sheetData>
  <phoneticPr fontId="3" type="noConversion"/>
  <pageMargins left="0.59" right="0.59" top="0.81" bottom="0.67" header="0.5" footer="0.5"/>
  <pageSetup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7" workbookViewId="0">
      <selection activeCell="H37" sqref="H37"/>
    </sheetView>
  </sheetViews>
  <sheetFormatPr defaultRowHeight="12.75" x14ac:dyDescent="0.2"/>
  <cols>
    <col min="1" max="1" width="4.28515625" style="58" customWidth="1"/>
    <col min="2" max="2" width="35.28515625" style="58" customWidth="1"/>
    <col min="3" max="3" width="9.85546875" style="58" bestFit="1" customWidth="1"/>
    <col min="4" max="4" width="11.7109375" style="58" customWidth="1"/>
    <col min="5" max="5" width="9.7109375" style="58" customWidth="1"/>
    <col min="6" max="6" width="9.140625" style="58"/>
    <col min="7" max="7" width="13.140625" style="58" customWidth="1"/>
    <col min="8" max="8" width="10.42578125" style="58" bestFit="1" customWidth="1"/>
    <col min="9" max="9" width="15.5703125" style="58" customWidth="1"/>
    <col min="10" max="10" width="11.140625" style="58" customWidth="1"/>
    <col min="11" max="11" width="17.85546875" style="58" customWidth="1"/>
    <col min="12" max="16384" width="9.140625" style="58"/>
  </cols>
  <sheetData>
    <row r="1" spans="1:11" ht="15.75" x14ac:dyDescent="0.25">
      <c r="A1" s="25" t="s">
        <v>581</v>
      </c>
    </row>
    <row r="2" spans="1:11" ht="16.5" x14ac:dyDescent="0.25">
      <c r="A2" s="11" t="s">
        <v>703</v>
      </c>
    </row>
    <row r="3" spans="1:11" ht="16.5" x14ac:dyDescent="0.25">
      <c r="A3" s="11" t="s">
        <v>93</v>
      </c>
    </row>
    <row r="4" spans="1:11" ht="13.5" thickBot="1" x14ac:dyDescent="0.25"/>
    <row r="5" spans="1:11" ht="13.5" thickBot="1" x14ac:dyDescent="0.25">
      <c r="B5" s="502"/>
      <c r="C5" s="504" t="s">
        <v>431</v>
      </c>
      <c r="D5" s="504"/>
      <c r="E5" s="504"/>
      <c r="F5" s="504"/>
      <c r="G5" s="504"/>
      <c r="H5" s="504"/>
      <c r="I5" s="505"/>
      <c r="J5" s="435"/>
      <c r="K5" s="436"/>
    </row>
    <row r="6" spans="1:11" ht="63" customHeight="1" thickBot="1" x14ac:dyDescent="0.25">
      <c r="B6" s="503"/>
      <c r="C6" s="319" t="s">
        <v>91</v>
      </c>
      <c r="D6" s="319" t="s">
        <v>432</v>
      </c>
      <c r="E6" s="319" t="s">
        <v>433</v>
      </c>
      <c r="F6" s="319" t="s">
        <v>434</v>
      </c>
      <c r="G6" s="319" t="s">
        <v>435</v>
      </c>
      <c r="H6" s="320" t="s">
        <v>436</v>
      </c>
      <c r="I6" s="321" t="s">
        <v>2</v>
      </c>
      <c r="J6" s="322" t="s">
        <v>437</v>
      </c>
      <c r="K6" s="321" t="s">
        <v>2</v>
      </c>
    </row>
    <row r="7" spans="1:11" ht="26.25" customHeight="1" thickBot="1" x14ac:dyDescent="0.25">
      <c r="A7" s="58" t="s">
        <v>450</v>
      </c>
      <c r="B7" s="123" t="s">
        <v>704</v>
      </c>
      <c r="C7" s="124">
        <v>100000</v>
      </c>
      <c r="D7" s="124"/>
      <c r="E7" s="124"/>
      <c r="F7" s="124"/>
      <c r="G7" s="124"/>
      <c r="H7" s="125">
        <f>+BK!E69</f>
        <v>26808191.550000001</v>
      </c>
      <c r="I7" s="126">
        <f>+C7+H7+F7</f>
        <v>26908191.550000001</v>
      </c>
      <c r="J7" s="318"/>
      <c r="K7" s="126">
        <f>+I7</f>
        <v>26908191.550000001</v>
      </c>
    </row>
    <row r="8" spans="1:11" x14ac:dyDescent="0.2">
      <c r="A8" s="58" t="s">
        <v>155</v>
      </c>
      <c r="B8" s="437" t="s">
        <v>438</v>
      </c>
      <c r="C8" s="323"/>
      <c r="D8" s="323"/>
      <c r="E8" s="323"/>
      <c r="F8" s="323"/>
      <c r="G8" s="323"/>
      <c r="H8" s="324"/>
      <c r="I8" s="381"/>
      <c r="J8" s="379"/>
      <c r="K8" s="361"/>
    </row>
    <row r="9" spans="1:11" x14ac:dyDescent="0.2">
      <c r="A9" s="58" t="s">
        <v>157</v>
      </c>
      <c r="B9" s="366" t="s">
        <v>439</v>
      </c>
      <c r="C9" s="59"/>
      <c r="D9" s="59"/>
      <c r="E9" s="59"/>
      <c r="F9" s="59"/>
      <c r="G9" s="59"/>
      <c r="H9" s="119"/>
      <c r="I9" s="382"/>
      <c r="J9" s="380"/>
      <c r="K9" s="362"/>
    </row>
    <row r="10" spans="1:11" ht="25.5" x14ac:dyDescent="0.2">
      <c r="A10" s="58">
        <v>1</v>
      </c>
      <c r="B10" s="366" t="s">
        <v>440</v>
      </c>
      <c r="C10" s="59"/>
      <c r="D10" s="59"/>
      <c r="E10" s="59"/>
      <c r="F10" s="59"/>
      <c r="G10" s="59"/>
      <c r="H10" s="119"/>
      <c r="I10" s="382"/>
      <c r="J10" s="380"/>
      <c r="K10" s="362"/>
    </row>
    <row r="11" spans="1:11" ht="38.25" x14ac:dyDescent="0.2">
      <c r="A11" s="58">
        <v>2</v>
      </c>
      <c r="B11" s="366" t="s">
        <v>441</v>
      </c>
      <c r="C11" s="59"/>
      <c r="D11" s="59"/>
      <c r="E11" s="59"/>
      <c r="F11" s="59"/>
      <c r="G11" s="59"/>
      <c r="H11" s="119"/>
      <c r="I11" s="382"/>
      <c r="J11" s="380"/>
      <c r="K11" s="362"/>
    </row>
    <row r="12" spans="1:11" x14ac:dyDescent="0.2">
      <c r="A12" s="58">
        <v>3</v>
      </c>
      <c r="B12" s="366" t="s">
        <v>442</v>
      </c>
      <c r="C12" s="59"/>
      <c r="D12" s="59"/>
      <c r="E12" s="59"/>
      <c r="F12" s="59"/>
      <c r="G12" s="59"/>
      <c r="H12" s="119">
        <f>+BK!E70</f>
        <v>17454231.899999999</v>
      </c>
      <c r="I12" s="382">
        <f>+C12+H12+F12</f>
        <v>17454231.899999999</v>
      </c>
      <c r="J12" s="380"/>
      <c r="K12" s="362">
        <f>+H12</f>
        <v>17454231.899999999</v>
      </c>
    </row>
    <row r="13" spans="1:11" x14ac:dyDescent="0.2">
      <c r="A13" s="58">
        <v>4</v>
      </c>
      <c r="B13" s="366" t="s">
        <v>443</v>
      </c>
      <c r="C13" s="59"/>
      <c r="D13" s="59"/>
      <c r="E13" s="59"/>
      <c r="F13" s="59"/>
      <c r="G13" s="59"/>
      <c r="H13" s="119">
        <v>0</v>
      </c>
      <c r="I13" s="382">
        <f>+C13+H13+F13</f>
        <v>0</v>
      </c>
      <c r="J13" s="119"/>
      <c r="K13" s="362">
        <f>+H13</f>
        <v>0</v>
      </c>
    </row>
    <row r="14" spans="1:11" ht="25.5" x14ac:dyDescent="0.2">
      <c r="A14" s="58">
        <v>5</v>
      </c>
      <c r="B14" s="366" t="s">
        <v>444</v>
      </c>
      <c r="C14" s="59"/>
      <c r="D14" s="59"/>
      <c r="E14" s="59"/>
      <c r="F14" s="59"/>
      <c r="G14" s="59"/>
      <c r="H14" s="119"/>
      <c r="I14" s="382"/>
      <c r="J14" s="380"/>
      <c r="K14" s="362"/>
    </row>
    <row r="15" spans="1:11" ht="13.5" thickBot="1" x14ac:dyDescent="0.25">
      <c r="A15" s="58">
        <v>6</v>
      </c>
      <c r="B15" s="438" t="s">
        <v>445</v>
      </c>
      <c r="C15" s="121"/>
      <c r="D15" s="121"/>
      <c r="E15" s="121"/>
      <c r="F15" s="121"/>
      <c r="G15" s="121"/>
      <c r="H15" s="122">
        <v>0</v>
      </c>
      <c r="I15" s="122"/>
      <c r="J15" s="385"/>
      <c r="K15" s="439"/>
    </row>
    <row r="16" spans="1:11" ht="13.5" thickBot="1" x14ac:dyDescent="0.25">
      <c r="A16" s="58" t="s">
        <v>133</v>
      </c>
      <c r="B16" s="123" t="s">
        <v>705</v>
      </c>
      <c r="C16" s="124">
        <f>SUM(C7:C15)</f>
        <v>100000</v>
      </c>
      <c r="D16" s="124">
        <f t="shared" ref="D16:K16" si="0">SUM(D7:D15)</f>
        <v>0</v>
      </c>
      <c r="E16" s="124">
        <f t="shared" si="0"/>
        <v>0</v>
      </c>
      <c r="F16" s="124">
        <f t="shared" si="0"/>
        <v>0</v>
      </c>
      <c r="G16" s="124">
        <f t="shared" si="0"/>
        <v>0</v>
      </c>
      <c r="H16" s="125">
        <f t="shared" si="0"/>
        <v>44262423.450000003</v>
      </c>
      <c r="I16" s="383">
        <f t="shared" si="0"/>
        <v>44362423.450000003</v>
      </c>
      <c r="J16" s="386">
        <f t="shared" si="0"/>
        <v>0</v>
      </c>
      <c r="K16" s="384">
        <f t="shared" si="0"/>
        <v>44362423.450000003</v>
      </c>
    </row>
    <row r="17" spans="1:11" ht="25.5" x14ac:dyDescent="0.2">
      <c r="A17" s="58">
        <v>1</v>
      </c>
      <c r="B17" s="363" t="s">
        <v>446</v>
      </c>
      <c r="C17" s="364"/>
      <c r="D17" s="364"/>
      <c r="E17" s="364"/>
      <c r="F17" s="364"/>
      <c r="G17" s="364"/>
      <c r="H17" s="365"/>
      <c r="I17" s="373"/>
      <c r="J17" s="379"/>
      <c r="K17" s="377"/>
    </row>
    <row r="18" spans="1:11" ht="51" x14ac:dyDescent="0.2">
      <c r="A18" s="58">
        <v>2</v>
      </c>
      <c r="B18" s="366" t="s">
        <v>548</v>
      </c>
      <c r="C18" s="59"/>
      <c r="D18" s="59"/>
      <c r="E18" s="59"/>
      <c r="F18" s="59"/>
      <c r="G18" s="59"/>
      <c r="H18" s="367"/>
      <c r="I18" s="120"/>
      <c r="J18" s="380"/>
      <c r="K18" s="362">
        <f>+H18</f>
        <v>0</v>
      </c>
    </row>
    <row r="19" spans="1:11" ht="15.75" customHeight="1" x14ac:dyDescent="0.2">
      <c r="A19" s="58">
        <v>3</v>
      </c>
      <c r="B19" s="368" t="s">
        <v>447</v>
      </c>
      <c r="C19" s="59"/>
      <c r="D19" s="59"/>
      <c r="E19" s="59"/>
      <c r="F19" s="59"/>
      <c r="G19" s="59"/>
      <c r="H19" s="367">
        <f>+BK!D70</f>
        <v>-5941078.900000006</v>
      </c>
      <c r="I19" s="120">
        <f>+H19</f>
        <v>-5941078.900000006</v>
      </c>
      <c r="J19" s="380"/>
      <c r="K19" s="362">
        <f>+I19</f>
        <v>-5941078.900000006</v>
      </c>
    </row>
    <row r="20" spans="1:11" x14ac:dyDescent="0.2">
      <c r="A20" s="58">
        <v>4</v>
      </c>
      <c r="B20" s="366" t="s">
        <v>443</v>
      </c>
      <c r="C20" s="59"/>
      <c r="D20" s="59"/>
      <c r="E20" s="59"/>
      <c r="F20" s="59"/>
      <c r="G20" s="59"/>
      <c r="H20" s="367">
        <v>0</v>
      </c>
      <c r="I20" s="120">
        <f>+H20</f>
        <v>0</v>
      </c>
      <c r="J20" s="380"/>
      <c r="K20" s="362">
        <f>+I20</f>
        <v>0</v>
      </c>
    </row>
    <row r="21" spans="1:11" ht="13.5" thickBot="1" x14ac:dyDescent="0.25">
      <c r="A21" s="58">
        <v>5</v>
      </c>
      <c r="B21" s="369" t="s">
        <v>448</v>
      </c>
      <c r="C21" s="370"/>
      <c r="D21" s="370"/>
      <c r="E21" s="370"/>
      <c r="F21" s="370"/>
      <c r="G21" s="370"/>
      <c r="H21" s="371"/>
      <c r="I21" s="376"/>
      <c r="J21" s="376"/>
      <c r="K21" s="378"/>
    </row>
    <row r="22" spans="1:11" ht="13.5" thickBot="1" x14ac:dyDescent="0.25">
      <c r="A22" s="58">
        <v>6</v>
      </c>
      <c r="B22" s="375" t="s">
        <v>449</v>
      </c>
      <c r="C22" s="124"/>
      <c r="D22" s="124"/>
      <c r="E22" s="124"/>
      <c r="F22" s="124"/>
      <c r="G22" s="124"/>
      <c r="H22" s="374"/>
      <c r="I22" s="372"/>
      <c r="J22" s="247"/>
      <c r="K22" s="372"/>
    </row>
    <row r="23" spans="1:11" ht="13.5" thickBot="1" x14ac:dyDescent="0.25">
      <c r="A23" s="58" t="s">
        <v>143</v>
      </c>
      <c r="B23" s="325" t="s">
        <v>706</v>
      </c>
      <c r="C23" s="326">
        <f>+C16</f>
        <v>100000</v>
      </c>
      <c r="D23" s="124"/>
      <c r="E23" s="124"/>
      <c r="F23" s="124"/>
      <c r="G23" s="124"/>
      <c r="H23" s="125">
        <f>SUM(H16:H22)</f>
        <v>38321344.549999997</v>
      </c>
      <c r="I23" s="386">
        <f>SUM(I16:I22)</f>
        <v>38421344.549999997</v>
      </c>
      <c r="J23" s="386">
        <f>SUM(J16:J22)</f>
        <v>0</v>
      </c>
      <c r="K23" s="386">
        <f>SUM(K16:K22)</f>
        <v>38421344.549999997</v>
      </c>
    </row>
    <row r="27" spans="1:11" ht="15.75" x14ac:dyDescent="0.25">
      <c r="B27" s="92"/>
      <c r="C27" s="97" t="s">
        <v>582</v>
      </c>
      <c r="E27" s="96"/>
      <c r="F27" s="96"/>
      <c r="G27" s="100"/>
      <c r="H27" s="82"/>
      <c r="I27" s="97" t="s">
        <v>430</v>
      </c>
    </row>
    <row r="28" spans="1:11" x14ac:dyDescent="0.2">
      <c r="E28" s="346">
        <v>5</v>
      </c>
      <c r="K28" s="247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8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C1" workbookViewId="0">
      <selection activeCell="H37" sqref="H37"/>
    </sheetView>
  </sheetViews>
  <sheetFormatPr defaultRowHeight="12.75" x14ac:dyDescent="0.2"/>
  <cols>
    <col min="1" max="1" width="12.140625" style="58" hidden="1" customWidth="1"/>
    <col min="2" max="2" width="9.42578125" style="58" hidden="1" customWidth="1"/>
    <col min="3" max="3" width="30.7109375" style="58" customWidth="1"/>
    <col min="4" max="4" width="21.28515625" style="58" customWidth="1"/>
    <col min="5" max="5" width="3.5703125" style="58" customWidth="1"/>
    <col min="6" max="6" width="9.7109375" style="58" customWidth="1"/>
    <col min="7" max="7" width="10" style="58" customWidth="1"/>
    <col min="8" max="8" width="12.140625" style="58" customWidth="1"/>
    <col min="9" max="9" width="13.5703125" style="58" customWidth="1"/>
    <col min="10" max="10" width="15.7109375" style="58" customWidth="1"/>
    <col min="11" max="11" width="17.85546875" style="58" customWidth="1"/>
    <col min="12" max="12" width="12.28515625" style="58" customWidth="1"/>
    <col min="13" max="16" width="0" style="58" hidden="1" customWidth="1"/>
    <col min="17" max="17" width="11.140625" style="58" bestFit="1" customWidth="1"/>
    <col min="18" max="18" width="9.5703125" style="58" bestFit="1" customWidth="1"/>
    <col min="19" max="16384" width="9.140625" style="58"/>
  </cols>
  <sheetData>
    <row r="1" spans="1:18" ht="15.75" x14ac:dyDescent="0.25">
      <c r="C1" s="25" t="s">
        <v>581</v>
      </c>
    </row>
    <row r="2" spans="1:18" ht="13.5" x14ac:dyDescent="0.25">
      <c r="C2" s="132" t="s">
        <v>494</v>
      </c>
    </row>
    <row r="3" spans="1:18" x14ac:dyDescent="0.2">
      <c r="C3" s="133" t="s">
        <v>707</v>
      </c>
    </row>
    <row r="4" spans="1:18" x14ac:dyDescent="0.2">
      <c r="A4" s="134"/>
      <c r="B4" s="134"/>
      <c r="C4" s="135" t="s">
        <v>93</v>
      </c>
      <c r="D4" s="134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8" x14ac:dyDescent="0.2">
      <c r="A5" s="134"/>
      <c r="B5" s="134"/>
      <c r="C5" s="134"/>
      <c r="D5" s="134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8" ht="13.5" thickBot="1" x14ac:dyDescent="0.25">
      <c r="A6" s="134"/>
      <c r="B6" s="134"/>
      <c r="C6" s="134"/>
      <c r="D6" s="134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8" ht="12.75" customHeight="1" x14ac:dyDescent="0.2">
      <c r="A7" s="508"/>
      <c r="B7" s="508"/>
      <c r="C7" s="138" t="s">
        <v>451</v>
      </c>
      <c r="D7" s="139"/>
      <c r="E7" s="140"/>
      <c r="F7" s="141" t="s">
        <v>452</v>
      </c>
      <c r="G7" s="142" t="s">
        <v>453</v>
      </c>
      <c r="H7" s="143" t="s">
        <v>336</v>
      </c>
      <c r="I7" s="142" t="s">
        <v>454</v>
      </c>
      <c r="J7" s="144" t="s">
        <v>513</v>
      </c>
      <c r="K7" s="131" t="s">
        <v>455</v>
      </c>
      <c r="L7" s="145" t="s">
        <v>456</v>
      </c>
      <c r="M7" s="146"/>
      <c r="N7" s="147"/>
      <c r="O7" s="506" t="s">
        <v>457</v>
      </c>
    </row>
    <row r="8" spans="1:18" ht="13.5" thickBot="1" x14ac:dyDescent="0.25">
      <c r="A8" s="137"/>
      <c r="B8" s="137"/>
      <c r="C8" s="148"/>
      <c r="D8" s="149"/>
      <c r="E8" s="140"/>
      <c r="F8" s="150"/>
      <c r="G8" s="151"/>
      <c r="H8" s="151"/>
      <c r="I8" s="151"/>
      <c r="J8" s="246" t="s">
        <v>673</v>
      </c>
      <c r="K8" s="152"/>
      <c r="L8" s="152"/>
      <c r="M8" s="146"/>
      <c r="N8" s="147"/>
      <c r="O8" s="507"/>
    </row>
    <row r="9" spans="1:18" ht="13.5" thickBot="1" x14ac:dyDescent="0.25">
      <c r="A9" s="137"/>
      <c r="B9" s="137"/>
      <c r="C9" s="137"/>
      <c r="D9" s="137"/>
      <c r="E9" s="140"/>
      <c r="F9" s="153"/>
      <c r="G9" s="153"/>
      <c r="H9" s="154"/>
      <c r="I9" s="153"/>
      <c r="J9" s="154"/>
      <c r="K9" s="154"/>
      <c r="L9" s="146"/>
      <c r="M9" s="146"/>
      <c r="N9" s="147"/>
      <c r="O9" s="155"/>
    </row>
    <row r="10" spans="1:18" x14ac:dyDescent="0.2">
      <c r="A10" s="137"/>
      <c r="B10" s="137"/>
      <c r="C10" s="156"/>
      <c r="D10" s="157"/>
      <c r="E10" s="140"/>
      <c r="F10" s="327"/>
      <c r="G10" s="328"/>
      <c r="H10" s="329"/>
      <c r="I10" s="328"/>
      <c r="J10" s="330"/>
      <c r="K10" s="330"/>
      <c r="L10" s="331"/>
      <c r="M10" s="146"/>
      <c r="N10" s="147"/>
      <c r="O10" s="158"/>
    </row>
    <row r="11" spans="1:18" x14ac:dyDescent="0.2">
      <c r="A11" s="137"/>
      <c r="B11" s="137"/>
      <c r="C11" s="159"/>
      <c r="D11" s="160"/>
      <c r="E11" s="140"/>
      <c r="F11" s="161"/>
      <c r="G11" s="162"/>
      <c r="H11" s="163" t="s">
        <v>510</v>
      </c>
      <c r="I11" s="162"/>
      <c r="J11" s="164"/>
      <c r="K11" s="164"/>
      <c r="L11" s="165"/>
      <c r="M11" s="146"/>
      <c r="N11" s="147"/>
      <c r="O11" s="166"/>
    </row>
    <row r="12" spans="1:18" ht="13.5" thickBot="1" x14ac:dyDescent="0.25">
      <c r="A12" s="137"/>
      <c r="B12" s="137"/>
      <c r="C12" s="159"/>
      <c r="D12" s="160"/>
      <c r="E12" s="167"/>
      <c r="F12" s="168"/>
      <c r="G12" s="169"/>
      <c r="H12" s="170"/>
      <c r="I12" s="169"/>
      <c r="J12" s="171"/>
      <c r="K12" s="171"/>
      <c r="L12" s="172"/>
      <c r="M12" s="146"/>
      <c r="N12" s="147"/>
      <c r="O12" s="173"/>
    </row>
    <row r="13" spans="1:18" ht="13.5" x14ac:dyDescent="0.25">
      <c r="A13" s="174" t="s">
        <v>458</v>
      </c>
      <c r="B13" s="174" t="s">
        <v>459</v>
      </c>
      <c r="C13" s="175" t="s">
        <v>708</v>
      </c>
      <c r="D13" s="176" t="s">
        <v>460</v>
      </c>
      <c r="E13" s="177" t="s">
        <v>461</v>
      </c>
      <c r="F13" s="178"/>
      <c r="G13" s="179"/>
      <c r="H13" s="180"/>
      <c r="I13" s="181">
        <v>1098640</v>
      </c>
      <c r="J13" s="182">
        <v>1546018</v>
      </c>
      <c r="K13" s="183"/>
      <c r="L13" s="184">
        <f>SUM(F13:K13)</f>
        <v>2644658</v>
      </c>
      <c r="M13" s="185"/>
      <c r="N13" s="186"/>
      <c r="O13" s="184"/>
    </row>
    <row r="14" spans="1:18" ht="13.5" x14ac:dyDescent="0.25">
      <c r="A14" s="174" t="s">
        <v>458</v>
      </c>
      <c r="B14" s="187" t="s">
        <v>462</v>
      </c>
      <c r="C14" s="188" t="s">
        <v>708</v>
      </c>
      <c r="D14" s="189" t="s">
        <v>463</v>
      </c>
      <c r="E14" s="177" t="s">
        <v>461</v>
      </c>
      <c r="F14" s="190"/>
      <c r="G14" s="191"/>
      <c r="H14" s="192"/>
      <c r="I14" s="191">
        <v>249025</v>
      </c>
      <c r="J14" s="193">
        <v>429644</v>
      </c>
      <c r="K14" s="194"/>
      <c r="L14" s="195">
        <f>SUM(F14:K14)</f>
        <v>678669</v>
      </c>
      <c r="M14" s="185"/>
      <c r="N14" s="186"/>
      <c r="O14" s="195"/>
      <c r="R14" s="203"/>
    </row>
    <row r="15" spans="1:18" ht="14.25" thickBot="1" x14ac:dyDescent="0.3">
      <c r="A15" s="174" t="s">
        <v>458</v>
      </c>
      <c r="B15" s="187" t="s">
        <v>464</v>
      </c>
      <c r="C15" s="196" t="s">
        <v>708</v>
      </c>
      <c r="D15" s="197" t="s">
        <v>465</v>
      </c>
      <c r="E15" s="177" t="s">
        <v>461</v>
      </c>
      <c r="F15" s="198"/>
      <c r="G15" s="199"/>
      <c r="H15" s="200"/>
      <c r="I15" s="200"/>
      <c r="J15" s="200"/>
      <c r="K15" s="201"/>
      <c r="L15" s="332"/>
      <c r="M15" s="185"/>
      <c r="N15" s="186"/>
      <c r="O15" s="202"/>
      <c r="R15" s="347"/>
    </row>
    <row r="16" spans="1:18" ht="14.25" thickBot="1" x14ac:dyDescent="0.3">
      <c r="A16" s="174"/>
      <c r="B16" s="187"/>
      <c r="C16" s="204"/>
      <c r="D16" s="205"/>
      <c r="E16" s="177"/>
      <c r="F16" s="206"/>
      <c r="G16" s="207"/>
      <c r="H16" s="208"/>
      <c r="I16" s="207"/>
      <c r="J16" s="209"/>
      <c r="K16" s="210"/>
      <c r="L16" s="211"/>
      <c r="M16" s="212"/>
      <c r="N16" s="186"/>
      <c r="O16" s="211"/>
    </row>
    <row r="17" spans="1:17" ht="13.5" x14ac:dyDescent="0.25">
      <c r="A17" s="174" t="s">
        <v>466</v>
      </c>
      <c r="B17" s="174" t="s">
        <v>459</v>
      </c>
      <c r="C17" s="213" t="s">
        <v>709</v>
      </c>
      <c r="D17" s="214" t="s">
        <v>467</v>
      </c>
      <c r="E17" s="177" t="s">
        <v>461</v>
      </c>
      <c r="F17" s="215"/>
      <c r="G17" s="216"/>
      <c r="H17" s="217"/>
      <c r="I17" s="191">
        <v>5138201</v>
      </c>
      <c r="J17" s="193">
        <v>30225</v>
      </c>
      <c r="K17" s="194"/>
      <c r="L17" s="195">
        <f>SUM(F17:K17)</f>
        <v>5168426</v>
      </c>
      <c r="M17" s="212"/>
      <c r="N17" s="186"/>
      <c r="O17" s="184"/>
    </row>
    <row r="18" spans="1:17" ht="13.5" x14ac:dyDescent="0.25">
      <c r="A18" s="174" t="s">
        <v>468</v>
      </c>
      <c r="B18" s="174" t="s">
        <v>459</v>
      </c>
      <c r="C18" s="213" t="s">
        <v>710</v>
      </c>
      <c r="D18" s="214" t="s">
        <v>467</v>
      </c>
      <c r="E18" s="177" t="s">
        <v>469</v>
      </c>
      <c r="F18" s="215"/>
      <c r="G18" s="216"/>
      <c r="H18" s="221"/>
      <c r="I18" s="191">
        <v>0</v>
      </c>
      <c r="J18" s="193">
        <v>0</v>
      </c>
      <c r="K18" s="222"/>
      <c r="L18" s="220">
        <f>SUM(F18:K18)</f>
        <v>0</v>
      </c>
      <c r="M18" s="212"/>
      <c r="N18" s="186"/>
      <c r="O18" s="220"/>
    </row>
    <row r="19" spans="1:17" ht="13.5" x14ac:dyDescent="0.25">
      <c r="A19" s="174" t="s">
        <v>470</v>
      </c>
      <c r="B19" s="174" t="s">
        <v>471</v>
      </c>
      <c r="C19" s="213" t="s">
        <v>472</v>
      </c>
      <c r="D19" s="214"/>
      <c r="E19" s="177" t="s">
        <v>473</v>
      </c>
      <c r="F19" s="215"/>
      <c r="G19" s="216"/>
      <c r="H19" s="217"/>
      <c r="I19" s="216"/>
      <c r="J19" s="218"/>
      <c r="K19" s="219"/>
      <c r="L19" s="220">
        <f>SUM(F19:K19)</f>
        <v>0</v>
      </c>
      <c r="M19" s="212"/>
      <c r="N19" s="186"/>
      <c r="O19" s="220"/>
    </row>
    <row r="20" spans="1:17" ht="13.5" x14ac:dyDescent="0.25">
      <c r="A20" s="174"/>
      <c r="B20" s="174"/>
      <c r="C20" s="213"/>
      <c r="D20" s="214"/>
      <c r="E20" s="177"/>
      <c r="F20" s="215"/>
      <c r="G20" s="216"/>
      <c r="H20" s="217"/>
      <c r="I20" s="216"/>
      <c r="J20" s="218"/>
      <c r="K20" s="219"/>
      <c r="L20" s="220"/>
      <c r="M20" s="212"/>
      <c r="N20" s="186"/>
      <c r="O20" s="220"/>
    </row>
    <row r="21" spans="1:17" ht="13.5" x14ac:dyDescent="0.25">
      <c r="A21" s="174" t="s">
        <v>464</v>
      </c>
      <c r="B21" s="174"/>
      <c r="C21" s="213" t="s">
        <v>474</v>
      </c>
      <c r="D21" s="214"/>
      <c r="E21" s="177" t="s">
        <v>461</v>
      </c>
      <c r="F21" s="215"/>
      <c r="G21" s="216"/>
      <c r="H21" s="217"/>
      <c r="I21" s="216"/>
      <c r="J21" s="218"/>
      <c r="K21" s="219"/>
      <c r="L21" s="220">
        <f>SUM(F21:K21)</f>
        <v>0</v>
      </c>
      <c r="M21" s="212"/>
      <c r="N21" s="186"/>
      <c r="O21" s="220"/>
    </row>
    <row r="22" spans="1:17" ht="13.5" x14ac:dyDescent="0.25">
      <c r="A22" s="174" t="s">
        <v>475</v>
      </c>
      <c r="B22" s="174"/>
      <c r="C22" s="213" t="s">
        <v>476</v>
      </c>
      <c r="D22" s="214"/>
      <c r="E22" s="177" t="s">
        <v>461</v>
      </c>
      <c r="F22" s="215"/>
      <c r="G22" s="216"/>
      <c r="H22" s="216"/>
      <c r="I22" s="191">
        <v>169923</v>
      </c>
      <c r="J22" s="193">
        <v>223275</v>
      </c>
      <c r="K22" s="194"/>
      <c r="L22" s="195">
        <f>SUM(F22:K22)</f>
        <v>393198</v>
      </c>
      <c r="M22" s="212"/>
      <c r="N22" s="186"/>
      <c r="O22" s="195"/>
    </row>
    <row r="23" spans="1:17" ht="13.5" x14ac:dyDescent="0.25">
      <c r="A23" s="174"/>
      <c r="B23" s="174"/>
      <c r="C23" s="213"/>
      <c r="D23" s="214"/>
      <c r="E23" s="177"/>
      <c r="F23" s="215"/>
      <c r="G23" s="216"/>
      <c r="H23" s="217"/>
      <c r="I23" s="216"/>
      <c r="J23" s="218"/>
      <c r="K23" s="219"/>
      <c r="L23" s="220"/>
      <c r="M23" s="212"/>
      <c r="N23" s="186"/>
      <c r="O23" s="220"/>
    </row>
    <row r="24" spans="1:17" ht="13.5" x14ac:dyDescent="0.25">
      <c r="A24" s="174" t="s">
        <v>477</v>
      </c>
      <c r="B24" s="187" t="s">
        <v>462</v>
      </c>
      <c r="C24" s="213" t="s">
        <v>478</v>
      </c>
      <c r="D24" s="214"/>
      <c r="E24" s="177" t="s">
        <v>469</v>
      </c>
      <c r="F24" s="215"/>
      <c r="G24" s="216"/>
      <c r="H24" s="217"/>
      <c r="I24" s="216"/>
      <c r="J24" s="218"/>
      <c r="K24" s="219"/>
      <c r="L24" s="220">
        <f>SUM(F24:K24)</f>
        <v>0</v>
      </c>
      <c r="M24" s="212"/>
      <c r="N24" s="186"/>
      <c r="O24" s="220"/>
    </row>
    <row r="25" spans="1:17" ht="13.5" x14ac:dyDescent="0.25">
      <c r="A25" s="174" t="s">
        <v>477</v>
      </c>
      <c r="B25" s="187" t="s">
        <v>464</v>
      </c>
      <c r="C25" s="213" t="s">
        <v>479</v>
      </c>
      <c r="D25" s="214"/>
      <c r="E25" s="177" t="s">
        <v>469</v>
      </c>
      <c r="F25" s="215"/>
      <c r="G25" s="216"/>
      <c r="H25" s="217"/>
      <c r="I25" s="216"/>
      <c r="J25" s="218"/>
      <c r="K25" s="219"/>
      <c r="L25" s="220">
        <f>SUM(F25:K25)</f>
        <v>0</v>
      </c>
      <c r="M25" s="212"/>
      <c r="N25" s="186"/>
      <c r="O25" s="220"/>
    </row>
    <row r="26" spans="1:17" ht="13.5" x14ac:dyDescent="0.25">
      <c r="A26" s="174" t="s">
        <v>470</v>
      </c>
      <c r="B26" s="174" t="s">
        <v>480</v>
      </c>
      <c r="C26" s="213" t="s">
        <v>481</v>
      </c>
      <c r="D26" s="214"/>
      <c r="E26" s="177" t="s">
        <v>473</v>
      </c>
      <c r="F26" s="215"/>
      <c r="G26" s="216"/>
      <c r="H26" s="217"/>
      <c r="I26" s="216"/>
      <c r="J26" s="218"/>
      <c r="K26" s="219"/>
      <c r="L26" s="220">
        <f>SUM(F26:K26)</f>
        <v>0</v>
      </c>
      <c r="M26" s="212"/>
      <c r="N26" s="186"/>
      <c r="O26" s="220"/>
    </row>
    <row r="27" spans="1:17" ht="14.25" thickBot="1" x14ac:dyDescent="0.3">
      <c r="A27" s="174"/>
      <c r="B27" s="174"/>
      <c r="C27" s="223"/>
      <c r="D27" s="224"/>
      <c r="E27" s="177"/>
      <c r="F27" s="225"/>
      <c r="G27" s="226"/>
      <c r="H27" s="227"/>
      <c r="I27" s="226"/>
      <c r="J27" s="228"/>
      <c r="K27" s="229"/>
      <c r="L27" s="230"/>
      <c r="M27" s="212"/>
      <c r="N27" s="186"/>
      <c r="O27" s="230"/>
    </row>
    <row r="28" spans="1:17" ht="13.5" x14ac:dyDescent="0.25">
      <c r="A28" s="174" t="s">
        <v>482</v>
      </c>
      <c r="B28" s="174" t="s">
        <v>483</v>
      </c>
      <c r="C28" s="420" t="s">
        <v>711</v>
      </c>
      <c r="D28" s="421" t="s">
        <v>460</v>
      </c>
      <c r="E28" s="231"/>
      <c r="F28" s="232">
        <f t="shared" ref="F28:K28" si="0">F13+F17+F18+F19</f>
        <v>0</v>
      </c>
      <c r="G28" s="233">
        <f t="shared" si="0"/>
        <v>0</v>
      </c>
      <c r="H28" s="233">
        <f t="shared" si="0"/>
        <v>0</v>
      </c>
      <c r="I28" s="233">
        <f t="shared" si="0"/>
        <v>6236841</v>
      </c>
      <c r="J28" s="234">
        <f>+J13+J17</f>
        <v>1576243</v>
      </c>
      <c r="K28" s="234">
        <f t="shared" si="0"/>
        <v>0</v>
      </c>
      <c r="L28" s="184">
        <f>SUM(F28:K28)</f>
        <v>7813084</v>
      </c>
      <c r="M28" s="185"/>
      <c r="N28" s="186"/>
      <c r="O28" s="184"/>
    </row>
    <row r="29" spans="1:17" ht="13.5" x14ac:dyDescent="0.25">
      <c r="A29" s="174" t="s">
        <v>482</v>
      </c>
      <c r="B29" s="174" t="s">
        <v>484</v>
      </c>
      <c r="C29" s="422" t="s">
        <v>711</v>
      </c>
      <c r="D29" s="423" t="s">
        <v>463</v>
      </c>
      <c r="E29" s="231"/>
      <c r="F29" s="235">
        <f t="shared" ref="F29:K29" si="1">F14+F22+F24+F26</f>
        <v>0</v>
      </c>
      <c r="G29" s="236">
        <f t="shared" si="1"/>
        <v>0</v>
      </c>
      <c r="H29" s="236">
        <f t="shared" si="1"/>
        <v>0</v>
      </c>
      <c r="I29" s="236">
        <f t="shared" si="1"/>
        <v>418948</v>
      </c>
      <c r="J29" s="237">
        <f>+J14+J22</f>
        <v>652919</v>
      </c>
      <c r="K29" s="237">
        <f t="shared" si="1"/>
        <v>0</v>
      </c>
      <c r="L29" s="195">
        <f>SUM(F29:K29)</f>
        <v>1071867</v>
      </c>
      <c r="M29" s="185"/>
      <c r="N29" s="186"/>
      <c r="O29" s="195"/>
    </row>
    <row r="30" spans="1:17" ht="13.5" thickBot="1" x14ac:dyDescent="0.25">
      <c r="A30" s="238" t="s">
        <v>482</v>
      </c>
      <c r="B30" s="174" t="s">
        <v>485</v>
      </c>
      <c r="C30" s="424" t="s">
        <v>711</v>
      </c>
      <c r="D30" s="425" t="s">
        <v>486</v>
      </c>
      <c r="E30" s="239"/>
      <c r="F30" s="240">
        <f t="shared" ref="F30:L30" si="2">F28-F29</f>
        <v>0</v>
      </c>
      <c r="G30" s="241">
        <f t="shared" si="2"/>
        <v>0</v>
      </c>
      <c r="H30" s="241">
        <f t="shared" si="2"/>
        <v>0</v>
      </c>
      <c r="I30" s="241">
        <f t="shared" si="2"/>
        <v>5817893</v>
      </c>
      <c r="J30" s="242">
        <f t="shared" si="2"/>
        <v>923324</v>
      </c>
      <c r="K30" s="242">
        <f t="shared" si="2"/>
        <v>0</v>
      </c>
      <c r="L30" s="348">
        <f t="shared" si="2"/>
        <v>6741217</v>
      </c>
      <c r="M30" s="185"/>
      <c r="N30" s="186"/>
      <c r="O30" s="202"/>
      <c r="Q30" s="333"/>
    </row>
    <row r="31" spans="1:17" x14ac:dyDescent="0.2">
      <c r="A31" s="243"/>
      <c r="B31" s="243"/>
      <c r="C31" s="243"/>
      <c r="D31" s="243"/>
      <c r="E31" s="186"/>
      <c r="F31" s="186"/>
      <c r="G31" s="186"/>
      <c r="H31" s="186"/>
      <c r="I31" s="186"/>
      <c r="J31" s="186"/>
      <c r="K31" s="186"/>
      <c r="L31" s="186"/>
      <c r="M31" s="186"/>
      <c r="N31" s="136"/>
      <c r="O31" s="136"/>
    </row>
    <row r="32" spans="1:17" x14ac:dyDescent="0.2">
      <c r="A32" s="243"/>
      <c r="B32" s="243"/>
      <c r="C32" s="243"/>
      <c r="D32" s="243"/>
      <c r="E32" s="186"/>
      <c r="F32" s="186"/>
      <c r="G32" s="186"/>
      <c r="H32" s="186"/>
      <c r="I32" s="186"/>
      <c r="J32" s="186"/>
      <c r="K32" s="186"/>
      <c r="L32" s="244"/>
      <c r="M32" s="244"/>
      <c r="N32" s="136"/>
      <c r="O32" s="136"/>
    </row>
    <row r="33" spans="1:15" x14ac:dyDescent="0.2">
      <c r="A33" s="243"/>
      <c r="B33" s="243"/>
      <c r="C33" s="243"/>
      <c r="D33" s="243"/>
      <c r="E33" s="186"/>
      <c r="F33" s="186"/>
      <c r="G33" s="186"/>
      <c r="H33" s="186"/>
      <c r="I33" s="186"/>
      <c r="J33" s="244"/>
      <c r="K33" s="186"/>
      <c r="L33" s="244"/>
      <c r="M33" s="244"/>
      <c r="N33" s="136"/>
      <c r="O33" s="136"/>
    </row>
    <row r="34" spans="1:15" x14ac:dyDescent="0.2">
      <c r="A34" s="134"/>
      <c r="B34" s="134"/>
      <c r="C34" s="134"/>
      <c r="D34" s="134"/>
      <c r="E34" s="136"/>
      <c r="F34" s="136"/>
      <c r="G34" s="136"/>
      <c r="H34" s="136"/>
      <c r="I34" s="136"/>
      <c r="J34" s="245"/>
      <c r="K34" s="136"/>
      <c r="L34" s="136"/>
      <c r="M34" s="136"/>
      <c r="N34" s="136"/>
      <c r="O34" s="136"/>
    </row>
    <row r="35" spans="1:15" x14ac:dyDescent="0.2">
      <c r="A35" s="134"/>
      <c r="B35" s="134"/>
      <c r="C35" s="134"/>
      <c r="D35" s="134"/>
      <c r="E35" s="136"/>
      <c r="F35" s="136"/>
      <c r="G35" s="136"/>
      <c r="H35" s="136"/>
      <c r="I35" s="136"/>
      <c r="J35" s="245"/>
      <c r="K35" s="136"/>
      <c r="L35" s="136"/>
      <c r="M35" s="136"/>
      <c r="N35" s="136"/>
      <c r="O35" s="136"/>
    </row>
    <row r="36" spans="1:15" x14ac:dyDescent="0.2">
      <c r="G36" s="346">
        <v>6</v>
      </c>
    </row>
  </sheetData>
  <mergeCells count="2">
    <mergeCell ref="O7:O8"/>
    <mergeCell ref="A7:B7"/>
  </mergeCells>
  <phoneticPr fontId="3" type="noConversion"/>
  <pageMargins left="0.75" right="0.75" top="1" bottom="1" header="0.5" footer="0.5"/>
  <pageSetup scale="83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workbookViewId="0">
      <selection activeCell="H37" sqref="H37"/>
    </sheetView>
  </sheetViews>
  <sheetFormatPr defaultRowHeight="12.75" x14ac:dyDescent="0.2"/>
  <cols>
    <col min="1" max="1" width="5.7109375" style="387" customWidth="1"/>
    <col min="2" max="2" width="34.42578125" style="387" customWidth="1"/>
    <col min="3" max="3" width="23.7109375" style="387" customWidth="1"/>
    <col min="4" max="4" width="14.5703125" style="387" customWidth="1"/>
    <col min="5" max="5" width="10.85546875" style="387" customWidth="1"/>
    <col min="6" max="6" width="22.7109375" style="388" customWidth="1"/>
    <col min="7" max="10" width="9.140625" style="387"/>
    <col min="11" max="11" width="17.85546875" style="387" customWidth="1"/>
    <col min="12" max="16384" width="9.140625" style="387"/>
  </cols>
  <sheetData>
    <row r="1" spans="1:6" ht="18" x14ac:dyDescent="0.25">
      <c r="B1" s="253" t="s">
        <v>517</v>
      </c>
      <c r="C1" s="254" t="s">
        <v>610</v>
      </c>
    </row>
    <row r="2" spans="1:6" ht="15.75" x14ac:dyDescent="0.25">
      <c r="B2"/>
      <c r="C2" s="255" t="s">
        <v>712</v>
      </c>
      <c r="D2"/>
    </row>
    <row r="3" spans="1:6" x14ac:dyDescent="0.2">
      <c r="B3"/>
      <c r="C3"/>
    </row>
    <row r="4" spans="1:6" x14ac:dyDescent="0.2">
      <c r="B4"/>
      <c r="C4"/>
      <c r="D4"/>
    </row>
    <row r="5" spans="1:6" ht="15.75" x14ac:dyDescent="0.25">
      <c r="B5" s="25" t="s">
        <v>581</v>
      </c>
      <c r="C5"/>
      <c r="D5"/>
    </row>
    <row r="6" spans="1:6" ht="18" x14ac:dyDescent="0.25">
      <c r="B6" s="256" t="s">
        <v>583</v>
      </c>
      <c r="C6"/>
      <c r="D6"/>
    </row>
    <row r="8" spans="1:6" ht="15" x14ac:dyDescent="0.25">
      <c r="A8" s="389" t="s">
        <v>154</v>
      </c>
      <c r="B8" s="390" t="s">
        <v>558</v>
      </c>
      <c r="C8" s="391" t="s">
        <v>559</v>
      </c>
      <c r="D8" s="392" t="s">
        <v>518</v>
      </c>
      <c r="E8" s="390" t="s">
        <v>560</v>
      </c>
      <c r="F8" s="393" t="s">
        <v>561</v>
      </c>
    </row>
    <row r="9" spans="1:6" ht="15" x14ac:dyDescent="0.25">
      <c r="A9" s="394"/>
      <c r="B9" s="395"/>
      <c r="C9" s="396"/>
      <c r="D9" s="396"/>
      <c r="E9" s="396"/>
      <c r="F9" s="396"/>
    </row>
    <row r="10" spans="1:6" ht="15" x14ac:dyDescent="0.25">
      <c r="A10" s="394"/>
      <c r="B10" s="395"/>
      <c r="C10" s="396"/>
      <c r="D10" s="396"/>
      <c r="E10" s="396"/>
      <c r="F10" s="396"/>
    </row>
    <row r="11" spans="1:6" ht="15" x14ac:dyDescent="0.25">
      <c r="A11" s="394"/>
      <c r="B11" s="395"/>
      <c r="C11" s="396"/>
      <c r="D11" s="396"/>
      <c r="E11" s="397"/>
      <c r="F11" s="396"/>
    </row>
    <row r="12" spans="1:6" ht="15" x14ac:dyDescent="0.25">
      <c r="A12" s="394"/>
      <c r="B12" s="398"/>
      <c r="C12" s="396"/>
      <c r="D12" s="396"/>
      <c r="E12" s="397"/>
      <c r="F12" s="396"/>
    </row>
    <row r="13" spans="1:6" ht="15" x14ac:dyDescent="0.25">
      <c r="A13" s="394"/>
      <c r="B13" s="395"/>
      <c r="C13" s="396"/>
      <c r="D13" s="396"/>
      <c r="E13" s="397"/>
      <c r="F13" s="396"/>
    </row>
    <row r="14" spans="1:6" ht="15" x14ac:dyDescent="0.25">
      <c r="A14" s="394"/>
      <c r="B14" s="395"/>
      <c r="C14" s="396"/>
      <c r="D14" s="396"/>
      <c r="E14" s="397"/>
      <c r="F14" s="396"/>
    </row>
    <row r="15" spans="1:6" ht="15" x14ac:dyDescent="0.25">
      <c r="A15" s="394"/>
      <c r="B15" s="395"/>
      <c r="C15" s="396"/>
      <c r="D15" s="396"/>
      <c r="E15" s="397"/>
      <c r="F15" s="396"/>
    </row>
    <row r="16" spans="1:6" ht="15" x14ac:dyDescent="0.25">
      <c r="A16" s="394"/>
      <c r="B16" s="395"/>
      <c r="C16" s="396"/>
      <c r="D16" s="396"/>
      <c r="E16" s="397"/>
      <c r="F16" s="396"/>
    </row>
    <row r="17" spans="1:7" ht="15" x14ac:dyDescent="0.25">
      <c r="A17" s="394"/>
      <c r="B17" s="395"/>
      <c r="C17" s="396"/>
      <c r="D17" s="396"/>
      <c r="E17" s="397"/>
      <c r="F17" s="396"/>
    </row>
    <row r="18" spans="1:7" ht="15.75" thickBot="1" x14ac:dyDescent="0.3">
      <c r="A18" s="394"/>
      <c r="B18" s="398"/>
      <c r="C18" s="396"/>
      <c r="D18" s="396"/>
      <c r="E18" s="397"/>
      <c r="F18" s="396"/>
    </row>
    <row r="19" spans="1:7" ht="17.25" customHeight="1" thickBot="1" x14ac:dyDescent="0.35">
      <c r="A19" s="399"/>
      <c r="B19" s="400"/>
      <c r="C19" s="400"/>
      <c r="D19" s="509" t="s">
        <v>562</v>
      </c>
      <c r="E19" s="509"/>
      <c r="F19" s="401">
        <f>SUM(F9:F18)</f>
        <v>0</v>
      </c>
    </row>
    <row r="21" spans="1:7" ht="20.25" x14ac:dyDescent="0.3">
      <c r="B21"/>
      <c r="C21"/>
      <c r="D21"/>
      <c r="E21" s="258" t="s">
        <v>519</v>
      </c>
      <c r="F21" s="387"/>
      <c r="G21"/>
    </row>
    <row r="22" spans="1:7" x14ac:dyDescent="0.2">
      <c r="B22"/>
      <c r="C22"/>
      <c r="D22"/>
      <c r="E22"/>
      <c r="F22"/>
      <c r="G22"/>
    </row>
    <row r="23" spans="1:7" x14ac:dyDescent="0.2">
      <c r="B23"/>
      <c r="C23"/>
      <c r="D23"/>
      <c r="E23"/>
      <c r="F23"/>
      <c r="G23"/>
    </row>
    <row r="24" spans="1:7" x14ac:dyDescent="0.2">
      <c r="B24" s="259" t="s">
        <v>520</v>
      </c>
      <c r="C24"/>
      <c r="D24"/>
      <c r="E24"/>
      <c r="F24"/>
      <c r="G24"/>
    </row>
    <row r="25" spans="1:7" x14ac:dyDescent="0.2">
      <c r="B25" s="259" t="s">
        <v>521</v>
      </c>
      <c r="C25"/>
      <c r="D25"/>
      <c r="E25"/>
      <c r="F25"/>
      <c r="G25"/>
    </row>
    <row r="32" spans="1:7" x14ac:dyDescent="0.2">
      <c r="C32" s="387">
        <v>7</v>
      </c>
    </row>
  </sheetData>
  <mergeCells count="1">
    <mergeCell ref="D19:E19"/>
  </mergeCells>
  <phoneticPr fontId="3" type="noConversion"/>
  <pageMargins left="0.75" right="0.75" top="1" bottom="1" header="0.5" footer="0.5"/>
  <pageSetup paperSize="9" scale="7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workbookViewId="0">
      <selection activeCell="H37" sqref="H37"/>
    </sheetView>
  </sheetViews>
  <sheetFormatPr defaultRowHeight="12.75" x14ac:dyDescent="0.2"/>
  <cols>
    <col min="1" max="1" width="7.42578125" customWidth="1"/>
    <col min="2" max="2" width="40.85546875" customWidth="1"/>
    <col min="3" max="3" width="17.28515625" customWidth="1"/>
    <col min="4" max="4" width="14.7109375" customWidth="1"/>
    <col min="5" max="5" width="15.28515625" customWidth="1"/>
    <col min="6" max="6" width="17.28515625" customWidth="1"/>
    <col min="11" max="11" width="17.85546875" customWidth="1"/>
  </cols>
  <sheetData>
    <row r="1" spans="1:6" ht="15.75" x14ac:dyDescent="0.25">
      <c r="B1" s="25" t="s">
        <v>581</v>
      </c>
    </row>
    <row r="2" spans="1:6" ht="18" x14ac:dyDescent="0.25">
      <c r="B2" s="256" t="s">
        <v>583</v>
      </c>
    </row>
    <row r="3" spans="1:6" ht="15" x14ac:dyDescent="0.2">
      <c r="B3" s="256"/>
    </row>
    <row r="4" spans="1:6" ht="18" x14ac:dyDescent="0.25">
      <c r="B4" s="337" t="s">
        <v>540</v>
      </c>
      <c r="E4" s="255" t="s">
        <v>712</v>
      </c>
    </row>
    <row r="5" spans="1:6" ht="13.5" thickBot="1" x14ac:dyDescent="0.25"/>
    <row r="6" spans="1:6" ht="15" x14ac:dyDescent="0.2">
      <c r="A6" s="490" t="s">
        <v>154</v>
      </c>
      <c r="B6" s="491"/>
      <c r="C6" s="491"/>
      <c r="D6" s="491"/>
      <c r="E6" s="492"/>
      <c r="F6" s="256"/>
    </row>
    <row r="7" spans="1:6" ht="15.75" thickBot="1" x14ac:dyDescent="0.25">
      <c r="A7" s="493" t="s">
        <v>541</v>
      </c>
      <c r="B7" s="494" t="s">
        <v>542</v>
      </c>
      <c r="C7" s="494" t="s">
        <v>543</v>
      </c>
      <c r="D7" s="494" t="s">
        <v>544</v>
      </c>
      <c r="E7" s="495" t="s">
        <v>545</v>
      </c>
      <c r="F7" s="338"/>
    </row>
    <row r="8" spans="1:6" ht="15.95" customHeight="1" x14ac:dyDescent="0.2">
      <c r="A8" s="488">
        <v>1</v>
      </c>
      <c r="B8" s="489" t="s">
        <v>679</v>
      </c>
      <c r="C8" s="489" t="s">
        <v>669</v>
      </c>
      <c r="D8" s="489" t="s">
        <v>674</v>
      </c>
      <c r="E8" s="498">
        <v>1098640</v>
      </c>
    </row>
    <row r="9" spans="1:6" ht="15.95" customHeight="1" x14ac:dyDescent="0.2">
      <c r="A9" s="257">
        <v>2</v>
      </c>
      <c r="B9" s="257" t="s">
        <v>719</v>
      </c>
      <c r="C9" s="257" t="s">
        <v>669</v>
      </c>
      <c r="D9" s="257" t="s">
        <v>720</v>
      </c>
      <c r="E9" s="499">
        <v>4737881</v>
      </c>
    </row>
    <row r="10" spans="1:6" ht="15.95" customHeight="1" x14ac:dyDescent="0.2">
      <c r="A10" s="257">
        <v>3</v>
      </c>
      <c r="B10" s="257" t="s">
        <v>721</v>
      </c>
      <c r="C10" s="257" t="s">
        <v>669</v>
      </c>
      <c r="D10" s="257" t="s">
        <v>722</v>
      </c>
      <c r="E10" s="499">
        <v>400320</v>
      </c>
    </row>
    <row r="11" spans="1:6" ht="15.95" customHeight="1" x14ac:dyDescent="0.2">
      <c r="A11" s="257"/>
      <c r="B11" s="257"/>
      <c r="C11" s="257"/>
      <c r="D11" s="257"/>
      <c r="E11" s="487"/>
    </row>
    <row r="12" spans="1:6" ht="15.95" customHeight="1" x14ac:dyDescent="0.2">
      <c r="A12" s="257"/>
      <c r="B12" s="257"/>
      <c r="C12" s="257"/>
      <c r="D12" s="257"/>
      <c r="E12" s="487"/>
    </row>
    <row r="13" spans="1:6" ht="15.95" customHeight="1" x14ac:dyDescent="0.2">
      <c r="A13" s="257"/>
      <c r="B13" s="257"/>
      <c r="C13" s="257"/>
      <c r="D13" s="257"/>
      <c r="E13" s="487"/>
    </row>
    <row r="14" spans="1:6" ht="15.95" customHeight="1" x14ac:dyDescent="0.2">
      <c r="A14" s="257"/>
      <c r="B14" s="257"/>
      <c r="C14" s="257"/>
      <c r="D14" s="257"/>
      <c r="E14" s="487"/>
    </row>
    <row r="15" spans="1:6" ht="15.95" customHeight="1" x14ac:dyDescent="0.2">
      <c r="A15" s="257"/>
      <c r="B15" s="257"/>
      <c r="C15" s="257"/>
      <c r="D15" s="257"/>
      <c r="E15" s="487"/>
    </row>
    <row r="16" spans="1:6" ht="15.95" customHeight="1" x14ac:dyDescent="0.2">
      <c r="A16" s="257"/>
      <c r="B16" s="257"/>
      <c r="C16" s="257"/>
      <c r="D16" s="257"/>
      <c r="E16" s="487"/>
    </row>
    <row r="17" spans="1:5" ht="15.95" customHeight="1" x14ac:dyDescent="0.2">
      <c r="A17" s="257"/>
      <c r="B17" s="257"/>
      <c r="C17" s="257"/>
      <c r="D17" s="257"/>
      <c r="E17" s="487"/>
    </row>
    <row r="18" spans="1:5" ht="15.95" customHeight="1" x14ac:dyDescent="0.2">
      <c r="A18" s="257"/>
      <c r="B18" s="257"/>
      <c r="C18" s="257"/>
      <c r="D18" s="257"/>
      <c r="E18" s="487"/>
    </row>
    <row r="19" spans="1:5" ht="15.95" customHeight="1" x14ac:dyDescent="0.2">
      <c r="A19" s="257"/>
      <c r="B19" s="257"/>
      <c r="C19" s="257"/>
      <c r="D19" s="257"/>
      <c r="E19" s="487"/>
    </row>
    <row r="20" spans="1:5" ht="15.95" customHeight="1" x14ac:dyDescent="0.2">
      <c r="A20" s="257"/>
      <c r="B20" s="257"/>
      <c r="C20" s="257"/>
      <c r="D20" s="257"/>
      <c r="E20" s="487"/>
    </row>
    <row r="21" spans="1:5" ht="15.95" customHeight="1" thickBot="1" x14ac:dyDescent="0.25">
      <c r="A21" s="257"/>
      <c r="B21" s="257"/>
      <c r="C21" s="257"/>
      <c r="D21" s="257"/>
      <c r="E21" s="487"/>
    </row>
    <row r="22" spans="1:5" ht="15.95" customHeight="1" thickBot="1" x14ac:dyDescent="0.25">
      <c r="A22" s="340"/>
      <c r="B22" s="341"/>
      <c r="C22" s="341"/>
      <c r="D22" s="341"/>
      <c r="E22" s="342">
        <f>SUM(E8:E21)</f>
        <v>6236841</v>
      </c>
    </row>
    <row r="24" spans="1:5" ht="15.75" x14ac:dyDescent="0.25">
      <c r="B24" s="334" t="s">
        <v>546</v>
      </c>
      <c r="C24" s="256"/>
      <c r="D24" s="256"/>
    </row>
    <row r="26" spans="1:5" ht="15" x14ac:dyDescent="0.2">
      <c r="B26" s="339"/>
      <c r="C26" s="256"/>
    </row>
    <row r="31" spans="1:5" x14ac:dyDescent="0.2">
      <c r="C31" s="285">
        <v>8</v>
      </c>
    </row>
  </sheetData>
  <phoneticPr fontId="3" type="noConversion"/>
  <pageMargins left="0.75" right="0.75" top="1" bottom="1" header="0.5" footer="0.5"/>
  <pageSetup paperSize="9" scale="9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workbookViewId="0">
      <selection activeCell="H37" sqref="H37"/>
    </sheetView>
  </sheetViews>
  <sheetFormatPr defaultRowHeight="12.75" x14ac:dyDescent="0.2"/>
  <cols>
    <col min="1" max="1" width="4.7109375" customWidth="1"/>
    <col min="2" max="2" width="32.7109375" customWidth="1"/>
    <col min="3" max="3" width="12.85546875" customWidth="1"/>
    <col min="4" max="4" width="10.42578125" customWidth="1"/>
    <col min="5" max="5" width="15.5703125" customWidth="1"/>
    <col min="6" max="6" width="17.42578125" customWidth="1"/>
    <col min="9" max="9" width="19" customWidth="1"/>
  </cols>
  <sheetData>
    <row r="1" spans="1:6" ht="15.75" x14ac:dyDescent="0.25">
      <c r="A1" s="335" t="s">
        <v>564</v>
      </c>
      <c r="F1" s="256"/>
    </row>
    <row r="2" spans="1:6" ht="15.75" x14ac:dyDescent="0.25">
      <c r="A2" s="335"/>
      <c r="F2" s="256"/>
    </row>
    <row r="3" spans="1:6" ht="15.75" x14ac:dyDescent="0.25">
      <c r="A3" s="25" t="s">
        <v>581</v>
      </c>
      <c r="F3" s="256"/>
    </row>
    <row r="4" spans="1:6" ht="18" x14ac:dyDescent="0.25">
      <c r="A4" s="335" t="s">
        <v>615</v>
      </c>
      <c r="F4" s="256"/>
    </row>
    <row r="5" spans="1:6" ht="15.75" x14ac:dyDescent="0.25">
      <c r="A5" s="335"/>
      <c r="F5" s="256"/>
    </row>
    <row r="6" spans="1:6" ht="15.75" thickBot="1" x14ac:dyDescent="0.25">
      <c r="B6" s="256"/>
      <c r="C6" s="256"/>
      <c r="D6" s="256"/>
      <c r="E6" s="256"/>
      <c r="F6" s="256"/>
    </row>
    <row r="7" spans="1:6" ht="15.75" thickBot="1" x14ac:dyDescent="0.25">
      <c r="A7" s="481" t="s">
        <v>154</v>
      </c>
      <c r="B7" s="482" t="s">
        <v>451</v>
      </c>
      <c r="C7" s="482" t="s">
        <v>560</v>
      </c>
      <c r="D7" s="482" t="s">
        <v>518</v>
      </c>
      <c r="E7" s="482" t="s">
        <v>612</v>
      </c>
      <c r="F7" s="483" t="s">
        <v>569</v>
      </c>
    </row>
    <row r="8" spans="1:6" ht="15" x14ac:dyDescent="0.2">
      <c r="A8" s="427">
        <v>1</v>
      </c>
      <c r="B8" s="428" t="s">
        <v>611</v>
      </c>
      <c r="C8" s="428" t="s">
        <v>613</v>
      </c>
      <c r="D8" s="429">
        <v>1</v>
      </c>
      <c r="E8" s="429">
        <v>125000</v>
      </c>
      <c r="F8" s="484">
        <f t="shared" ref="F8:F21" si="0">+D8*E8</f>
        <v>125000</v>
      </c>
    </row>
    <row r="9" spans="1:6" ht="15" x14ac:dyDescent="0.2">
      <c r="A9" s="430">
        <v>2</v>
      </c>
      <c r="B9" s="408" t="s">
        <v>565</v>
      </c>
      <c r="C9" s="408" t="s">
        <v>613</v>
      </c>
      <c r="D9" s="426">
        <v>1</v>
      </c>
      <c r="E9" s="426">
        <v>44083</v>
      </c>
      <c r="F9" s="485">
        <f t="shared" si="0"/>
        <v>44083</v>
      </c>
    </row>
    <row r="10" spans="1:6" ht="15" x14ac:dyDescent="0.2">
      <c r="A10" s="430">
        <v>3</v>
      </c>
      <c r="B10" s="408" t="s">
        <v>614</v>
      </c>
      <c r="C10" s="408" t="s">
        <v>613</v>
      </c>
      <c r="D10" s="426">
        <v>2</v>
      </c>
      <c r="E10" s="426">
        <v>49166.5</v>
      </c>
      <c r="F10" s="485">
        <f t="shared" si="0"/>
        <v>98333</v>
      </c>
    </row>
    <row r="11" spans="1:6" ht="15" x14ac:dyDescent="0.2">
      <c r="A11" s="430">
        <v>4</v>
      </c>
      <c r="B11" s="408" t="s">
        <v>614</v>
      </c>
      <c r="C11" s="408" t="s">
        <v>613</v>
      </c>
      <c r="D11" s="426">
        <v>1</v>
      </c>
      <c r="E11" s="426">
        <v>50000</v>
      </c>
      <c r="F11" s="485">
        <f t="shared" si="0"/>
        <v>50000</v>
      </c>
    </row>
    <row r="12" spans="1:6" ht="15" x14ac:dyDescent="0.2">
      <c r="A12" s="430">
        <v>5</v>
      </c>
      <c r="B12" s="408" t="s">
        <v>675</v>
      </c>
      <c r="C12" s="408" t="s">
        <v>613</v>
      </c>
      <c r="D12" s="426">
        <v>1</v>
      </c>
      <c r="E12" s="426">
        <v>81667</v>
      </c>
      <c r="F12" s="485">
        <f t="shared" si="0"/>
        <v>81667</v>
      </c>
    </row>
    <row r="13" spans="1:6" ht="15" x14ac:dyDescent="0.2">
      <c r="A13" s="430">
        <v>6</v>
      </c>
      <c r="B13" s="408" t="s">
        <v>678</v>
      </c>
      <c r="C13" s="408" t="s">
        <v>613</v>
      </c>
      <c r="D13" s="426">
        <v>1</v>
      </c>
      <c r="E13" s="426">
        <v>1098640</v>
      </c>
      <c r="F13" s="485">
        <f t="shared" si="0"/>
        <v>1098640</v>
      </c>
    </row>
    <row r="14" spans="1:6" ht="15" x14ac:dyDescent="0.2">
      <c r="A14" s="430">
        <v>7</v>
      </c>
      <c r="B14" s="496" t="s">
        <v>719</v>
      </c>
      <c r="C14" s="408" t="s">
        <v>613</v>
      </c>
      <c r="D14" s="426">
        <v>1</v>
      </c>
      <c r="E14" s="497">
        <v>4737881</v>
      </c>
      <c r="F14" s="485">
        <f t="shared" si="0"/>
        <v>4737881</v>
      </c>
    </row>
    <row r="15" spans="1:6" ht="15" x14ac:dyDescent="0.2">
      <c r="A15" s="430">
        <v>8</v>
      </c>
      <c r="B15" s="496" t="s">
        <v>721</v>
      </c>
      <c r="C15" s="408" t="s">
        <v>613</v>
      </c>
      <c r="D15" s="426">
        <v>1</v>
      </c>
      <c r="E15" s="497">
        <v>400320</v>
      </c>
      <c r="F15" s="485">
        <f t="shared" si="0"/>
        <v>400320</v>
      </c>
    </row>
    <row r="16" spans="1:6" ht="15" x14ac:dyDescent="0.2">
      <c r="A16" s="430">
        <v>9</v>
      </c>
      <c r="B16" s="408" t="s">
        <v>676</v>
      </c>
      <c r="C16" s="408" t="s">
        <v>613</v>
      </c>
      <c r="D16" s="426">
        <v>1</v>
      </c>
      <c r="E16" s="426">
        <v>31185</v>
      </c>
      <c r="F16" s="485">
        <f t="shared" si="0"/>
        <v>31185</v>
      </c>
    </row>
    <row r="17" spans="1:6" ht="15" x14ac:dyDescent="0.2">
      <c r="A17" s="430">
        <v>10</v>
      </c>
      <c r="B17" s="408" t="s">
        <v>614</v>
      </c>
      <c r="C17" s="408" t="s">
        <v>613</v>
      </c>
      <c r="D17" s="426">
        <v>4</v>
      </c>
      <c r="E17" s="426">
        <v>46333</v>
      </c>
      <c r="F17" s="485">
        <f t="shared" si="0"/>
        <v>185332</v>
      </c>
    </row>
    <row r="18" spans="1:6" ht="15" x14ac:dyDescent="0.2">
      <c r="A18" s="430">
        <v>11</v>
      </c>
      <c r="B18" s="408" t="s">
        <v>723</v>
      </c>
      <c r="C18" s="408" t="s">
        <v>613</v>
      </c>
      <c r="D18" s="426">
        <v>1</v>
      </c>
      <c r="E18" s="426">
        <v>30225</v>
      </c>
      <c r="F18" s="485">
        <f t="shared" si="0"/>
        <v>30225</v>
      </c>
    </row>
    <row r="19" spans="1:6" ht="15" x14ac:dyDescent="0.2">
      <c r="A19" s="430">
        <v>12</v>
      </c>
      <c r="B19" s="408" t="s">
        <v>677</v>
      </c>
      <c r="C19" s="408" t="s">
        <v>613</v>
      </c>
      <c r="D19" s="426">
        <v>1</v>
      </c>
      <c r="E19" s="426">
        <v>11585</v>
      </c>
      <c r="F19" s="485">
        <f t="shared" si="0"/>
        <v>11585</v>
      </c>
    </row>
    <row r="20" spans="1:6" ht="15" x14ac:dyDescent="0.2">
      <c r="A20" s="430">
        <v>13</v>
      </c>
      <c r="B20" s="408" t="s">
        <v>688</v>
      </c>
      <c r="C20" s="408" t="s">
        <v>613</v>
      </c>
      <c r="D20" s="426">
        <v>1</v>
      </c>
      <c r="E20" s="426">
        <v>567500</v>
      </c>
      <c r="F20" s="485">
        <f t="shared" si="0"/>
        <v>567500</v>
      </c>
    </row>
    <row r="21" spans="1:6" ht="15.75" thickBot="1" x14ac:dyDescent="0.25">
      <c r="A21" s="430">
        <v>14</v>
      </c>
      <c r="B21" s="431" t="s">
        <v>689</v>
      </c>
      <c r="C21" s="431" t="s">
        <v>690</v>
      </c>
      <c r="D21" s="432">
        <v>1</v>
      </c>
      <c r="E21" s="432">
        <v>351333</v>
      </c>
      <c r="F21" s="486">
        <f t="shared" si="0"/>
        <v>351333</v>
      </c>
    </row>
    <row r="22" spans="1:6" ht="16.5" thickBot="1" x14ac:dyDescent="0.3">
      <c r="A22" s="475"/>
      <c r="B22" s="476" t="s">
        <v>568</v>
      </c>
      <c r="C22" s="476"/>
      <c r="D22" s="477"/>
      <c r="E22" s="477"/>
      <c r="F22" s="478">
        <f>SUM(F8:F21)</f>
        <v>7813084</v>
      </c>
    </row>
    <row r="25" spans="1:6" ht="15.75" x14ac:dyDescent="0.25">
      <c r="C25" s="334"/>
      <c r="D25" s="334"/>
      <c r="E25" s="334" t="s">
        <v>546</v>
      </c>
    </row>
    <row r="36" spans="4:4" x14ac:dyDescent="0.2">
      <c r="D36" s="285">
        <v>9</v>
      </c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mallra</vt:lpstr>
      <vt:lpstr>inv auto</vt:lpstr>
      <vt:lpstr>aktive fikse</vt:lpstr>
      <vt:lpstr>aktv udhez</vt:lpstr>
      <vt:lpstr>BA</vt:lpstr>
      <vt:lpstr>A-Sh BA</vt:lpstr>
      <vt:lpstr>tjera</vt:lpstr>
      <vt:lpstr>fdp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Ervin</cp:lastModifiedBy>
  <cp:lastPrinted>2019-04-01T12:54:33Z</cp:lastPrinted>
  <dcterms:created xsi:type="dcterms:W3CDTF">2008-12-17T10:29:05Z</dcterms:created>
  <dcterms:modified xsi:type="dcterms:W3CDTF">2019-07-28T13:51:05Z</dcterms:modified>
</cp:coreProperties>
</file>