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1640" tabRatio="823" activeTab="3"/>
  </bookViews>
  <sheets>
    <sheet name="Kop." sheetId="1" r:id="rId1"/>
    <sheet name="Aktivet" sheetId="2" r:id="rId2"/>
    <sheet name="Pasivet" sheetId="3" r:id="rId3"/>
    <sheet name="PASH" sheetId="4" r:id="rId4"/>
    <sheet name="Fluksi " sheetId="5" r:id="rId5"/>
    <sheet name="Kapitali" sheetId="6" r:id="rId6"/>
    <sheet name="Shenimet Spjeguse" sheetId="7" r:id="rId7"/>
    <sheet name="aam" sheetId="8" r:id="rId8"/>
    <sheet name="INV AAM" sheetId="9" r:id="rId9"/>
  </sheets>
  <externalReferences>
    <externalReference r:id="rId12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7">'aam'!$A$1:$G$49</definedName>
    <definedName name="_xlnm.Print_Area" localSheetId="1">'Aktivet'!$A$1:$G$56</definedName>
    <definedName name="_xlnm.Print_Area" localSheetId="4">'Fluksi '!$A$2:$E$45</definedName>
    <definedName name="_xlnm.Print_Area" localSheetId="8">'INV AAM'!#REF!</definedName>
    <definedName name="_xlnm.Print_Area" localSheetId="5">'Kapitali'!$A$1:$M$27</definedName>
    <definedName name="_xlnm.Print_Area" localSheetId="0">'Kop.'!$A$2:$J$53</definedName>
    <definedName name="_xlnm.Print_Area" localSheetId="3">'PASH'!$B$2:$H$62</definedName>
    <definedName name="_xlnm.Print_Area" localSheetId="2">'Pasivet'!$B$3:$H$51</definedName>
    <definedName name="_xlnm.Print_Area" localSheetId="6">'Shenimet Spjeguse'!$B$1:$K$328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G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ka zmadhim kapitali </t>
        </r>
      </text>
    </comment>
  </commentList>
</comments>
</file>

<file path=xl/sharedStrings.xml><?xml version="1.0" encoding="utf-8"?>
<sst xmlns="http://schemas.openxmlformats.org/spreadsheetml/2006/main" count="889" uniqueCount="561">
  <si>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</si>
  <si>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</si>
  <si>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</si>
  <si>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</si>
  <si>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</si>
  <si>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</si>
  <si>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</si>
  <si>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</si>
  <si>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</si>
  <si>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</si>
  <si>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</si>
  <si>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</si>
  <si>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(   ________________  )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</si>
  <si>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</si>
  <si>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</si>
  <si>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</si>
  <si>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</si>
  <si>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</si>
  <si>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</si>
  <si>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</si>
  <si>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</si>
  <si>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</si>
  <si>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</si>
  <si>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</si>
  <si>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</si>
  <si>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</si>
  <si>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</si>
  <si>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Shënimet qe shpjegojnë zërat e ndryshëm të pasqyrave financiare</t>
  </si>
  <si>
    <t>Totali</t>
  </si>
  <si>
    <t>C</t>
  </si>
  <si>
    <t>Shënime të tjera shpjegeuse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</si>
  <si>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</si>
  <si>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</si>
  <si>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</si>
  <si>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</si>
  <si>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</si>
  <si>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</si>
  <si>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</si>
  <si>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</si>
  <si>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</si>
  <si>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</si>
  <si>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</si>
  <si>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</si>
  <si>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</si>
  <si>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</si>
  <si>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</si>
  <si>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</si>
  <si>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</si>
  <si>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</si>
  <si>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</si>
  <si>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</si>
  <si>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</si>
  <si>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</si>
  <si>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</si>
  <si>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</si>
  <si>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</si>
  <si>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</si>
  <si>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</si>
  <si>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</si>
  <si>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</si>
  <si>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</si>
  <si>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</si>
  <si>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</si>
  <si>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</si>
  <si>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</si>
  <si>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</si>
  <si>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</si>
  <si>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</si>
  <si>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</si>
  <si>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</si>
  <si>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</si>
  <si>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</si>
  <si>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</si>
  <si>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</si>
  <si>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</si>
  <si>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</si>
  <si>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</si>
  <si>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</si>
  <si>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</si>
  <si>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</si>
  <si>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</si>
  <si>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</si>
  <si>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</si>
  <si>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</si>
  <si>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</si>
  <si>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</si>
  <si>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</si>
  <si>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</si>
  <si>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</si>
  <si>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</si>
  <si>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</si>
  <si>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</si>
  <si>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</si>
  <si>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</si>
  <si>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</si>
  <si>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</si>
  <si>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</si>
  <si>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</si>
  <si>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</si>
  <si>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</si>
  <si>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</si>
  <si>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</si>
  <si>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</si>
  <si>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</si>
  <si>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</si>
  <si>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</si>
  <si>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</si>
  <si>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</si>
  <si>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</si>
  <si>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</si>
  <si>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</si>
  <si>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</si>
  <si>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</si>
  <si>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</si>
  <si>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</si>
  <si>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</si>
  <si>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</si>
  <si>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</si>
  <si>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</si>
  <si>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</si>
  <si>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</si>
  <si>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</si>
  <si>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</si>
  <si>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</si>
  <si>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</si>
  <si>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</si>
  <si>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</si>
  <si>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</si>
  <si>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</si>
  <si>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</si>
  <si>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</si>
  <si>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</si>
  <si>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</si>
  <si>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</si>
  <si>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</si>
  <si>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</si>
  <si>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</si>
  <si>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</si>
  <si>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</si>
  <si>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</si>
  <si>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</si>
  <si>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</si>
  <si>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</si>
  <si>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</si>
  <si>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</si>
  <si>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</si>
  <si>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</si>
  <si>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</si>
  <si>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</si>
  <si>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</si>
  <si>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</si>
  <si>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</si>
  <si>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</si>
  <si>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</si>
  <si>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</si>
  <si>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</si>
  <si>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</si>
  <si>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</si>
  <si>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</si>
  <si>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</si>
  <si>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</si>
  <si>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</si>
  <si>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</si>
  <si>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</si>
  <si>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</si>
  <si>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</si>
  <si>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</si>
  <si>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</si>
  <si>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</si>
  <si>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</si>
  <si>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</si>
  <si>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</si>
  <si>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</si>
  <si>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</si>
  <si>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</si>
  <si>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</si>
  <si>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</si>
  <si>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</si>
  <si>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</si>
  <si>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</si>
  <si>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</si>
  <si>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</si>
  <si>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</si>
  <si>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</si>
  <si>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</si>
  <si>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</si>
  <si>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</si>
  <si>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</si>
  <si>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</si>
  <si>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</si>
  <si>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</si>
  <si>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</si>
  <si>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</si>
  <si>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</si>
  <si>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</si>
  <si>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</si>
  <si>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</si>
  <si>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</si>
  <si>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</si>
  <si>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</si>
  <si>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</si>
  <si>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</si>
  <si>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</si>
  <si>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</si>
  <si>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</si>
  <si>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</si>
  <si>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</si>
  <si>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</si>
  <si>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</si>
  <si>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</si>
  <si>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</si>
  <si>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</si>
  <si>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e Pozicionit Financiar (Bilanci)</t>
  </si>
  <si>
    <t>Pozicioni financiar më 31 dhjetor 2015</t>
  </si>
  <si>
    <t>Pozicioni financiar i rideklaruar më 1 janar 2015</t>
  </si>
  <si>
    <t>Mjete monetare dhe ekuivalentë të mjeteve monetare më 1 janar 2015</t>
  </si>
  <si>
    <t>Mjete monetare dhe ekuivalentë të mjeteve monetare më 31 dhjetor 2015</t>
  </si>
  <si>
    <t>Emertimi</t>
  </si>
  <si>
    <t>Amortizimi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</si>
  <si>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</si>
  <si>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</si>
  <si>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</si>
  <si>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</si>
  <si>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</si>
  <si>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</si>
  <si>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</si>
  <si>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</si>
  <si>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</si>
  <si>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</si>
  <si>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</si>
  <si>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</si>
  <si>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</si>
  <si>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</si>
  <si>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</si>
  <si>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</si>
  <si>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</si>
  <si>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</si>
  <si>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</si>
  <si>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</si>
  <si>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</si>
  <si>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</si>
  <si>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</si>
  <si>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</si>
  <si>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</si>
  <si>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</si>
  <si>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</si>
  <si>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</si>
  <si>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</si>
  <si>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</si>
  <si>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</si>
  <si>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</si>
  <si>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Shenimet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</si>
  <si>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</si>
  <si>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</si>
  <si>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</si>
  <si>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</si>
  <si>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</si>
  <si>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 xml:space="preserve">     Fatura te pa likuiduara nen nje vit</t>
  </si>
  <si>
    <t xml:space="preserve">     Fatura te pa likuiduara mbi nje vit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</si>
  <si>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</si>
  <si>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</si>
  <si>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 xml:space="preserve">     Zhvleresimi i te drejtave dhe detyrimeve</t>
  </si>
  <si>
    <t xml:space="preserve">Inventaret analitike bashkangjitur 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</si>
  <si>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</si>
  <si>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</si>
  <si>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</si>
  <si>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</si>
  <si>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</si>
  <si>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</si>
  <si>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Aktivet e blera gjate vitit</t>
  </si>
  <si>
    <t>Aktivet nga Egzistenca e kontrollit efektiv (SKK 1; 17,18,79,80) gjate vitit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</si>
  <si>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</si>
  <si>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</si>
  <si>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</si>
  <si>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</si>
  <si>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</si>
  <si>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</si>
  <si>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</si>
  <si>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</si>
  <si>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</si>
  <si>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</si>
  <si>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</si>
  <si>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</si>
  <si>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</si>
  <si>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</si>
  <si>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</si>
  <si>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</si>
  <si>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</si>
  <si>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</si>
  <si>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</si>
  <si>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</si>
  <si>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</si>
  <si>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</si>
  <si>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</si>
  <si>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</si>
  <si>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</si>
  <si>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</si>
  <si>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</si>
  <si>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</si>
  <si>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</si>
  <si>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</si>
  <si>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</si>
  <si>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</si>
  <si>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</si>
  <si>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</si>
  <si>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</si>
  <si>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Aktive te tjera financiare afatshkurtra</t>
  </si>
  <si>
    <t>Pasqyra   e   te   Ardhurave   dhe   Shpenzimeve</t>
  </si>
  <si>
    <t>Pasqyra   e   Fluksit   Monetar  -  Metoda  Indirekte</t>
  </si>
  <si>
    <t>Mjetet monetare ne fillim te periudhes kontabel</t>
  </si>
  <si>
    <t xml:space="preserve">Ne fluksin monetar kane ndikuar </t>
  </si>
  <si>
    <t>Pozitivisht :</t>
  </si>
  <si>
    <t>Amortizimin</t>
  </si>
  <si>
    <t>Rritje/renie ne tepricen e detyrimeve ,per tu paguar</t>
  </si>
  <si>
    <t>Shuma e Faktoreve me influence Pozitive</t>
  </si>
  <si>
    <t>dhe Negativisht :</t>
  </si>
  <si>
    <t xml:space="preserve">Rritje/renie ne tepricen e kerkesave te arketueshme </t>
  </si>
  <si>
    <t>Blerja e aktiveve afatgjata materiale</t>
  </si>
  <si>
    <t>Shuma e Faktoreve me influence Negative</t>
  </si>
  <si>
    <t>Te ardhurat perbehen</t>
  </si>
  <si>
    <t>Llogarite jashte bilancit</t>
  </si>
  <si>
    <t xml:space="preserve">Pasqyra  e  Ndryshimeve  ne  Kapital  </t>
  </si>
  <si>
    <t>Shpenzimet perbehen nga</t>
  </si>
  <si>
    <t>Rivleresime</t>
  </si>
  <si>
    <t>TIRANE</t>
  </si>
  <si>
    <t>PO</t>
  </si>
  <si>
    <t>LEKE</t>
  </si>
  <si>
    <t>BILANCI</t>
  </si>
  <si>
    <t>LEK</t>
  </si>
  <si>
    <t>Komisjone bankare (llog 628)</t>
  </si>
  <si>
    <t>Dividente te paguar</t>
  </si>
  <si>
    <t>Gjendja e Mj.Monetare me 31.12.2015</t>
  </si>
  <si>
    <t>Fitimi  neto</t>
  </si>
  <si>
    <t>cash flow</t>
  </si>
  <si>
    <t>Fitimi (humbja) neto e vitit 2014</t>
  </si>
  <si>
    <t>Shperndarje dividenti</t>
  </si>
  <si>
    <t>Fitimi qe bartet nga viti I kaluar</t>
  </si>
  <si>
    <t>Inventar i rodhime në proces dhe gjysëmprodukte</t>
  </si>
  <si>
    <t>Subvencione te shfrytezimit</t>
  </si>
  <si>
    <t>LLOGARI JASHT BILANCIT</t>
  </si>
  <si>
    <t>Amortizimi vjetor</t>
  </si>
  <si>
    <t>Shpenzime taksa vendore(llog 634)</t>
  </si>
  <si>
    <t>Humbja ushtrimit</t>
  </si>
  <si>
    <t>Rritje e gjendjes inventareve</t>
  </si>
  <si>
    <t>periudhes raportuese dhe qe ka  korigjim nuk ka.</t>
  </si>
  <si>
    <t>Gabime materiale te ndodhura ne periudhat kontabel te mepareshme te konstatuara gjate</t>
  </si>
  <si>
    <t>Humbje/fitimi I vitit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</si>
  <si>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</si>
  <si>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</si>
  <si>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</si>
  <si>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</si>
  <si>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</si>
  <si>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</si>
  <si>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</si>
  <si>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</si>
  <si>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</si>
  <si>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</si>
  <si>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Aktive te shitura gjate vitit</t>
  </si>
  <si>
    <t>Debitore kreditore tjere (ortake)</t>
  </si>
  <si>
    <t>ndryshimi gjendjes</t>
  </si>
  <si>
    <t>Qera</t>
  </si>
  <si>
    <t>Mirembajtje, riparime pajisjesh</t>
  </si>
  <si>
    <t>Sigurime</t>
  </si>
  <si>
    <t>Te tjera sherbime</t>
  </si>
  <si>
    <t>Shpenzime postare, telekomunikacioni,interneti</t>
  </si>
  <si>
    <t>Gjoba etj</t>
  </si>
  <si>
    <t>Në shpenzimet e pazbritëshme  përfshihen zërat e mëposhtëm:</t>
  </si>
  <si>
    <t>Gjoba kamatvonesa</t>
  </si>
  <si>
    <t>Renje e gjendjes inventareve</t>
  </si>
  <si>
    <t>ska</t>
  </si>
  <si>
    <t>NBG</t>
  </si>
  <si>
    <t>EURO</t>
  </si>
  <si>
    <t>BKT</t>
  </si>
  <si>
    <t>RFZ</t>
  </si>
  <si>
    <t>USD</t>
  </si>
  <si>
    <t>(diferenca konvertimi)</t>
  </si>
  <si>
    <t>Administratori</t>
  </si>
  <si>
    <t>Shpenzime të tjera financiare(DIF KONVERTIMI)</t>
  </si>
  <si>
    <t>Shpenzime të tjera financiare (KAMAT VONESA)</t>
  </si>
  <si>
    <t>RAIFAISEN</t>
  </si>
  <si>
    <t>CREDINS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</si>
  <si>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</si>
  <si>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</si>
  <si>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</si>
  <si>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</si>
  <si>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</si>
  <si>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</si>
  <si>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</si>
  <si>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</si>
  <si>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</si>
  <si>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Zhvlerësim i të drejtave dhe detyrimeve (i detajuar per çdo ze si me siper)</t>
  </si>
  <si>
    <t>(DOGANA TIRANE)</t>
  </si>
  <si>
    <t>BANKA CREDINS LINJE KREDIE 55.000.000</t>
  </si>
  <si>
    <t>BANKA CREDINS LINJE KREDIE 239.880.000</t>
  </si>
  <si>
    <t>BANKA CREDINS KREDIA 1.800.000 EURO</t>
  </si>
  <si>
    <t>ne leke)</t>
  </si>
  <si>
    <t>(kete vit drejtimi ka cmuar te kaloje ne kete llogari dif ekonvertimit te kredise te kthyer nga usd</t>
  </si>
  <si>
    <t>Shitje produkti gatshem</t>
  </si>
  <si>
    <t>Shitje mallrash (grure)</t>
  </si>
  <si>
    <t>Shitje materialesh</t>
  </si>
  <si>
    <t>Blerje mallra</t>
  </si>
  <si>
    <t>Blerje lende e pare, amb dhe djegse</t>
  </si>
  <si>
    <t>Transport</t>
  </si>
  <si>
    <t>Akcizz</t>
  </si>
  <si>
    <t>Kamat vonesa</t>
  </si>
  <si>
    <t>Shpenzimet per interesa per kredi mbi 4 fishin e kapitaleve</t>
  </si>
  <si>
    <t>kamat vonesa shlyerjekredie</t>
  </si>
  <si>
    <t>Rritja/ulje e kapitalit aksioner</t>
  </si>
  <si>
    <t>Shoqeria vazhdon te jete ne gjygj per te kundershtuar procesin e falimentimit te kerkuar nga D Rajonale Tatimeve</t>
  </si>
  <si>
    <t>FDP</t>
  </si>
  <si>
    <t>shitjet 2015</t>
  </si>
  <si>
    <t xml:space="preserve">Shitje </t>
  </si>
  <si>
    <t>Tvsh</t>
  </si>
  <si>
    <t>e perjashtura</t>
  </si>
  <si>
    <t>te taueshme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</si>
  <si>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</si>
  <si>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</si>
  <si>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</si>
  <si>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</si>
  <si>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</si>
  <si>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</si>
  <si>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</si>
  <si>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</si>
  <si>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</si>
  <si>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</si>
  <si>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</si>
  <si>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</si>
  <si>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TOTALI FDP</t>
  </si>
  <si>
    <t>DIFERENCA</t>
  </si>
  <si>
    <t>RAKORDIMI ME TATIMET</t>
  </si>
  <si>
    <t>SHITJET</t>
  </si>
  <si>
    <t>BLERJET</t>
  </si>
  <si>
    <t>MUAJTE</t>
  </si>
  <si>
    <t>RUBRIKA</t>
  </si>
  <si>
    <t>VITIT</t>
  </si>
  <si>
    <t xml:space="preserve">Blerje te </t>
  </si>
  <si>
    <t>Importe(Blerje)</t>
  </si>
  <si>
    <t>tvsh importe</t>
  </si>
  <si>
    <t>Bl.bren.vend</t>
  </si>
  <si>
    <t>TVSH bl.bren</t>
  </si>
  <si>
    <t>Perjashtuara</t>
  </si>
  <si>
    <t>JANAR</t>
  </si>
  <si>
    <t>SHKURT</t>
  </si>
  <si>
    <t>MARS</t>
  </si>
  <si>
    <t>PRILL</t>
  </si>
  <si>
    <t>MAJ</t>
  </si>
  <si>
    <t>QERSHOR</t>
  </si>
  <si>
    <t>KORRIK</t>
  </si>
  <si>
    <t xml:space="preserve">GUSHTE </t>
  </si>
  <si>
    <t>SHTATOR</t>
  </si>
  <si>
    <t>TETOR</t>
  </si>
  <si>
    <t>NENTOR</t>
  </si>
  <si>
    <t xml:space="preserve">DHJETOR </t>
  </si>
  <si>
    <t>T O T A L I</t>
  </si>
  <si>
    <t>totali fdp</t>
  </si>
  <si>
    <t>zbritet blerja e AAM</t>
  </si>
  <si>
    <t>shtohet ndryshimi gjendjeve</t>
  </si>
  <si>
    <t>totali deklarimeve</t>
  </si>
  <si>
    <t>Bilanci</t>
  </si>
  <si>
    <t>te tjera</t>
  </si>
  <si>
    <t>zbriten zerat pa deklarim</t>
  </si>
  <si>
    <t>komisjonet bankare</t>
  </si>
  <si>
    <t>taksa vendore</t>
  </si>
  <si>
    <t>gjoba</t>
  </si>
  <si>
    <t>total bilanci</t>
  </si>
  <si>
    <t>diferenca me pak bilanc</t>
  </si>
  <si>
    <t>Referencat dogane</t>
  </si>
  <si>
    <t>shpenzimet për t'u paguar tek njësitë(INTERESA KREDIE)</t>
  </si>
  <si>
    <t xml:space="preserve">Shpenzime te pazbriteshme </t>
  </si>
  <si>
    <t>Aktive ne Proces</t>
  </si>
  <si>
    <t xml:space="preserve">BLOJA SHA </t>
  </si>
  <si>
    <t>J61817056C</t>
  </si>
  <si>
    <t xml:space="preserve"> TIRANE RRUGA  KAVAJES </t>
  </si>
  <si>
    <t xml:space="preserve">Import-eksport  prodhim  perpunim shperndareje </t>
  </si>
  <si>
    <t xml:space="preserve">mielli dhe te nenprodukteve te tij </t>
  </si>
  <si>
    <t>Impport eksport  te te gjitha llojeve te mallrave industriale  e tjera</t>
  </si>
  <si>
    <t>Amballazh   për inventar</t>
  </si>
  <si>
    <t xml:space="preserve">Mjete transporti </t>
  </si>
  <si>
    <t xml:space="preserve">Të pagueshme për detyrimet tatimore tatim fitimi tvsh +tatim burim dhjetor </t>
  </si>
  <si>
    <t xml:space="preserve">SHOQERIA __BLOJA SHA </t>
  </si>
  <si>
    <t>NIPT J61817056C</t>
  </si>
  <si>
    <t>Sasia</t>
  </si>
  <si>
    <t>Makineri,paisje,vegla</t>
  </si>
  <si>
    <t xml:space="preserve">Fuad HAXHIYMERI </t>
  </si>
  <si>
    <t xml:space="preserve"> </t>
  </si>
  <si>
    <t>Viti   2016</t>
  </si>
  <si>
    <t>01.01.2016</t>
  </si>
  <si>
    <t>31.12.2016</t>
  </si>
  <si>
    <t>Aktivet Afatgjata Materiale  me vlere fillestare   2016</t>
  </si>
  <si>
    <t>Amortizimi A.A.Materiale   2016</t>
  </si>
  <si>
    <t>Vlera Kontabel Neto e A.A.Materiale  2016</t>
  </si>
  <si>
    <t>instalime teknike specifike</t>
  </si>
  <si>
    <t>makineri dhe pajisje energjitike</t>
  </si>
  <si>
    <t>Te tjera</t>
  </si>
  <si>
    <t>AA materiale ne proces</t>
  </si>
  <si>
    <t>121Z</t>
  </si>
  <si>
    <t xml:space="preserve">HUMBJE/FITIM </t>
  </si>
  <si>
    <t>Kapitali i paguar</t>
  </si>
  <si>
    <t>Rezerva ligjore</t>
  </si>
  <si>
    <t>Fitim / humbja e pashperndare</t>
  </si>
  <si>
    <t>Rezultati i ushtrimit</t>
  </si>
  <si>
    <t>truall ndertimi</t>
  </si>
  <si>
    <t>ndertesa industriale</t>
  </si>
  <si>
    <t>Mobilje dhe pajisje zyre</t>
  </si>
  <si>
    <t>Per te tjera AA jo materiale</t>
  </si>
  <si>
    <t>Per ndertesat</t>
  </si>
  <si>
    <t>Per instalime teknike, makinerite, pajisje, instrum dhe vegl</t>
  </si>
  <si>
    <t>Per mjete transporti</t>
  </si>
  <si>
    <t>Mallra grupi I</t>
  </si>
  <si>
    <t>Furnitore per mallra , produkte e sherbime</t>
  </si>
  <si>
    <t>Premtim, pagesa te pagueshme</t>
  </si>
  <si>
    <t>Kliente per mallra , produkte e sherbime</t>
  </si>
  <si>
    <t>Paga e shperblime</t>
  </si>
  <si>
    <t>Sigurime shoqerore dhe shendetsore</t>
  </si>
  <si>
    <t>Organizma te tjera shoqerore</t>
  </si>
  <si>
    <t>Shteti-TVSH per tu paguar</t>
  </si>
  <si>
    <t>TVSH e zbriteshme</t>
  </si>
  <si>
    <t>Shteti-TVSH e zbritshme</t>
  </si>
  <si>
    <t>Shteti-TVSH e pagueshme</t>
  </si>
  <si>
    <t>Det. per takse dog. etvsh ne  dogane</t>
  </si>
  <si>
    <t>Tatimi ne burim</t>
  </si>
  <si>
    <t>Te drejta dhe detyrime ndaj ortakeve dhe aksionereve</t>
  </si>
  <si>
    <t>Debitore te tjere ,kreditore te tjere</t>
  </si>
  <si>
    <t>Bankat</t>
  </si>
  <si>
    <t>Vlera monetare ne leke</t>
  </si>
  <si>
    <t>Banka EUR</t>
  </si>
  <si>
    <t>Banka USD</t>
  </si>
  <si>
    <t>Vlera monetare ne lek</t>
  </si>
  <si>
    <t>Xhirime te brendshme</t>
  </si>
  <si>
    <t>Provizore per celjen etj</t>
  </si>
  <si>
    <t xml:space="preserve">Të arketueshme nga detyrimet tatimore dhe doganore </t>
  </si>
  <si>
    <t>Të arketueshme nga detyrimet dogana  gjoba dhe pagesa</t>
  </si>
  <si>
    <t>Shitje e punimeve dhe e sherbimeve</t>
  </si>
  <si>
    <t>Shitje mallrash</t>
  </si>
  <si>
    <t>Te ardhura nga interesat</t>
  </si>
  <si>
    <t>Fitim nga kembimet valutore</t>
  </si>
  <si>
    <t>Ndrysh.gjend.mallra</t>
  </si>
  <si>
    <t>Bl.energji,avull,uje</t>
  </si>
  <si>
    <t>Blerje /shpenzime mallra, sherbimesh</t>
  </si>
  <si>
    <t>611/1</t>
  </si>
  <si>
    <t>SHpenzime Karburanti</t>
  </si>
  <si>
    <t>Qira</t>
  </si>
  <si>
    <t>Mirembajtje dhe riparime</t>
  </si>
  <si>
    <t>Shpz.postare e telekom.</t>
  </si>
  <si>
    <t>Transporte per blerje</t>
  </si>
  <si>
    <t>Transporte per shitje</t>
  </si>
  <si>
    <t>Sherbime bankare</t>
  </si>
  <si>
    <t>Taksa dhe tarifa vendore</t>
  </si>
  <si>
    <t>Tatime te tjera</t>
  </si>
  <si>
    <t>Pagat dhe shperblimet e personelit</t>
  </si>
  <si>
    <t>Sigurimet shoqerore dhe shendetesore</t>
  </si>
  <si>
    <t>Gjoba dhe demshperblime</t>
  </si>
  <si>
    <t>Shpenzime te tjera</t>
  </si>
  <si>
    <t>Shpenzime  per interesa</t>
  </si>
  <si>
    <t xml:space="preserve">Shpenzime  financiare te tjera </t>
  </si>
  <si>
    <t>amortizim i AQ afatgjate</t>
  </si>
  <si>
    <t xml:space="preserve">te pa mzbriteshme </t>
  </si>
  <si>
    <t>pagat kaluar ar\ke</t>
  </si>
  <si>
    <t>Pozicioni financiar i rideklaruar më 31 dhjetor 2015</t>
  </si>
  <si>
    <t>Pozicioni financiar i rideklaruar më 1 janar 2016</t>
  </si>
  <si>
    <t>Pozicioni financiar më 31 dhjetor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</si>
</sst>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_L_e_k_-;\-* #,##0.00_L_e_k_-;_-* &quot;-&quot;??_L_e_k_-;_-@_-"/>
    <numFmt numFmtId="173" formatCode="_-* #,##0.00\ _€_-;\-* #,##0.00\ _€_-;_-* &quot;-&quot;??\ _€_-;_-@_-"/>
    <numFmt numFmtId="174" formatCode="#,##0.0"/>
    <numFmt numFmtId="175" formatCode="_-* #,##0_L_e_k_-;\-* #,##0_L_e_k_-;_-* &quot;-&quot;??_L_e_k_-;_-@_-"/>
    <numFmt numFmtId="176" formatCode="_(* #,##0_);_(* \(#,##0\);_(* &quot;-&quot;??_);_(@_)"/>
    <numFmt numFmtId="177" formatCode="0.0000"/>
    <numFmt numFmtId="178" formatCode="_([$€-2]\ * #,##0_);_([$€-2]\ * \(#,##0\);_([$€-2]\ * &quot;-&quot;??_);_(@_)"/>
    <numFmt numFmtId="179" formatCode="_-* #,##0_-;\-* #,##0_-;_-* &quot;-&quot;??_-;_-@_-"/>
    <numFmt numFmtId="180" formatCode="_-* #,##0.0_L_e_k_-;\-* #,##0.0_L_e_k_-;_-* &quot;-&quot;??_L_e_k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i/>
      <u val="single"/>
      <sz val="10"/>
      <name val="Times New Roman"/>
      <family val="1"/>
    </font>
    <font>
      <b/>
      <sz val="10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3"/>
      <color theme="1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58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5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50" fillId="0" borderId="0" xfId="62" applyFont="1">
      <alignment/>
      <protection/>
    </xf>
    <xf numFmtId="0" fontId="50" fillId="0" borderId="11" xfId="62" applyFont="1" applyBorder="1">
      <alignment/>
      <protection/>
    </xf>
    <xf numFmtId="0" fontId="1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0" xfId="63" applyFont="1" applyFill="1">
      <alignment/>
      <protection/>
    </xf>
    <xf numFmtId="3" fontId="0" fillId="0" borderId="0" xfId="63" applyNumberFormat="1" applyFont="1" applyFill="1">
      <alignment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Border="1">
      <alignment/>
      <protection/>
    </xf>
    <xf numFmtId="0" fontId="5" fillId="0" borderId="0" xfId="63" applyFont="1" applyBorder="1" applyAlignment="1">
      <alignment horizontal="center"/>
      <protection/>
    </xf>
    <xf numFmtId="0" fontId="5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/>
      <protection/>
    </xf>
    <xf numFmtId="0" fontId="0" fillId="0" borderId="0" xfId="63" applyFont="1" applyBorder="1" applyAlignment="1">
      <alignment horizontal="center"/>
      <protection/>
    </xf>
    <xf numFmtId="0" fontId="5" fillId="0" borderId="0" xfId="63" applyFont="1" applyBorder="1">
      <alignment/>
      <protection/>
    </xf>
    <xf numFmtId="0" fontId="11" fillId="0" borderId="0" xfId="63" applyFont="1" applyFill="1" applyBorder="1" applyAlignment="1">
      <alignment/>
      <protection/>
    </xf>
    <xf numFmtId="0" fontId="19" fillId="0" borderId="0" xfId="63" applyFont="1" applyBorder="1" applyAlignment="1">
      <alignment horizontal="center"/>
      <protection/>
    </xf>
    <xf numFmtId="0" fontId="5" fillId="0" borderId="0" xfId="63" applyFont="1" applyBorder="1" applyAlignment="1">
      <alignment horizontal="left" vertical="center"/>
      <protection/>
    </xf>
    <xf numFmtId="0" fontId="0" fillId="0" borderId="0" xfId="63" applyFont="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8" fillId="0" borderId="0" xfId="63" applyFont="1" applyFill="1" applyBorder="1" applyAlignment="1">
      <alignment/>
      <protection/>
    </xf>
    <xf numFmtId="0" fontId="18" fillId="0" borderId="0" xfId="63" applyFont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63" applyFont="1" applyBorder="1" applyAlignment="1">
      <alignment horizontal="left" vertical="center"/>
      <protection/>
    </xf>
    <xf numFmtId="0" fontId="0" fillId="0" borderId="0" xfId="63" applyFont="1" applyFill="1" applyAlignment="1">
      <alignment vertical="center"/>
      <protection/>
    </xf>
    <xf numFmtId="0" fontId="19" fillId="0" borderId="0" xfId="63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0" xfId="63" applyFont="1" applyBorder="1" applyAlignment="1">
      <alignment horizontal="right"/>
      <protection/>
    </xf>
    <xf numFmtId="0" fontId="4" fillId="0" borderId="0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left" vertical="center"/>
      <protection/>
    </xf>
    <xf numFmtId="0" fontId="7" fillId="0" borderId="0" xfId="63" applyFont="1" applyBorder="1" applyAlignment="1">
      <alignment horizont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/>
      <protection/>
    </xf>
    <xf numFmtId="3" fontId="0" fillId="0" borderId="11" xfId="63" applyNumberFormat="1" applyFont="1" applyBorder="1">
      <alignment/>
      <protection/>
    </xf>
    <xf numFmtId="0" fontId="0" fillId="0" borderId="11" xfId="63" applyFont="1" applyBorder="1" applyAlignment="1">
      <alignment horizontal="center"/>
      <protection/>
    </xf>
    <xf numFmtId="0" fontId="0" fillId="0" borderId="11" xfId="63" applyFont="1" applyBorder="1">
      <alignment/>
      <protection/>
    </xf>
    <xf numFmtId="3" fontId="0" fillId="0" borderId="11" xfId="63" applyNumberFormat="1" applyFont="1" applyBorder="1" applyAlignment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3" fontId="0" fillId="0" borderId="0" xfId="63" applyNumberFormat="1" applyFont="1" applyBorder="1" applyAlignment="1">
      <alignment vertical="center"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>
      <alignment/>
      <protection/>
    </xf>
    <xf numFmtId="0" fontId="7" fillId="0" borderId="0" xfId="63" applyFont="1" applyBorder="1" applyAlignment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3" fontId="0" fillId="0" borderId="0" xfId="63" applyNumberFormat="1" applyFont="1" applyFill="1" applyBorder="1" applyAlignment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0" fontId="21" fillId="0" borderId="0" xfId="63" applyFont="1" applyFill="1" applyBorder="1" applyAlignment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horizontal="center"/>
      <protection/>
    </xf>
    <xf numFmtId="0" fontId="21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21" fillId="0" borderId="0" xfId="63" applyFont="1" applyBorder="1" applyAlignment="1">
      <alignment horizontal="center"/>
      <protection/>
    </xf>
    <xf numFmtId="0" fontId="21" fillId="0" borderId="0" xfId="63" applyFont="1" applyBorder="1">
      <alignment/>
      <protection/>
    </xf>
    <xf numFmtId="0" fontId="0" fillId="0" borderId="0" xfId="63" applyFont="1" applyFill="1" applyBorder="1" applyAlignment="1">
      <alignment/>
      <protection/>
    </xf>
    <xf numFmtId="0" fontId="21" fillId="0" borderId="0" xfId="63" applyFont="1" applyFill="1" applyBorder="1">
      <alignment/>
      <protection/>
    </xf>
    <xf numFmtId="0" fontId="7" fillId="0" borderId="0" xfId="63" applyFont="1" applyBorder="1" applyAlignment="1">
      <alignment vertical="center"/>
      <protection/>
    </xf>
    <xf numFmtId="0" fontId="9" fillId="0" borderId="11" xfId="63" applyFont="1" applyBorder="1" applyAlignment="1">
      <alignment horizontal="center"/>
      <protection/>
    </xf>
    <xf numFmtId="3" fontId="9" fillId="0" borderId="11" xfId="63" applyNumberFormat="1" applyFont="1" applyBorder="1">
      <alignment/>
      <protection/>
    </xf>
    <xf numFmtId="0" fontId="0" fillId="0" borderId="11" xfId="63" applyFont="1" applyBorder="1" applyAlignment="1">
      <alignment horizontal="center" vertical="center"/>
      <protection/>
    </xf>
    <xf numFmtId="3" fontId="9" fillId="0" borderId="11" xfId="63" applyNumberFormat="1" applyFont="1" applyBorder="1" applyAlignment="1">
      <alignment vertical="center"/>
      <protection/>
    </xf>
    <xf numFmtId="0" fontId="2" fillId="0" borderId="0" xfId="63" applyFont="1" applyBorder="1">
      <alignment/>
      <protection/>
    </xf>
    <xf numFmtId="0" fontId="21" fillId="0" borderId="0" xfId="63" applyFont="1" applyBorder="1" applyAlignment="1">
      <alignment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left" vertical="center"/>
      <protection/>
    </xf>
    <xf numFmtId="0" fontId="22" fillId="0" borderId="0" xfId="63" applyFont="1" applyBorder="1" applyAlignment="1">
      <alignment horizontal="right"/>
      <protection/>
    </xf>
    <xf numFmtId="0" fontId="0" fillId="0" borderId="0" xfId="63" applyFont="1" applyBorder="1" applyAlignment="1">
      <alignment/>
      <protection/>
    </xf>
    <xf numFmtId="0" fontId="18" fillId="0" borderId="0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left"/>
      <protection/>
    </xf>
    <xf numFmtId="0" fontId="0" fillId="0" borderId="0" xfId="0" applyFont="1" applyAlignment="1">
      <alignment horizontal="right"/>
    </xf>
    <xf numFmtId="175" fontId="51" fillId="0" borderId="0" xfId="42" applyNumberFormat="1" applyFont="1" applyAlignment="1">
      <alignment vertical="center"/>
    </xf>
    <xf numFmtId="175" fontId="23" fillId="0" borderId="11" xfId="42" applyNumberFormat="1" applyFont="1" applyBorder="1" applyAlignment="1">
      <alignment horizontal="center" vertical="center" textRotation="90"/>
    </xf>
    <xf numFmtId="175" fontId="23" fillId="0" borderId="11" xfId="42" applyNumberFormat="1" applyFont="1" applyBorder="1" applyAlignment="1">
      <alignment horizontal="center" vertical="center" textRotation="90" wrapText="1"/>
    </xf>
    <xf numFmtId="175" fontId="23" fillId="0" borderId="11" xfId="42" applyNumberFormat="1" applyFont="1" applyBorder="1" applyAlignment="1">
      <alignment horizontal="center" vertical="center" wrapText="1"/>
    </xf>
    <xf numFmtId="175" fontId="24" fillId="0" borderId="11" xfId="42" applyNumberFormat="1" applyFont="1" applyBorder="1" applyAlignment="1">
      <alignment horizontal="center" vertical="center" wrapText="1"/>
    </xf>
    <xf numFmtId="0" fontId="21" fillId="33" borderId="0" xfId="63" applyFont="1" applyFill="1" applyBorder="1" applyAlignment="1">
      <alignment vertical="center"/>
      <protection/>
    </xf>
    <xf numFmtId="0" fontId="0" fillId="33" borderId="0" xfId="63" applyFont="1" applyFill="1" applyBorder="1">
      <alignment/>
      <protection/>
    </xf>
    <xf numFmtId="0" fontId="5" fillId="33" borderId="0" xfId="63" applyFont="1" applyFill="1" applyBorder="1">
      <alignment/>
      <protection/>
    </xf>
    <xf numFmtId="3" fontId="0" fillId="0" borderId="0" xfId="63" applyNumberFormat="1" applyFont="1" applyFill="1" applyBorder="1" applyAlignment="1">
      <alignment horizontal="right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11" xfId="63" applyFont="1" applyBorder="1" applyAlignment="1">
      <alignment horizontal="right"/>
      <protection/>
    </xf>
    <xf numFmtId="0" fontId="0" fillId="0" borderId="0" xfId="63" applyFont="1" applyFill="1" applyBorder="1" applyAlignment="1">
      <alignment horizontal="right" vertical="center"/>
      <protection/>
    </xf>
    <xf numFmtId="0" fontId="9" fillId="0" borderId="0" xfId="63" applyFont="1" applyBorder="1" applyAlignment="1">
      <alignment horizontal="right"/>
      <protection/>
    </xf>
    <xf numFmtId="3" fontId="0" fillId="0" borderId="0" xfId="63" applyNumberFormat="1" applyFont="1" applyFill="1" applyBorder="1" applyAlignment="1">
      <alignment horizontal="right" vertical="center"/>
      <protection/>
    </xf>
    <xf numFmtId="3" fontId="9" fillId="0" borderId="0" xfId="63" applyNumberFormat="1" applyFont="1" applyBorder="1" applyAlignment="1">
      <alignment horizontal="right"/>
      <protection/>
    </xf>
    <xf numFmtId="0" fontId="0" fillId="0" borderId="0" xfId="63" applyFont="1" applyBorder="1" applyAlignment="1">
      <alignment horizontal="right"/>
      <protection/>
    </xf>
    <xf numFmtId="0" fontId="9" fillId="0" borderId="11" xfId="63" applyFont="1" applyBorder="1" applyAlignment="1">
      <alignment horizontal="right"/>
      <protection/>
    </xf>
    <xf numFmtId="3" fontId="9" fillId="0" borderId="11" xfId="63" applyNumberFormat="1" applyFont="1" applyBorder="1" applyAlignment="1">
      <alignment horizontal="right"/>
      <protection/>
    </xf>
    <xf numFmtId="0" fontId="5" fillId="0" borderId="0" xfId="63" applyFont="1" applyBorder="1" applyAlignment="1">
      <alignment horizontal="right"/>
      <protection/>
    </xf>
    <xf numFmtId="0" fontId="18" fillId="0" borderId="0" xfId="63" applyFont="1" applyBorder="1" applyAlignment="1">
      <alignment horizontal="right"/>
      <protection/>
    </xf>
    <xf numFmtId="3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63" applyNumberFormat="1" applyFont="1" applyFill="1" applyAlignment="1">
      <alignment horizontal="right"/>
      <protection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18" fillId="0" borderId="0" xfId="63" applyNumberFormat="1" applyFont="1" applyBorder="1" applyAlignment="1">
      <alignment horizontal="right"/>
      <protection/>
    </xf>
    <xf numFmtId="3" fontId="18" fillId="33" borderId="0" xfId="63" applyNumberFormat="1" applyFont="1" applyFill="1" applyBorder="1" applyAlignment="1">
      <alignment horizontal="right"/>
      <protection/>
    </xf>
    <xf numFmtId="0" fontId="51" fillId="0" borderId="0" xfId="42" applyNumberFormat="1" applyFont="1" applyAlignment="1">
      <alignment vertical="center"/>
    </xf>
    <xf numFmtId="1" fontId="51" fillId="0" borderId="0" xfId="42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34" borderId="0" xfId="0" applyNumberFormat="1" applyFont="1" applyFill="1" applyBorder="1" applyAlignment="1">
      <alignment horizontal="right" vertical="center"/>
    </xf>
    <xf numFmtId="3" fontId="75" fillId="0" borderId="1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0" fillId="0" borderId="0" xfId="63" applyFont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vertical="center"/>
    </xf>
    <xf numFmtId="3" fontId="0" fillId="0" borderId="0" xfId="63" applyNumberFormat="1" applyFont="1" applyFill="1">
      <alignment/>
      <protection/>
    </xf>
    <xf numFmtId="3" fontId="5" fillId="0" borderId="0" xfId="63" applyNumberFormat="1" applyFont="1" applyBorder="1">
      <alignment/>
      <protection/>
    </xf>
    <xf numFmtId="3" fontId="0" fillId="0" borderId="0" xfId="63" applyNumberFormat="1" applyFont="1" applyBorder="1">
      <alignment/>
      <protection/>
    </xf>
    <xf numFmtId="175" fontId="18" fillId="0" borderId="0" xfId="42" applyNumberFormat="1" applyFont="1" applyBorder="1" applyAlignment="1">
      <alignment horizontal="right"/>
    </xf>
    <xf numFmtId="3" fontId="0" fillId="0" borderId="0" xfId="63" applyNumberFormat="1" applyFont="1" applyBorder="1">
      <alignment/>
      <protection/>
    </xf>
    <xf numFmtId="14" fontId="15" fillId="0" borderId="14" xfId="0" applyNumberFormat="1" applyFont="1" applyBorder="1" applyAlignment="1">
      <alignment/>
    </xf>
    <xf numFmtId="0" fontId="25" fillId="0" borderId="0" xfId="63" applyFont="1" applyBorder="1" applyAlignment="1">
      <alignment horizontal="left"/>
      <protection/>
    </xf>
    <xf numFmtId="0" fontId="22" fillId="0" borderId="0" xfId="63" applyFont="1" applyBorder="1" applyAlignment="1">
      <alignment horizontal="left"/>
      <protection/>
    </xf>
    <xf numFmtId="3" fontId="25" fillId="0" borderId="0" xfId="63" applyNumberFormat="1" applyFont="1" applyBorder="1" applyAlignment="1">
      <alignment horizontal="right"/>
      <protection/>
    </xf>
    <xf numFmtId="0" fontId="9" fillId="0" borderId="11" xfId="0" applyFont="1" applyBorder="1" applyAlignment="1">
      <alignment/>
    </xf>
    <xf numFmtId="0" fontId="0" fillId="0" borderId="0" xfId="0" applyFill="1" applyAlignment="1">
      <alignment/>
    </xf>
    <xf numFmtId="176" fontId="0" fillId="0" borderId="0" xfId="45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75" fontId="50" fillId="0" borderId="0" xfId="62" applyNumberFormat="1" applyFont="1">
      <alignment/>
      <protection/>
    </xf>
    <xf numFmtId="175" fontId="24" fillId="34" borderId="11" xfId="42" applyNumberFormat="1" applyFont="1" applyFill="1" applyBorder="1" applyAlignment="1">
      <alignment horizontal="center" vertical="center" wrapText="1"/>
    </xf>
    <xf numFmtId="3" fontId="51" fillId="0" borderId="0" xfId="42" applyNumberFormat="1" applyFont="1" applyAlignment="1">
      <alignment vertical="center"/>
    </xf>
    <xf numFmtId="3" fontId="0" fillId="34" borderId="11" xfId="0" applyNumberFormat="1" applyFont="1" applyFill="1" applyBorder="1" applyAlignment="1">
      <alignment horizontal="center" vertical="center"/>
    </xf>
    <xf numFmtId="3" fontId="0" fillId="0" borderId="11" xfId="63" applyNumberFormat="1" applyFont="1" applyBorder="1" applyAlignment="1">
      <alignment/>
      <protection/>
    </xf>
    <xf numFmtId="0" fontId="0" fillId="34" borderId="0" xfId="63" applyFont="1" applyFill="1">
      <alignment/>
      <protection/>
    </xf>
    <xf numFmtId="3" fontId="0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63" applyFont="1" applyBorder="1" applyAlignment="1">
      <alignment horizontal="left"/>
      <protection/>
    </xf>
    <xf numFmtId="174" fontId="5" fillId="0" borderId="0" xfId="63" applyNumberFormat="1" applyFont="1" applyBorder="1" applyAlignment="1">
      <alignment horizontal="center"/>
      <protection/>
    </xf>
    <xf numFmtId="0" fontId="15" fillId="0" borderId="15" xfId="0" applyFont="1" applyBorder="1" applyAlignment="1">
      <alignment horizontal="center"/>
    </xf>
    <xf numFmtId="0" fontId="0" fillId="34" borderId="11" xfId="63" applyFont="1" applyFill="1" applyBorder="1" applyAlignment="1">
      <alignment horizontal="center"/>
      <protection/>
    </xf>
    <xf numFmtId="0" fontId="0" fillId="34" borderId="11" xfId="63" applyFont="1" applyFill="1" applyBorder="1" applyAlignment="1">
      <alignment horizontal="right"/>
      <protection/>
    </xf>
    <xf numFmtId="0" fontId="0" fillId="34" borderId="11" xfId="63" applyFont="1" applyFill="1" applyBorder="1" applyAlignment="1">
      <alignment horizontal="center"/>
      <protection/>
    </xf>
    <xf numFmtId="0" fontId="0" fillId="34" borderId="11" xfId="63" applyFont="1" applyFill="1" applyBorder="1" applyAlignment="1">
      <alignment/>
      <protection/>
    </xf>
    <xf numFmtId="3" fontId="0" fillId="34" borderId="11" xfId="63" applyNumberFormat="1" applyFont="1" applyFill="1" applyBorder="1">
      <alignment/>
      <protection/>
    </xf>
    <xf numFmtId="0" fontId="0" fillId="34" borderId="11" xfId="63" applyFont="1" applyFill="1" applyBorder="1">
      <alignment/>
      <protection/>
    </xf>
    <xf numFmtId="3" fontId="0" fillId="34" borderId="11" xfId="63" applyNumberFormat="1" applyFont="1" applyFill="1" applyBorder="1" applyAlignment="1">
      <alignment vertical="center"/>
      <protection/>
    </xf>
    <xf numFmtId="0" fontId="0" fillId="34" borderId="11" xfId="63" applyFont="1" applyFill="1" applyBorder="1" applyAlignment="1">
      <alignment horizontal="center"/>
      <protection/>
    </xf>
    <xf numFmtId="175" fontId="0" fillId="0" borderId="0" xfId="42" applyNumberFormat="1" applyFont="1" applyAlignment="1">
      <alignment vertical="center"/>
    </xf>
    <xf numFmtId="175" fontId="0" fillId="0" borderId="0" xfId="42" applyNumberFormat="1" applyFont="1" applyAlignment="1">
      <alignment/>
    </xf>
    <xf numFmtId="174" fontId="0" fillId="0" borderId="0" xfId="63" applyNumberFormat="1" applyFont="1" applyFill="1" applyBorder="1" applyAlignment="1">
      <alignment horizontal="center"/>
      <protection/>
    </xf>
    <xf numFmtId="175" fontId="0" fillId="0" borderId="14" xfId="42" applyNumberFormat="1" applyFont="1" applyFill="1" applyBorder="1" applyAlignment="1">
      <alignment horizontal="center" vertical="center"/>
    </xf>
    <xf numFmtId="0" fontId="0" fillId="0" borderId="0" xfId="63" applyFont="1">
      <alignment/>
      <protection/>
    </xf>
    <xf numFmtId="3" fontId="9" fillId="0" borderId="15" xfId="63" applyNumberFormat="1" applyFont="1" applyBorder="1">
      <alignment/>
      <protection/>
    </xf>
    <xf numFmtId="3" fontId="9" fillId="0" borderId="14" xfId="63" applyNumberFormat="1" applyFont="1" applyBorder="1" applyAlignment="1">
      <alignment horizontal="right"/>
      <protection/>
    </xf>
    <xf numFmtId="3" fontId="9" fillId="0" borderId="15" xfId="63" applyNumberFormat="1" applyFont="1" applyBorder="1" applyAlignment="1">
      <alignment horizontal="right"/>
      <protection/>
    </xf>
    <xf numFmtId="175" fontId="0" fillId="0" borderId="0" xfId="42" applyNumberFormat="1" applyFont="1" applyFill="1" applyBorder="1" applyAlignment="1">
      <alignment horizontal="center" vertical="center"/>
    </xf>
    <xf numFmtId="0" fontId="0" fillId="0" borderId="14" xfId="63" applyFont="1" applyFill="1" applyBorder="1" applyAlignment="1">
      <alignment horizontal="right" vertical="center"/>
      <protection/>
    </xf>
    <xf numFmtId="178" fontId="0" fillId="0" borderId="0" xfId="63" applyNumberFormat="1" applyFont="1" applyBorder="1" applyAlignment="1">
      <alignment horizontal="center"/>
      <protection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15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Border="1" applyAlignment="1">
      <alignment horizontal="right"/>
      <protection/>
    </xf>
    <xf numFmtId="3" fontId="0" fillId="0" borderId="14" xfId="63" applyNumberFormat="1" applyFont="1" applyBorder="1" applyAlignment="1">
      <alignment horizontal="right"/>
      <protection/>
    </xf>
    <xf numFmtId="3" fontId="0" fillId="0" borderId="15" xfId="63" applyNumberFormat="1" applyFont="1" applyBorder="1" applyAlignment="1">
      <alignment horizontal="right"/>
      <protection/>
    </xf>
    <xf numFmtId="0" fontId="0" fillId="0" borderId="14" xfId="63" applyFont="1" applyBorder="1" applyAlignment="1">
      <alignment horizontal="right"/>
      <protection/>
    </xf>
    <xf numFmtId="0" fontId="0" fillId="0" borderId="15" xfId="63" applyFont="1" applyBorder="1" applyAlignment="1">
      <alignment horizontal="right"/>
      <protection/>
    </xf>
    <xf numFmtId="175" fontId="0" fillId="0" borderId="14" xfId="42" applyNumberFormat="1" applyFont="1" applyBorder="1" applyAlignment="1">
      <alignment/>
    </xf>
    <xf numFmtId="175" fontId="0" fillId="0" borderId="15" xfId="42" applyNumberFormat="1" applyFont="1" applyBorder="1" applyAlignment="1">
      <alignment/>
    </xf>
    <xf numFmtId="175" fontId="0" fillId="0" borderId="15" xfId="42" applyNumberFormat="1" applyFont="1" applyBorder="1" applyAlignment="1">
      <alignment horizontal="right"/>
    </xf>
    <xf numFmtId="0" fontId="0" fillId="0" borderId="0" xfId="42" applyNumberFormat="1" applyFont="1" applyBorder="1" applyAlignment="1">
      <alignment/>
    </xf>
    <xf numFmtId="175" fontId="25" fillId="0" borderId="0" xfId="42" applyNumberFormat="1" applyFont="1" applyBorder="1" applyAlignment="1">
      <alignment horizontal="center"/>
    </xf>
    <xf numFmtId="3" fontId="0" fillId="34" borderId="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63" applyFont="1" applyBorder="1">
      <alignment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7" xfId="63" applyFont="1" applyBorder="1">
      <alignment/>
      <protection/>
    </xf>
    <xf numFmtId="0" fontId="0" fillId="0" borderId="17" xfId="63" applyFont="1" applyBorder="1" applyAlignment="1">
      <alignment horizontal="center"/>
      <protection/>
    </xf>
    <xf numFmtId="0" fontId="0" fillId="34" borderId="17" xfId="0" applyFill="1" applyBorder="1" applyAlignment="1">
      <alignment/>
    </xf>
    <xf numFmtId="176" fontId="76" fillId="34" borderId="11" xfId="42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176" fontId="0" fillId="34" borderId="11" xfId="42" applyNumberFormat="1" applyFont="1" applyFill="1" applyBorder="1" applyAlignment="1">
      <alignment/>
    </xf>
    <xf numFmtId="3" fontId="0" fillId="34" borderId="11" xfId="63" applyNumberFormat="1" applyFont="1" applyFill="1" applyBorder="1" applyAlignment="1">
      <alignment horizontal="right"/>
      <protection/>
    </xf>
    <xf numFmtId="3" fontId="5" fillId="34" borderId="11" xfId="63" applyNumberFormat="1" applyFont="1" applyFill="1" applyBorder="1" applyAlignment="1">
      <alignment horizontal="right"/>
      <protection/>
    </xf>
    <xf numFmtId="0" fontId="0" fillId="0" borderId="11" xfId="0" applyFont="1" applyBorder="1" applyAlignment="1">
      <alignment/>
    </xf>
    <xf numFmtId="176" fontId="0" fillId="0" borderId="11" xfId="42" applyNumberFormat="1" applyFont="1" applyBorder="1" applyAlignment="1">
      <alignment/>
    </xf>
    <xf numFmtId="0" fontId="0" fillId="0" borderId="11" xfId="0" applyFill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1" xfId="63" applyNumberFormat="1" applyFont="1" applyBorder="1">
      <alignment/>
      <protection/>
    </xf>
    <xf numFmtId="176" fontId="9" fillId="0" borderId="18" xfId="42" applyNumberFormat="1" applyFont="1" applyFill="1" applyBorder="1" applyAlignment="1">
      <alignment/>
    </xf>
    <xf numFmtId="176" fontId="9" fillId="0" borderId="19" xfId="42" applyNumberFormat="1" applyFont="1" applyFill="1" applyBorder="1" applyAlignment="1">
      <alignment/>
    </xf>
    <xf numFmtId="176" fontId="9" fillId="0" borderId="20" xfId="42" applyNumberFormat="1" applyFont="1" applyFill="1" applyBorder="1" applyAlignment="1">
      <alignment horizontal="left"/>
    </xf>
    <xf numFmtId="176" fontId="15" fillId="0" borderId="16" xfId="42" applyNumberFormat="1" applyFont="1" applyFill="1" applyBorder="1" applyAlignment="1">
      <alignment/>
    </xf>
    <xf numFmtId="176" fontId="9" fillId="0" borderId="21" xfId="42" applyNumberFormat="1" applyFont="1" applyFill="1" applyBorder="1" applyAlignment="1">
      <alignment/>
    </xf>
    <xf numFmtId="176" fontId="15" fillId="0" borderId="22" xfId="42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175" fontId="25" fillId="0" borderId="11" xfId="42" applyNumberFormat="1" applyFont="1" applyBorder="1" applyAlignment="1">
      <alignment horizontal="left"/>
    </xf>
    <xf numFmtId="175" fontId="18" fillId="0" borderId="0" xfId="63" applyNumberFormat="1" applyFont="1" applyBorder="1" applyAlignment="1">
      <alignment horizontal="left"/>
      <protection/>
    </xf>
    <xf numFmtId="3" fontId="18" fillId="0" borderId="0" xfId="63" applyNumberFormat="1" applyFont="1" applyBorder="1" applyAlignment="1">
      <alignment horizontal="left"/>
      <protection/>
    </xf>
    <xf numFmtId="0" fontId="15" fillId="0" borderId="14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77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4" fontId="78" fillId="0" borderId="14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76" fontId="0" fillId="0" borderId="0" xfId="42" applyNumberFormat="1" applyFont="1" applyFill="1" applyAlignment="1">
      <alignment/>
    </xf>
    <xf numFmtId="176" fontId="58" fillId="0" borderId="0" xfId="42" applyNumberFormat="1" applyFont="1" applyFill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14" fontId="0" fillId="0" borderId="3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176" fontId="58" fillId="0" borderId="0" xfId="42" applyNumberFormat="1" applyFont="1" applyFill="1" applyBorder="1" applyAlignment="1">
      <alignment/>
    </xf>
    <xf numFmtId="3" fontId="0" fillId="0" borderId="32" xfId="47" applyNumberFormat="1" applyFill="1" applyBorder="1" applyAlignment="1">
      <alignment/>
    </xf>
    <xf numFmtId="3" fontId="0" fillId="0" borderId="36" xfId="47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176" fontId="9" fillId="0" borderId="11" xfId="42" applyNumberFormat="1" applyFont="1" applyFill="1" applyBorder="1" applyAlignment="1">
      <alignment/>
    </xf>
    <xf numFmtId="3" fontId="0" fillId="0" borderId="11" xfId="47" applyNumberFormat="1" applyFill="1" applyBorder="1" applyAlignment="1">
      <alignment/>
    </xf>
    <xf numFmtId="3" fontId="0" fillId="0" borderId="38" xfId="47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6" fontId="58" fillId="0" borderId="11" xfId="42" applyNumberFormat="1" applyFont="1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3" fontId="0" fillId="0" borderId="40" xfId="47" applyNumberFormat="1" applyFill="1" applyBorder="1" applyAlignment="1">
      <alignment/>
    </xf>
    <xf numFmtId="0" fontId="0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3" fontId="7" fillId="0" borderId="42" xfId="47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9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3" fontId="0" fillId="0" borderId="19" xfId="47" applyNumberFormat="1" applyFill="1" applyBorder="1" applyAlignment="1">
      <alignment/>
    </xf>
    <xf numFmtId="176" fontId="0" fillId="0" borderId="19" xfId="45" applyNumberFormat="1" applyFont="1" applyFill="1" applyBorder="1" applyAlignment="1">
      <alignment/>
    </xf>
    <xf numFmtId="176" fontId="0" fillId="0" borderId="11" xfId="45" applyNumberFormat="1" applyFont="1" applyFill="1" applyBorder="1" applyAlignment="1">
      <alignment/>
    </xf>
    <xf numFmtId="176" fontId="58" fillId="0" borderId="11" xfId="45" applyNumberFormat="1" applyFont="1" applyFill="1" applyBorder="1" applyAlignment="1">
      <alignment/>
    </xf>
    <xf numFmtId="0" fontId="0" fillId="0" borderId="4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3" fontId="7" fillId="0" borderId="34" xfId="47" applyNumberFormat="1" applyFont="1" applyFill="1" applyBorder="1" applyAlignment="1">
      <alignment vertical="center"/>
    </xf>
    <xf numFmtId="0" fontId="0" fillId="0" borderId="4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17" xfId="47" applyNumberFormat="1" applyFill="1" applyBorder="1" applyAlignment="1">
      <alignment/>
    </xf>
    <xf numFmtId="3" fontId="15" fillId="0" borderId="17" xfId="47" applyNumberFormat="1" applyFont="1" applyFill="1" applyBorder="1" applyAlignment="1">
      <alignment/>
    </xf>
    <xf numFmtId="3" fontId="0" fillId="0" borderId="45" xfId="47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176" fontId="0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176" fontId="58" fillId="0" borderId="0" xfId="45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75" fillId="0" borderId="11" xfId="0" applyNumberFormat="1" applyFont="1" applyFill="1" applyBorder="1" applyAlignment="1">
      <alignment vertical="center"/>
    </xf>
    <xf numFmtId="3" fontId="7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58" fillId="0" borderId="0" xfId="62">
      <alignment/>
      <protection/>
    </xf>
    <xf numFmtId="179" fontId="58" fillId="0" borderId="0" xfId="48" applyNumberFormat="1" applyFont="1" applyAlignment="1">
      <alignment/>
    </xf>
    <xf numFmtId="179" fontId="0" fillId="0" borderId="0" xfId="0" applyNumberFormat="1" applyFont="1" applyFill="1" applyAlignment="1">
      <alignment vertical="center"/>
    </xf>
    <xf numFmtId="179" fontId="58" fillId="0" borderId="0" xfId="46" applyNumberFormat="1" applyFont="1" applyFill="1" applyAlignment="1">
      <alignment/>
    </xf>
    <xf numFmtId="175" fontId="5" fillId="0" borderId="11" xfId="42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58" fillId="0" borderId="0" xfId="62" applyFill="1">
      <alignment/>
      <protection/>
    </xf>
    <xf numFmtId="3" fontId="5" fillId="0" borderId="0" xfId="0" applyNumberFormat="1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71" fontId="0" fillId="0" borderId="0" xfId="0" applyNumberFormat="1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5" fontId="32" fillId="0" borderId="11" xfId="42" applyNumberFormat="1" applyFont="1" applyFill="1" applyBorder="1" applyAlignment="1">
      <alignment horizontal="center" vertical="center"/>
    </xf>
    <xf numFmtId="175" fontId="15" fillId="0" borderId="16" xfId="42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vertical="center"/>
    </xf>
    <xf numFmtId="175" fontId="15" fillId="0" borderId="13" xfId="42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175" fontId="15" fillId="0" borderId="11" xfId="42" applyNumberFormat="1" applyFont="1" applyFill="1" applyBorder="1" applyAlignment="1">
      <alignment horizontal="center" vertical="center"/>
    </xf>
    <xf numFmtId="175" fontId="15" fillId="0" borderId="17" xfId="42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175" fontId="15" fillId="0" borderId="10" xfId="42" applyNumberFormat="1" applyFont="1" applyFill="1" applyBorder="1" applyAlignment="1">
      <alignment horizontal="center" vertical="center"/>
    </xf>
    <xf numFmtId="175" fontId="15" fillId="0" borderId="16" xfId="42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75" fontId="15" fillId="0" borderId="48" xfId="42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32" fillId="0" borderId="11" xfId="0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/>
    </xf>
    <xf numFmtId="0" fontId="57" fillId="0" borderId="0" xfId="62" applyFont="1" applyAlignment="1">
      <alignment vertical="center"/>
      <protection/>
    </xf>
    <xf numFmtId="0" fontId="25" fillId="0" borderId="11" xfId="62" applyFont="1" applyBorder="1" applyAlignment="1">
      <alignment vertical="center" textRotation="90" wrapText="1"/>
      <protection/>
    </xf>
    <xf numFmtId="0" fontId="22" fillId="0" borderId="11" xfId="62" applyFont="1" applyBorder="1" applyAlignment="1">
      <alignment vertical="center" wrapText="1"/>
      <protection/>
    </xf>
    <xf numFmtId="0" fontId="25" fillId="0" borderId="11" xfId="62" applyFont="1" applyBorder="1" applyAlignment="1">
      <alignment vertical="center" wrapText="1"/>
      <protection/>
    </xf>
    <xf numFmtId="3" fontId="10" fillId="0" borderId="0" xfId="0" applyNumberFormat="1" applyFont="1" applyFill="1" applyAlignment="1">
      <alignment horizontal="center" vertical="center"/>
    </xf>
    <xf numFmtId="175" fontId="0" fillId="0" borderId="0" xfId="42" applyNumberFormat="1" applyFont="1" applyFill="1" applyAlignment="1">
      <alignment/>
    </xf>
    <xf numFmtId="0" fontId="16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3" fontId="32" fillId="0" borderId="16" xfId="0" applyNumberFormat="1" applyFont="1" applyFill="1" applyBorder="1" applyAlignment="1">
      <alignment horizontal="center" vertical="center"/>
    </xf>
    <xf numFmtId="3" fontId="32" fillId="0" borderId="17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6" fillId="0" borderId="0" xfId="62" applyFont="1" applyAlignment="1">
      <alignment horizontal="center"/>
      <protection/>
    </xf>
    <xf numFmtId="0" fontId="20" fillId="0" borderId="0" xfId="63" applyFont="1" applyBorder="1" applyAlignment="1">
      <alignment horizontal="left" vertical="center"/>
      <protection/>
    </xf>
    <xf numFmtId="0" fontId="3" fillId="0" borderId="0" xfId="63" applyFont="1" applyBorder="1" applyAlignment="1">
      <alignment horizontal="center"/>
      <protection/>
    </xf>
    <xf numFmtId="0" fontId="2" fillId="0" borderId="0" xfId="63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9" fillId="0" borderId="11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left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/>
      <protection/>
    </xf>
    <xf numFmtId="0" fontId="0" fillId="34" borderId="11" xfId="63" applyFont="1" applyFill="1" applyBorder="1" applyAlignment="1">
      <alignment horizontal="center"/>
      <protection/>
    </xf>
    <xf numFmtId="0" fontId="0" fillId="0" borderId="0" xfId="63" applyFont="1" applyBorder="1" applyAlignment="1">
      <alignment horizontal="left"/>
      <protection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0" fillId="34" borderId="11" xfId="63" applyFont="1" applyFill="1" applyBorder="1" applyAlignment="1">
      <alignment horizontal="center" vertical="center"/>
      <protection/>
    </xf>
    <xf numFmtId="0" fontId="0" fillId="34" borderId="11" xfId="63" applyFont="1" applyFill="1" applyBorder="1" applyAlignment="1">
      <alignment horizontal="left"/>
      <protection/>
    </xf>
    <xf numFmtId="0" fontId="20" fillId="0" borderId="0" xfId="63" applyFont="1" applyBorder="1" applyAlignment="1">
      <alignment horizontal="left"/>
      <protection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_21.Aktivet Afatgjata Materiale  09" xfId="47"/>
    <cellStyle name="Comma_aam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Migliaia 2" xfId="59"/>
    <cellStyle name="Migliaia 2 2" xfId="60"/>
    <cellStyle name="Neutral" xfId="61"/>
    <cellStyle name="Normal 2" xfId="62"/>
    <cellStyle name="Normal 3" xfId="63"/>
    <cellStyle name="Normale 2" xfId="64"/>
    <cellStyle name="Normale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9">
      <selection activeCell="F37" sqref="F37"/>
    </sheetView>
  </sheetViews>
  <sheetFormatPr defaultColWidth="9.140625" defaultRowHeight="12.75"/>
  <cols>
    <col min="1" max="2" width="9.140625" style="3" customWidth="1"/>
    <col min="3" max="3" width="9.28125" style="3" customWidth="1"/>
    <col min="4" max="4" width="6.00390625" style="3" customWidth="1"/>
    <col min="5" max="5" width="12.8515625" style="3" customWidth="1"/>
    <col min="6" max="6" width="5.421875" style="3" customWidth="1"/>
    <col min="7" max="7" width="13.140625" style="3" customWidth="1"/>
    <col min="8" max="8" width="9.140625" style="3" customWidth="1"/>
    <col min="9" max="9" width="3.140625" style="3" customWidth="1"/>
    <col min="10" max="10" width="17.7109375" style="3" customWidth="1"/>
    <col min="11" max="11" width="1.8515625" style="3" customWidth="1"/>
    <col min="12" max="16384" width="9.140625" style="3" customWidth="1"/>
  </cols>
  <sheetData>
    <row r="1" ht="6.75" customHeight="1" thickBot="1"/>
    <row r="2" spans="1:10" ht="12.75">
      <c r="A2" s="239"/>
      <c r="B2" s="240"/>
      <c r="C2" s="240"/>
      <c r="D2" s="240"/>
      <c r="E2" s="241"/>
      <c r="F2" s="241"/>
      <c r="G2" s="240"/>
      <c r="H2" s="240"/>
      <c r="I2" s="240"/>
      <c r="J2" s="242"/>
    </row>
    <row r="3" spans="1:10" s="25" customFormat="1" ht="13.5" customHeight="1">
      <c r="A3" s="243"/>
      <c r="B3" s="22" t="s">
        <v>26</v>
      </c>
      <c r="C3" s="22"/>
      <c r="D3" s="22"/>
      <c r="E3" s="23" t="s">
        <v>470</v>
      </c>
      <c r="F3" s="23"/>
      <c r="G3" s="24"/>
      <c r="H3" s="23"/>
      <c r="I3" s="22"/>
      <c r="J3" s="244"/>
    </row>
    <row r="4" spans="1:10" s="25" customFormat="1" ht="13.5" customHeight="1">
      <c r="A4" s="243"/>
      <c r="B4" s="22" t="s">
        <v>15</v>
      </c>
      <c r="C4" s="22"/>
      <c r="D4" s="22"/>
      <c r="E4" s="23" t="s">
        <v>471</v>
      </c>
      <c r="F4" s="23"/>
      <c r="G4" s="177"/>
      <c r="H4" s="26"/>
      <c r="I4" s="26"/>
      <c r="J4" s="244"/>
    </row>
    <row r="5" spans="1:10" s="25" customFormat="1" ht="13.5" customHeight="1">
      <c r="A5" s="243"/>
      <c r="B5" s="22" t="s">
        <v>5</v>
      </c>
      <c r="C5" s="22"/>
      <c r="D5" s="22"/>
      <c r="E5" s="23" t="s">
        <v>472</v>
      </c>
      <c r="F5" s="23"/>
      <c r="G5" s="23"/>
      <c r="H5" s="23"/>
      <c r="I5" s="23"/>
      <c r="J5" s="244"/>
    </row>
    <row r="6" spans="1:10" s="25" customFormat="1" ht="13.5" customHeight="1">
      <c r="A6" s="243"/>
      <c r="B6" s="22"/>
      <c r="C6" s="22"/>
      <c r="D6" s="22"/>
      <c r="E6" s="22"/>
      <c r="F6" s="22"/>
      <c r="G6" s="24" t="s">
        <v>324</v>
      </c>
      <c r="H6" s="24"/>
      <c r="I6" s="22"/>
      <c r="J6" s="244"/>
    </row>
    <row r="7" spans="1:10" s="25" customFormat="1" ht="15.75" customHeight="1">
      <c r="A7" s="243"/>
      <c r="B7" s="22" t="s">
        <v>0</v>
      </c>
      <c r="C7" s="22"/>
      <c r="D7" s="22"/>
      <c r="E7" s="253">
        <v>34738</v>
      </c>
      <c r="F7" s="27"/>
      <c r="G7" s="22"/>
      <c r="H7" s="22"/>
      <c r="I7" s="22"/>
      <c r="J7" s="244"/>
    </row>
    <row r="8" spans="1:10" s="25" customFormat="1" ht="15.75" customHeight="1">
      <c r="A8" s="243"/>
      <c r="B8" s="22" t="s">
        <v>1</v>
      </c>
      <c r="C8" s="22"/>
      <c r="D8" s="22"/>
      <c r="E8" s="238">
        <v>11826</v>
      </c>
      <c r="F8" s="28"/>
      <c r="G8" s="22"/>
      <c r="H8" s="22"/>
      <c r="I8" s="22"/>
      <c r="J8" s="244"/>
    </row>
    <row r="9" spans="1:10" s="25" customFormat="1" ht="15.75" customHeight="1">
      <c r="A9" s="243"/>
      <c r="B9" s="22"/>
      <c r="C9" s="22"/>
      <c r="D9" s="22"/>
      <c r="E9" s="22"/>
      <c r="F9" s="22"/>
      <c r="G9" s="22"/>
      <c r="H9" s="22"/>
      <c r="I9" s="22"/>
      <c r="J9" s="244"/>
    </row>
    <row r="10" spans="1:10" s="25" customFormat="1" ht="15.75" customHeight="1">
      <c r="A10" s="243"/>
      <c r="B10" s="22" t="s">
        <v>11</v>
      </c>
      <c r="C10" s="22"/>
      <c r="D10" s="22"/>
      <c r="E10" s="245" t="s">
        <v>473</v>
      </c>
      <c r="F10" s="23"/>
      <c r="G10" s="23"/>
      <c r="H10" s="23"/>
      <c r="I10" s="23"/>
      <c r="J10" s="244"/>
    </row>
    <row r="11" spans="1:10" s="25" customFormat="1" ht="15.75" customHeight="1">
      <c r="A11" s="243"/>
      <c r="B11" s="22"/>
      <c r="C11" s="22"/>
      <c r="D11" s="22"/>
      <c r="E11" s="245" t="s">
        <v>474</v>
      </c>
      <c r="F11" s="26"/>
      <c r="G11" s="26"/>
      <c r="H11" s="26"/>
      <c r="I11" s="26"/>
      <c r="J11" s="244"/>
    </row>
    <row r="12" spans="1:10" ht="18" customHeight="1">
      <c r="A12" s="246"/>
      <c r="B12" s="2"/>
      <c r="C12" s="2"/>
      <c r="D12" s="2"/>
      <c r="E12" s="245" t="s">
        <v>475</v>
      </c>
      <c r="F12" s="2"/>
      <c r="G12" s="2"/>
      <c r="H12" s="2"/>
      <c r="I12" s="2"/>
      <c r="J12" s="247"/>
    </row>
    <row r="13" spans="1:10" ht="12.75">
      <c r="A13" s="246"/>
      <c r="B13" s="2"/>
      <c r="C13" s="2"/>
      <c r="D13" s="2"/>
      <c r="E13" s="2"/>
      <c r="F13" s="2"/>
      <c r="G13" s="2"/>
      <c r="H13" s="2"/>
      <c r="I13" s="2"/>
      <c r="J13" s="247"/>
    </row>
    <row r="14" spans="1:10" ht="12.75">
      <c r="A14" s="246"/>
      <c r="B14" s="2"/>
      <c r="C14" s="2"/>
      <c r="D14" s="2"/>
      <c r="E14" s="2"/>
      <c r="F14" s="2"/>
      <c r="G14" s="2"/>
      <c r="H14" s="2"/>
      <c r="I14" s="2"/>
      <c r="J14" s="247"/>
    </row>
    <row r="15" spans="1:10" ht="12.75">
      <c r="A15" s="246"/>
      <c r="B15" s="2"/>
      <c r="C15" s="2"/>
      <c r="D15" s="2"/>
      <c r="E15" s="2"/>
      <c r="F15" s="2"/>
      <c r="G15" s="2"/>
      <c r="H15" s="2"/>
      <c r="I15" s="2"/>
      <c r="J15" s="247"/>
    </row>
    <row r="16" spans="1:10" ht="12.75">
      <c r="A16" s="246"/>
      <c r="B16" s="2"/>
      <c r="C16" s="2"/>
      <c r="D16" s="2"/>
      <c r="E16" s="2"/>
      <c r="F16" s="2"/>
      <c r="G16" s="2"/>
      <c r="H16" s="2"/>
      <c r="I16" s="2"/>
      <c r="J16" s="247"/>
    </row>
    <row r="17" spans="1:10" ht="12.75">
      <c r="A17" s="246"/>
      <c r="B17" s="2"/>
      <c r="C17" s="2"/>
      <c r="D17" s="2"/>
      <c r="E17" s="2"/>
      <c r="F17" s="2"/>
      <c r="G17" s="2"/>
      <c r="H17" s="2"/>
      <c r="I17" s="2"/>
      <c r="J17" s="247"/>
    </row>
    <row r="18" spans="1:10" ht="12.75">
      <c r="A18" s="246"/>
      <c r="B18" s="2"/>
      <c r="C18" s="2"/>
      <c r="D18" s="2"/>
      <c r="E18" s="2"/>
      <c r="F18" s="2"/>
      <c r="G18" s="2"/>
      <c r="H18" s="2"/>
      <c r="I18" s="2"/>
      <c r="J18" s="247"/>
    </row>
    <row r="19" spans="1:10" ht="12.75">
      <c r="A19" s="246"/>
      <c r="B19" s="2"/>
      <c r="C19" s="2"/>
      <c r="D19" s="2"/>
      <c r="E19" s="2"/>
      <c r="F19" s="2"/>
      <c r="G19" s="2"/>
      <c r="H19" s="2"/>
      <c r="I19" s="2"/>
      <c r="J19" s="247"/>
    </row>
    <row r="20" spans="1:10" ht="12.75">
      <c r="A20" s="246"/>
      <c r="B20" s="2"/>
      <c r="C20" s="2"/>
      <c r="D20" s="2"/>
      <c r="E20" s="2"/>
      <c r="F20" s="2"/>
      <c r="G20" s="2"/>
      <c r="H20" s="2"/>
      <c r="I20" s="2"/>
      <c r="J20" s="247"/>
    </row>
    <row r="21" spans="1:10" ht="33.75">
      <c r="A21" s="435" t="s">
        <v>6</v>
      </c>
      <c r="B21" s="436"/>
      <c r="C21" s="436"/>
      <c r="D21" s="436"/>
      <c r="E21" s="436"/>
      <c r="F21" s="436"/>
      <c r="G21" s="436"/>
      <c r="H21" s="436"/>
      <c r="I21" s="436"/>
      <c r="J21" s="437"/>
    </row>
    <row r="22" spans="1:10" ht="12.75">
      <c r="A22" s="246"/>
      <c r="B22" s="438" t="s">
        <v>211</v>
      </c>
      <c r="C22" s="438"/>
      <c r="D22" s="438"/>
      <c r="E22" s="438"/>
      <c r="F22" s="438"/>
      <c r="G22" s="438"/>
      <c r="H22" s="438"/>
      <c r="I22" s="438"/>
      <c r="J22" s="247"/>
    </row>
    <row r="23" spans="1:10" ht="12.75">
      <c r="A23" s="246"/>
      <c r="B23" s="438" t="s">
        <v>14</v>
      </c>
      <c r="C23" s="438"/>
      <c r="D23" s="438"/>
      <c r="E23" s="438"/>
      <c r="F23" s="438"/>
      <c r="G23" s="438"/>
      <c r="H23" s="438"/>
      <c r="I23" s="438"/>
      <c r="J23" s="247"/>
    </row>
    <row r="24" spans="1:10" ht="12.75">
      <c r="A24" s="246"/>
      <c r="B24" s="2"/>
      <c r="C24" s="2"/>
      <c r="D24" s="2"/>
      <c r="E24" s="2"/>
      <c r="F24" s="2"/>
      <c r="G24" s="2"/>
      <c r="H24" s="2"/>
      <c r="I24" s="2"/>
      <c r="J24" s="247"/>
    </row>
    <row r="25" spans="1:10" ht="12.75">
      <c r="A25" s="246"/>
      <c r="B25" s="2"/>
      <c r="C25" s="2"/>
      <c r="D25" s="2"/>
      <c r="E25" s="2"/>
      <c r="F25" s="2"/>
      <c r="G25" s="2"/>
      <c r="H25" s="2"/>
      <c r="I25" s="2"/>
      <c r="J25" s="247"/>
    </row>
    <row r="26" spans="1:10" ht="33.75">
      <c r="A26" s="246"/>
      <c r="B26" s="2"/>
      <c r="C26" s="2"/>
      <c r="D26" s="2"/>
      <c r="E26" s="29" t="s">
        <v>485</v>
      </c>
      <c r="F26" s="2"/>
      <c r="G26" s="2"/>
      <c r="H26" s="2"/>
      <c r="I26" s="2"/>
      <c r="J26" s="247"/>
    </row>
    <row r="27" spans="1:10" ht="12.75">
      <c r="A27" s="246"/>
      <c r="B27" s="2"/>
      <c r="C27" s="2"/>
      <c r="D27" s="2"/>
      <c r="E27" s="2"/>
      <c r="F27" s="2"/>
      <c r="G27" s="2"/>
      <c r="H27" s="2"/>
      <c r="I27" s="2"/>
      <c r="J27" s="247"/>
    </row>
    <row r="28" spans="1:10" ht="12.75">
      <c r="A28" s="246"/>
      <c r="B28" s="2"/>
      <c r="C28" s="2"/>
      <c r="D28" s="2"/>
      <c r="E28" s="2"/>
      <c r="F28" s="2"/>
      <c r="G28" s="2"/>
      <c r="H28" s="2"/>
      <c r="I28" s="2"/>
      <c r="J28" s="247"/>
    </row>
    <row r="29" spans="1:10" ht="12.75">
      <c r="A29" s="246"/>
      <c r="B29" s="2"/>
      <c r="C29" s="2"/>
      <c r="D29" s="2"/>
      <c r="E29" s="2"/>
      <c r="F29" s="2"/>
      <c r="G29" s="2"/>
      <c r="H29" s="2"/>
      <c r="I29" s="2"/>
      <c r="J29" s="247"/>
    </row>
    <row r="30" spans="1:10" ht="12.75">
      <c r="A30" s="246"/>
      <c r="B30" s="2"/>
      <c r="C30" s="2"/>
      <c r="D30" s="2"/>
      <c r="E30" s="2"/>
      <c r="F30" s="2"/>
      <c r="G30" s="2"/>
      <c r="H30" s="2"/>
      <c r="I30" s="2"/>
      <c r="J30" s="247"/>
    </row>
    <row r="31" spans="1:10" ht="12.75">
      <c r="A31" s="246"/>
      <c r="B31" s="2"/>
      <c r="C31" s="2"/>
      <c r="D31" s="2"/>
      <c r="E31" s="2"/>
      <c r="F31" s="2"/>
      <c r="G31" s="2"/>
      <c r="H31" s="2"/>
      <c r="I31" s="2"/>
      <c r="J31" s="247"/>
    </row>
    <row r="32" spans="1:10" ht="12.75">
      <c r="A32" s="246"/>
      <c r="B32" s="2"/>
      <c r="C32" s="2"/>
      <c r="D32" s="2"/>
      <c r="E32" s="2"/>
      <c r="F32" s="2"/>
      <c r="G32" s="2"/>
      <c r="H32" s="2"/>
      <c r="I32" s="2"/>
      <c r="J32" s="247"/>
    </row>
    <row r="33" spans="1:10" ht="12.75">
      <c r="A33" s="246"/>
      <c r="B33" s="2"/>
      <c r="C33" s="2"/>
      <c r="D33" s="2"/>
      <c r="E33" s="2"/>
      <c r="F33" s="2"/>
      <c r="G33" s="2"/>
      <c r="H33" s="2"/>
      <c r="I33" s="2"/>
      <c r="J33" s="247"/>
    </row>
    <row r="34" spans="1:10" ht="12.75">
      <c r="A34" s="246"/>
      <c r="B34" s="2"/>
      <c r="C34" s="2"/>
      <c r="D34" s="2"/>
      <c r="E34" s="2"/>
      <c r="F34" s="2"/>
      <c r="G34" s="2"/>
      <c r="H34" s="2"/>
      <c r="I34" s="2"/>
      <c r="J34" s="247"/>
    </row>
    <row r="35" spans="1:10" ht="12.75">
      <c r="A35" s="246"/>
      <c r="B35" s="2"/>
      <c r="C35" s="2"/>
      <c r="D35" s="2"/>
      <c r="E35" s="2"/>
      <c r="F35" s="2"/>
      <c r="G35" s="2"/>
      <c r="H35" s="2"/>
      <c r="I35" s="2"/>
      <c r="J35" s="247"/>
    </row>
    <row r="36" spans="1:10" ht="12.75">
      <c r="A36" s="246"/>
      <c r="B36" s="2"/>
      <c r="C36" s="2"/>
      <c r="D36" s="2"/>
      <c r="E36" s="2"/>
      <c r="F36" s="2"/>
      <c r="G36" s="2"/>
      <c r="H36" s="2"/>
      <c r="I36" s="2"/>
      <c r="J36" s="247"/>
    </row>
    <row r="37" spans="1:10" ht="12.75">
      <c r="A37" s="246"/>
      <c r="B37" s="2"/>
      <c r="C37" s="2"/>
      <c r="D37" s="2"/>
      <c r="E37" s="2"/>
      <c r="F37" s="2"/>
      <c r="G37" s="2"/>
      <c r="H37" s="2"/>
      <c r="I37" s="2"/>
      <c r="J37" s="247"/>
    </row>
    <row r="38" spans="1:10" ht="12.75">
      <c r="A38" s="246"/>
      <c r="B38" s="2"/>
      <c r="C38" s="2"/>
      <c r="D38" s="2"/>
      <c r="E38" s="2"/>
      <c r="F38" s="2"/>
      <c r="G38" s="2"/>
      <c r="H38" s="2"/>
      <c r="I38" s="2"/>
      <c r="J38" s="247"/>
    </row>
    <row r="39" spans="1:10" ht="12.75">
      <c r="A39" s="246"/>
      <c r="B39" s="2"/>
      <c r="C39" s="2"/>
      <c r="D39" s="2"/>
      <c r="E39" s="2"/>
      <c r="F39" s="2"/>
      <c r="G39" s="2"/>
      <c r="H39" s="2"/>
      <c r="I39" s="2"/>
      <c r="J39" s="247"/>
    </row>
    <row r="40" spans="1:10" ht="12.75">
      <c r="A40" s="246"/>
      <c r="B40" s="2"/>
      <c r="C40" s="2"/>
      <c r="D40" s="2"/>
      <c r="E40" s="2"/>
      <c r="F40" s="2"/>
      <c r="G40" s="2"/>
      <c r="H40" s="2"/>
      <c r="I40" s="2"/>
      <c r="J40" s="247"/>
    </row>
    <row r="41" spans="1:10" ht="9" customHeight="1">
      <c r="A41" s="246"/>
      <c r="B41" s="2"/>
      <c r="C41" s="2"/>
      <c r="D41" s="2"/>
      <c r="E41" s="2"/>
      <c r="F41" s="2"/>
      <c r="G41" s="2"/>
      <c r="H41" s="2"/>
      <c r="I41" s="2"/>
      <c r="J41" s="247"/>
    </row>
    <row r="42" spans="1:10" ht="12.75">
      <c r="A42" s="246"/>
      <c r="B42" s="2"/>
      <c r="C42" s="2"/>
      <c r="D42" s="2"/>
      <c r="E42" s="2"/>
      <c r="F42" s="2"/>
      <c r="G42" s="2"/>
      <c r="H42" s="2"/>
      <c r="I42" s="2"/>
      <c r="J42" s="247"/>
    </row>
    <row r="43" spans="1:10" ht="12.75">
      <c r="A43" s="246"/>
      <c r="B43" s="2"/>
      <c r="C43" s="2"/>
      <c r="D43" s="2"/>
      <c r="E43" s="2"/>
      <c r="F43" s="2"/>
      <c r="G43" s="2"/>
      <c r="H43" s="2"/>
      <c r="I43" s="2"/>
      <c r="J43" s="247"/>
    </row>
    <row r="44" spans="1:10" s="25" customFormat="1" ht="12.75" customHeight="1">
      <c r="A44" s="243"/>
      <c r="B44" s="22" t="s">
        <v>21</v>
      </c>
      <c r="C44" s="22"/>
      <c r="D44" s="22"/>
      <c r="E44" s="22"/>
      <c r="F44" s="22"/>
      <c r="G44" s="439" t="s">
        <v>325</v>
      </c>
      <c r="H44" s="439"/>
      <c r="I44" s="22"/>
      <c r="J44" s="244"/>
    </row>
    <row r="45" spans="1:10" s="25" customFormat="1" ht="12.75" customHeight="1">
      <c r="A45" s="243"/>
      <c r="B45" s="22" t="s">
        <v>22</v>
      </c>
      <c r="C45" s="22"/>
      <c r="D45" s="22"/>
      <c r="E45" s="22"/>
      <c r="F45" s="22"/>
      <c r="G45" s="441"/>
      <c r="H45" s="441"/>
      <c r="I45" s="22"/>
      <c r="J45" s="244"/>
    </row>
    <row r="46" spans="1:10" s="25" customFormat="1" ht="12.75" customHeight="1">
      <c r="A46" s="243"/>
      <c r="B46" s="22" t="s">
        <v>16</v>
      </c>
      <c r="C46" s="22"/>
      <c r="D46" s="22"/>
      <c r="E46" s="22"/>
      <c r="F46" s="22"/>
      <c r="G46" s="441" t="s">
        <v>326</v>
      </c>
      <c r="H46" s="441"/>
      <c r="I46" s="22"/>
      <c r="J46" s="244"/>
    </row>
    <row r="47" spans="1:10" s="25" customFormat="1" ht="12.75" customHeight="1">
      <c r="A47" s="243"/>
      <c r="B47" s="22" t="s">
        <v>17</v>
      </c>
      <c r="C47" s="22"/>
      <c r="D47" s="22"/>
      <c r="E47" s="22"/>
      <c r="F47" s="22"/>
      <c r="G47" s="441"/>
      <c r="H47" s="441"/>
      <c r="I47" s="22"/>
      <c r="J47" s="244"/>
    </row>
    <row r="48" spans="1:10" ht="12.75">
      <c r="A48" s="246"/>
      <c r="B48" s="2"/>
      <c r="C48" s="2"/>
      <c r="D48" s="2"/>
      <c r="E48" s="2"/>
      <c r="F48" s="2"/>
      <c r="G48" s="2"/>
      <c r="H48" s="2"/>
      <c r="I48" s="2"/>
      <c r="J48" s="247"/>
    </row>
    <row r="49" spans="1:10" s="31" customFormat="1" ht="12.75" customHeight="1">
      <c r="A49" s="248"/>
      <c r="B49" s="22" t="s">
        <v>23</v>
      </c>
      <c r="C49" s="22"/>
      <c r="D49" s="22"/>
      <c r="E49" s="22"/>
      <c r="F49" s="28" t="s">
        <v>18</v>
      </c>
      <c r="G49" s="442" t="s">
        <v>486</v>
      </c>
      <c r="H49" s="438"/>
      <c r="I49" s="30"/>
      <c r="J49" s="249"/>
    </row>
    <row r="50" spans="1:10" s="31" customFormat="1" ht="12.75" customHeight="1">
      <c r="A50" s="248"/>
      <c r="B50" s="22"/>
      <c r="C50" s="22"/>
      <c r="D50" s="22"/>
      <c r="E50" s="22"/>
      <c r="F50" s="28" t="s">
        <v>19</v>
      </c>
      <c r="G50" s="440" t="s">
        <v>487</v>
      </c>
      <c r="H50" s="438"/>
      <c r="I50" s="30"/>
      <c r="J50" s="249"/>
    </row>
    <row r="51" spans="1:10" s="31" customFormat="1" ht="7.5" customHeight="1">
      <c r="A51" s="248"/>
      <c r="B51" s="22"/>
      <c r="C51" s="22"/>
      <c r="D51" s="22"/>
      <c r="E51" s="22"/>
      <c r="F51" s="28"/>
      <c r="G51" s="28"/>
      <c r="H51" s="28"/>
      <c r="I51" s="30"/>
      <c r="J51" s="249"/>
    </row>
    <row r="52" spans="1:10" s="31" customFormat="1" ht="12.75" customHeight="1">
      <c r="A52" s="248"/>
      <c r="B52" s="22" t="s">
        <v>20</v>
      </c>
      <c r="C52" s="22"/>
      <c r="D52" s="22"/>
      <c r="E52" s="28"/>
      <c r="F52" s="22"/>
      <c r="G52" s="158">
        <v>42819</v>
      </c>
      <c r="H52" s="23"/>
      <c r="I52" s="30"/>
      <c r="J52" s="249"/>
    </row>
    <row r="53" spans="1:10" ht="22.5" customHeight="1" thickBot="1">
      <c r="A53" s="250"/>
      <c r="B53" s="251"/>
      <c r="C53" s="251"/>
      <c r="D53" s="251"/>
      <c r="E53" s="251"/>
      <c r="F53" s="251"/>
      <c r="G53" s="251"/>
      <c r="H53" s="251"/>
      <c r="I53" s="251"/>
      <c r="J53" s="252"/>
    </row>
    <row r="54" ht="6.75" customHeight="1"/>
  </sheetData>
  <sheetProtection/>
  <mergeCells count="9">
    <mergeCell ref="A21:J21"/>
    <mergeCell ref="B22:I22"/>
    <mergeCell ref="B23:I23"/>
    <mergeCell ref="G44:H44"/>
    <mergeCell ref="G50:H50"/>
    <mergeCell ref="G45:H45"/>
    <mergeCell ref="G46:H46"/>
    <mergeCell ref="G47:H47"/>
    <mergeCell ref="G49:H4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2" width="3.7109375" style="314" customWidth="1"/>
    <col min="3" max="3" width="4.00390625" style="314" customWidth="1"/>
    <col min="4" max="4" width="56.28125" style="254" customWidth="1"/>
    <col min="5" max="5" width="8.7109375" style="314" customWidth="1"/>
    <col min="6" max="6" width="14.140625" style="315" customWidth="1"/>
    <col min="7" max="7" width="21.421875" style="315" customWidth="1"/>
    <col min="8" max="8" width="14.28125" style="315" customWidth="1"/>
    <col min="9" max="9" width="29.00390625" style="254" customWidth="1"/>
    <col min="10" max="10" width="23.28125" style="254" customWidth="1"/>
    <col min="11" max="11" width="15.7109375" style="254" customWidth="1"/>
    <col min="12" max="12" width="9.140625" style="254" customWidth="1"/>
    <col min="13" max="13" width="9.7109375" style="254" bestFit="1" customWidth="1"/>
    <col min="14" max="16384" width="9.140625" style="254" customWidth="1"/>
  </cols>
  <sheetData>
    <row r="1" spans="1:8" s="313" customFormat="1" ht="15.75" customHeight="1">
      <c r="A1" s="308"/>
      <c r="B1" s="309"/>
      <c r="C1" s="309"/>
      <c r="D1" s="310"/>
      <c r="E1" s="311"/>
      <c r="F1" s="312"/>
      <c r="G1" s="312"/>
      <c r="H1" s="312"/>
    </row>
    <row r="2" spans="1:8" s="313" customFormat="1" ht="18" customHeight="1">
      <c r="A2" s="446" t="s">
        <v>212</v>
      </c>
      <c r="B2" s="446"/>
      <c r="C2" s="446"/>
      <c r="D2" s="446"/>
      <c r="E2" s="446"/>
      <c r="F2" s="446"/>
      <c r="G2" s="446"/>
      <c r="H2" s="433">
        <f>G24-F24</f>
        <v>-12365069</v>
      </c>
    </row>
    <row r="3" ht="6.75" customHeight="1"/>
    <row r="4" spans="1:8" s="320" customFormat="1" ht="21" customHeight="1">
      <c r="A4" s="316" t="s">
        <v>2</v>
      </c>
      <c r="B4" s="450" t="s">
        <v>7</v>
      </c>
      <c r="C4" s="451"/>
      <c r="D4" s="452"/>
      <c r="E4" s="317" t="s">
        <v>251</v>
      </c>
      <c r="F4" s="318">
        <v>2016</v>
      </c>
      <c r="G4" s="318">
        <v>2015</v>
      </c>
      <c r="H4" s="319"/>
    </row>
    <row r="5" spans="1:10" s="313" customFormat="1" ht="12.75" customHeight="1">
      <c r="A5" s="321"/>
      <c r="B5" s="447" t="s">
        <v>70</v>
      </c>
      <c r="C5" s="448"/>
      <c r="D5" s="449"/>
      <c r="E5" s="323"/>
      <c r="F5" s="324"/>
      <c r="G5" s="324"/>
      <c r="H5" s="353" t="s">
        <v>495</v>
      </c>
      <c r="I5" s="353" t="s">
        <v>496</v>
      </c>
      <c r="J5" s="349">
        <v>34259326.9959592</v>
      </c>
    </row>
    <row r="6" spans="1:10" s="313" customFormat="1" ht="12.75" customHeight="1">
      <c r="A6" s="321"/>
      <c r="B6" s="326" t="s">
        <v>95</v>
      </c>
      <c r="C6" s="322" t="s">
        <v>8</v>
      </c>
      <c r="D6" s="327"/>
      <c r="E6" s="323">
        <v>1</v>
      </c>
      <c r="F6" s="324">
        <f>F7+F8</f>
        <v>5851061.894003741</v>
      </c>
      <c r="G6" s="324">
        <v>7385584</v>
      </c>
      <c r="H6" s="353">
        <v>101</v>
      </c>
      <c r="I6" s="353" t="s">
        <v>497</v>
      </c>
      <c r="J6" s="349">
        <v>-1209658000</v>
      </c>
    </row>
    <row r="7" spans="1:10" s="313" customFormat="1" ht="12.75" customHeight="1">
      <c r="A7" s="321"/>
      <c r="B7" s="328"/>
      <c r="C7" s="329">
        <v>1</v>
      </c>
      <c r="D7" s="330" t="s">
        <v>9</v>
      </c>
      <c r="E7" s="331"/>
      <c r="F7" s="332">
        <v>5310657</v>
      </c>
      <c r="G7" s="333">
        <v>5501129</v>
      </c>
      <c r="H7" s="353">
        <v>1071</v>
      </c>
      <c r="I7" s="353" t="s">
        <v>498</v>
      </c>
      <c r="J7" s="349">
        <v>-5276420</v>
      </c>
    </row>
    <row r="8" spans="1:10" s="313" customFormat="1" ht="12.75" customHeight="1">
      <c r="A8" s="321"/>
      <c r="B8" s="328"/>
      <c r="C8" s="329">
        <v>2</v>
      </c>
      <c r="D8" s="330" t="s">
        <v>10</v>
      </c>
      <c r="E8" s="323"/>
      <c r="F8" s="349">
        <v>540404.894003741</v>
      </c>
      <c r="G8" s="333">
        <v>1884455</v>
      </c>
      <c r="H8" s="353">
        <v>1073</v>
      </c>
      <c r="I8" s="353" t="s">
        <v>107</v>
      </c>
      <c r="J8" s="349">
        <v>-5730398</v>
      </c>
    </row>
    <row r="9" spans="1:10" s="313" customFormat="1" ht="12.75" customHeight="1">
      <c r="A9" s="321"/>
      <c r="B9" s="326" t="s">
        <v>95</v>
      </c>
      <c r="C9" s="322" t="s">
        <v>31</v>
      </c>
      <c r="D9" s="330"/>
      <c r="E9" s="331">
        <v>2</v>
      </c>
      <c r="F9" s="324">
        <f>F10+F11+F12</f>
        <v>1512180137.2642</v>
      </c>
      <c r="G9" s="324">
        <v>1596273807.5</v>
      </c>
      <c r="H9" s="353">
        <v>108</v>
      </c>
      <c r="I9" s="353" t="s">
        <v>499</v>
      </c>
      <c r="J9" s="349">
        <v>366749535</v>
      </c>
    </row>
    <row r="10" spans="1:10" s="313" customFormat="1" ht="12.75" customHeight="1">
      <c r="A10" s="321"/>
      <c r="B10" s="328"/>
      <c r="C10" s="329">
        <v>1</v>
      </c>
      <c r="D10" s="330" t="s">
        <v>33</v>
      </c>
      <c r="E10" s="323">
        <v>2.1</v>
      </c>
      <c r="F10" s="349">
        <v>1022294917.2642</v>
      </c>
      <c r="G10" s="324">
        <v>1106388587.5</v>
      </c>
      <c r="H10" s="353">
        <v>109</v>
      </c>
      <c r="I10" s="353" t="s">
        <v>500</v>
      </c>
      <c r="J10" s="349">
        <v>84438945</v>
      </c>
    </row>
    <row r="11" spans="1:8" s="313" customFormat="1" ht="12.75" customHeight="1">
      <c r="A11" s="321"/>
      <c r="B11" s="328"/>
      <c r="C11" s="329">
        <v>2</v>
      </c>
      <c r="D11" s="330" t="s">
        <v>34</v>
      </c>
      <c r="E11" s="331">
        <v>2.2</v>
      </c>
      <c r="F11" s="324">
        <v>489885220</v>
      </c>
      <c r="G11" s="324">
        <v>489885220</v>
      </c>
      <c r="H11" s="325"/>
    </row>
    <row r="12" spans="1:8" s="313" customFormat="1" ht="12.75" customHeight="1">
      <c r="A12" s="321"/>
      <c r="B12" s="328"/>
      <c r="C12" s="329">
        <v>3</v>
      </c>
      <c r="D12" s="330" t="s">
        <v>32</v>
      </c>
      <c r="E12" s="323">
        <v>2.3</v>
      </c>
      <c r="F12" s="324"/>
      <c r="G12" s="324"/>
      <c r="H12" s="325"/>
    </row>
    <row r="13" spans="1:11" s="313" customFormat="1" ht="12.75" customHeight="1">
      <c r="A13" s="321"/>
      <c r="B13" s="326" t="s">
        <v>95</v>
      </c>
      <c r="C13" s="322" t="s">
        <v>35</v>
      </c>
      <c r="D13" s="330"/>
      <c r="E13" s="323">
        <v>3</v>
      </c>
      <c r="F13" s="324">
        <f>F14+F15+F16+F17+F18+F19+F20</f>
        <v>1099544345.0609798</v>
      </c>
      <c r="G13" s="324">
        <v>704105719.5</v>
      </c>
      <c r="H13" s="353">
        <v>2115</v>
      </c>
      <c r="I13" s="353" t="s">
        <v>501</v>
      </c>
      <c r="J13" s="349">
        <v>22604168</v>
      </c>
      <c r="K13" s="348">
        <f>J13+J14+J22</f>
        <v>98412879</v>
      </c>
    </row>
    <row r="14" spans="1:10" s="313" customFormat="1" ht="12.75" customHeight="1">
      <c r="A14" s="321"/>
      <c r="B14" s="328"/>
      <c r="C14" s="329">
        <v>1</v>
      </c>
      <c r="D14" s="330" t="s">
        <v>36</v>
      </c>
      <c r="E14" s="331">
        <v>3.1</v>
      </c>
      <c r="F14" s="332">
        <v>1052135993.5</v>
      </c>
      <c r="G14" s="333">
        <v>616348437.5</v>
      </c>
      <c r="H14" s="353">
        <v>2121</v>
      </c>
      <c r="I14" s="353" t="s">
        <v>502</v>
      </c>
      <c r="J14" s="349">
        <v>133405900</v>
      </c>
    </row>
    <row r="15" spans="1:11" s="313" customFormat="1" ht="12.75" customHeight="1">
      <c r="A15" s="321"/>
      <c r="B15" s="328"/>
      <c r="C15" s="329">
        <v>2</v>
      </c>
      <c r="D15" s="330" t="s">
        <v>37</v>
      </c>
      <c r="E15" s="323">
        <v>3.2</v>
      </c>
      <c r="F15" s="324"/>
      <c r="G15" s="324"/>
      <c r="H15" s="353">
        <v>2131</v>
      </c>
      <c r="I15" s="353" t="s">
        <v>491</v>
      </c>
      <c r="J15" s="349">
        <v>2077598</v>
      </c>
      <c r="K15" s="348">
        <f>J15+J18+J21</f>
        <v>7895994</v>
      </c>
    </row>
    <row r="16" spans="1:11" s="313" customFormat="1" ht="12.75" customHeight="1">
      <c r="A16" s="321"/>
      <c r="B16" s="328"/>
      <c r="C16" s="329">
        <v>3</v>
      </c>
      <c r="D16" s="330" t="s">
        <v>38</v>
      </c>
      <c r="E16" s="331">
        <v>3.3</v>
      </c>
      <c r="F16" s="324"/>
      <c r="G16" s="324"/>
      <c r="H16" s="353">
        <v>2133</v>
      </c>
      <c r="I16" s="353" t="s">
        <v>492</v>
      </c>
      <c r="J16" s="349">
        <v>1242319224.37944</v>
      </c>
      <c r="K16" s="348">
        <f>J16+J19+J23</f>
        <v>478929993.37944007</v>
      </c>
    </row>
    <row r="17" spans="1:11" s="313" customFormat="1" ht="12.75" customHeight="1">
      <c r="A17" s="321"/>
      <c r="B17" s="328"/>
      <c r="C17" s="329">
        <v>4</v>
      </c>
      <c r="D17" s="330" t="s">
        <v>39</v>
      </c>
      <c r="E17" s="323">
        <v>3.4</v>
      </c>
      <c r="F17" s="324"/>
      <c r="G17" s="332"/>
      <c r="H17" s="353">
        <v>215</v>
      </c>
      <c r="I17" s="353" t="s">
        <v>353</v>
      </c>
      <c r="J17" s="349">
        <v>5607572</v>
      </c>
      <c r="K17" s="348">
        <f>J17+J24</f>
        <v>942546</v>
      </c>
    </row>
    <row r="18" spans="1:10" s="313" customFormat="1" ht="12.75" customHeight="1">
      <c r="A18" s="321"/>
      <c r="B18" s="328"/>
      <c r="C18" s="329">
        <v>5</v>
      </c>
      <c r="D18" s="330" t="s">
        <v>40</v>
      </c>
      <c r="E18" s="331">
        <v>3.5</v>
      </c>
      <c r="F18" s="324"/>
      <c r="G18" s="324"/>
      <c r="H18" s="353">
        <v>2181</v>
      </c>
      <c r="I18" s="353" t="s">
        <v>503</v>
      </c>
      <c r="J18" s="349">
        <v>12181312</v>
      </c>
    </row>
    <row r="19" spans="1:10" s="313" customFormat="1" ht="12.75" customHeight="1">
      <c r="A19" s="321"/>
      <c r="B19" s="334"/>
      <c r="C19" s="329">
        <v>6</v>
      </c>
      <c r="D19" s="330" t="s">
        <v>530</v>
      </c>
      <c r="E19" s="331">
        <v>3.6</v>
      </c>
      <c r="F19" s="349">
        <v>14449727.560979918</v>
      </c>
      <c r="G19" s="332"/>
      <c r="H19" s="353">
        <v>2188</v>
      </c>
      <c r="I19" s="353" t="s">
        <v>493</v>
      </c>
      <c r="J19" s="349">
        <v>6374227</v>
      </c>
    </row>
    <row r="20" spans="1:10" s="313" customFormat="1" ht="12.75" customHeight="1">
      <c r="A20" s="321"/>
      <c r="B20" s="334"/>
      <c r="C20" s="329">
        <v>7</v>
      </c>
      <c r="D20" s="330" t="s">
        <v>531</v>
      </c>
      <c r="E20" s="331">
        <v>3.7</v>
      </c>
      <c r="F20" s="349">
        <v>32958624</v>
      </c>
      <c r="G20" s="332">
        <v>87757282</v>
      </c>
      <c r="H20" s="353">
        <v>231</v>
      </c>
      <c r="I20" s="353" t="s">
        <v>494</v>
      </c>
      <c r="J20" s="349">
        <v>58167912</v>
      </c>
    </row>
    <row r="21" spans="1:10" s="313" customFormat="1" ht="12.75" customHeight="1">
      <c r="A21" s="321"/>
      <c r="B21" s="326" t="s">
        <v>95</v>
      </c>
      <c r="C21" s="322" t="s">
        <v>41</v>
      </c>
      <c r="D21" s="327"/>
      <c r="E21" s="331">
        <v>4</v>
      </c>
      <c r="F21" s="324">
        <f>F22+F23+F24+F25+F26+F27+F28</f>
        <v>253210933</v>
      </c>
      <c r="G21" s="324">
        <v>412803531</v>
      </c>
      <c r="H21" s="353">
        <v>2808</v>
      </c>
      <c r="I21" s="353" t="s">
        <v>504</v>
      </c>
      <c r="J21" s="349">
        <v>-6362916</v>
      </c>
    </row>
    <row r="22" spans="1:13" s="313" customFormat="1" ht="12.75" customHeight="1">
      <c r="A22" s="321"/>
      <c r="B22" s="335"/>
      <c r="C22" s="329">
        <v>1</v>
      </c>
      <c r="D22" s="330" t="s">
        <v>42</v>
      </c>
      <c r="E22" s="323">
        <v>4.1</v>
      </c>
      <c r="F22" s="332">
        <f>253210933-37489307</f>
        <v>215721626</v>
      </c>
      <c r="G22" s="324">
        <f>G21-G24-G28</f>
        <v>390009223</v>
      </c>
      <c r="H22" s="353">
        <v>2812</v>
      </c>
      <c r="I22" s="353" t="s">
        <v>505</v>
      </c>
      <c r="J22" s="349">
        <v>-57597189</v>
      </c>
      <c r="K22" s="336"/>
      <c r="M22" s="336"/>
    </row>
    <row r="23" spans="1:11" s="313" customFormat="1" ht="14.25" customHeight="1">
      <c r="A23" s="321"/>
      <c r="B23" s="335"/>
      <c r="C23" s="329">
        <v>2</v>
      </c>
      <c r="D23" s="330" t="s">
        <v>337</v>
      </c>
      <c r="E23" s="331">
        <v>4.2</v>
      </c>
      <c r="F23" s="324"/>
      <c r="G23" s="324"/>
      <c r="H23" s="353">
        <v>2813</v>
      </c>
      <c r="I23" s="353" t="s">
        <v>506</v>
      </c>
      <c r="J23" s="349">
        <v>-769763458</v>
      </c>
      <c r="K23" s="336"/>
    </row>
    <row r="24" spans="1:11" s="313" customFormat="1" ht="12.75" customHeight="1">
      <c r="A24" s="321"/>
      <c r="B24" s="335"/>
      <c r="C24" s="329">
        <v>3</v>
      </c>
      <c r="D24" s="330" t="s">
        <v>43</v>
      </c>
      <c r="E24" s="323">
        <v>4.3</v>
      </c>
      <c r="F24" s="324">
        <v>26766657</v>
      </c>
      <c r="G24" s="324">
        <v>14401588</v>
      </c>
      <c r="H24" s="353">
        <v>2815</v>
      </c>
      <c r="I24" s="353" t="s">
        <v>507</v>
      </c>
      <c r="J24" s="349">
        <v>-4665026</v>
      </c>
      <c r="K24" s="336"/>
    </row>
    <row r="25" spans="1:11" s="313" customFormat="1" ht="12.75" customHeight="1">
      <c r="A25" s="321"/>
      <c r="B25" s="335"/>
      <c r="C25" s="329">
        <v>4</v>
      </c>
      <c r="D25" s="330" t="s">
        <v>44</v>
      </c>
      <c r="E25" s="331">
        <v>4.4</v>
      </c>
      <c r="F25" s="324"/>
      <c r="G25" s="324"/>
      <c r="H25" s="353"/>
      <c r="I25" s="353"/>
      <c r="J25" s="349">
        <f>SUM(J13:J24)</f>
        <v>644349324.3794401</v>
      </c>
      <c r="K25" s="336"/>
    </row>
    <row r="26" spans="1:11" s="313" customFormat="1" ht="12.75" customHeight="1">
      <c r="A26" s="321"/>
      <c r="B26" s="335"/>
      <c r="C26" s="329">
        <v>5</v>
      </c>
      <c r="D26" s="330" t="s">
        <v>45</v>
      </c>
      <c r="E26" s="323">
        <v>4.5</v>
      </c>
      <c r="F26" s="324"/>
      <c r="G26" s="324"/>
      <c r="H26" s="353">
        <v>351</v>
      </c>
      <c r="I26" s="353" t="s">
        <v>508</v>
      </c>
      <c r="J26" s="349">
        <v>253210932.8074</v>
      </c>
      <c r="K26" s="336"/>
    </row>
    <row r="27" spans="1:11" s="313" customFormat="1" ht="12.75" customHeight="1">
      <c r="A27" s="321"/>
      <c r="B27" s="335"/>
      <c r="C27" s="329">
        <v>6</v>
      </c>
      <c r="D27" s="330" t="s">
        <v>46</v>
      </c>
      <c r="E27" s="331">
        <v>4.6</v>
      </c>
      <c r="F27" s="324"/>
      <c r="G27" s="324"/>
      <c r="H27" s="353">
        <v>401</v>
      </c>
      <c r="I27" s="353" t="s">
        <v>509</v>
      </c>
      <c r="J27" s="349">
        <v>-468164465.14352</v>
      </c>
      <c r="K27" s="336"/>
    </row>
    <row r="28" spans="1:11" s="313" customFormat="1" ht="12.75" customHeight="1">
      <c r="A28" s="321"/>
      <c r="B28" s="335"/>
      <c r="C28" s="329">
        <v>7</v>
      </c>
      <c r="D28" s="330" t="s">
        <v>476</v>
      </c>
      <c r="E28" s="323">
        <v>4.7</v>
      </c>
      <c r="F28" s="324">
        <v>10722650</v>
      </c>
      <c r="G28" s="324">
        <v>8392720</v>
      </c>
      <c r="H28" s="353">
        <v>403</v>
      </c>
      <c r="I28" s="353" t="s">
        <v>510</v>
      </c>
      <c r="J28" s="349">
        <v>32958624</v>
      </c>
      <c r="K28" s="336"/>
    </row>
    <row r="29" spans="1:11" s="313" customFormat="1" ht="12.75" customHeight="1">
      <c r="A29" s="321"/>
      <c r="B29" s="326" t="s">
        <v>95</v>
      </c>
      <c r="C29" s="322" t="s">
        <v>48</v>
      </c>
      <c r="D29" s="327"/>
      <c r="E29" s="323">
        <v>5</v>
      </c>
      <c r="F29" s="324"/>
      <c r="G29" s="324"/>
      <c r="H29" s="353">
        <v>411</v>
      </c>
      <c r="I29" s="353" t="s">
        <v>511</v>
      </c>
      <c r="J29" s="349">
        <v>1022294917.2642</v>
      </c>
      <c r="K29" s="336"/>
    </row>
    <row r="30" spans="1:10" s="313" customFormat="1" ht="12.75" customHeight="1">
      <c r="A30" s="321"/>
      <c r="B30" s="326" t="s">
        <v>95</v>
      </c>
      <c r="C30" s="322" t="s">
        <v>49</v>
      </c>
      <c r="D30" s="327"/>
      <c r="E30" s="331">
        <v>6</v>
      </c>
      <c r="F30" s="324"/>
      <c r="G30" s="324"/>
      <c r="H30" s="353">
        <v>421</v>
      </c>
      <c r="I30" s="353" t="s">
        <v>512</v>
      </c>
      <c r="J30" s="349">
        <v>-2048742</v>
      </c>
    </row>
    <row r="31" spans="1:10" s="313" customFormat="1" ht="12.75" customHeight="1">
      <c r="A31" s="337" t="s">
        <v>3</v>
      </c>
      <c r="B31" s="443" t="s">
        <v>69</v>
      </c>
      <c r="C31" s="444"/>
      <c r="D31" s="445"/>
      <c r="E31" s="331"/>
      <c r="F31" s="324">
        <f>F6+F9+F13+F21+F29+F30</f>
        <v>2870786477.2191834</v>
      </c>
      <c r="G31" s="324">
        <v>2720568642</v>
      </c>
      <c r="H31" s="353">
        <v>431</v>
      </c>
      <c r="I31" s="353" t="s">
        <v>513</v>
      </c>
      <c r="J31" s="349">
        <v>-669107</v>
      </c>
    </row>
    <row r="32" spans="1:10" s="313" customFormat="1" ht="12.75" customHeight="1">
      <c r="A32" s="321"/>
      <c r="B32" s="447" t="s">
        <v>72</v>
      </c>
      <c r="C32" s="448"/>
      <c r="D32" s="449"/>
      <c r="E32" s="323"/>
      <c r="F32" s="324"/>
      <c r="G32" s="324"/>
      <c r="H32" s="353">
        <v>437</v>
      </c>
      <c r="I32" s="353" t="s">
        <v>514</v>
      </c>
      <c r="J32" s="349">
        <v>0</v>
      </c>
    </row>
    <row r="33" spans="1:10" s="313" customFormat="1" ht="12.75" customHeight="1">
      <c r="A33" s="321"/>
      <c r="B33" s="326" t="s">
        <v>95</v>
      </c>
      <c r="C33" s="322" t="s">
        <v>52</v>
      </c>
      <c r="D33" s="327"/>
      <c r="E33" s="331">
        <v>7</v>
      </c>
      <c r="F33" s="324">
        <f>F34+F35+F36+F37+F38+F39</f>
        <v>0</v>
      </c>
      <c r="G33" s="324">
        <v>0</v>
      </c>
      <c r="H33" s="353">
        <v>441</v>
      </c>
      <c r="I33" s="353" t="s">
        <v>299</v>
      </c>
      <c r="J33" s="349">
        <v>0</v>
      </c>
    </row>
    <row r="34" spans="1:10" s="313" customFormat="1" ht="12.75" customHeight="1">
      <c r="A34" s="321"/>
      <c r="B34" s="335"/>
      <c r="C34" s="329">
        <v>1</v>
      </c>
      <c r="D34" s="330" t="s">
        <v>53</v>
      </c>
      <c r="E34" s="323">
        <v>7.1</v>
      </c>
      <c r="F34" s="324"/>
      <c r="G34" s="324"/>
      <c r="H34" s="353">
        <v>444</v>
      </c>
      <c r="I34" s="353" t="s">
        <v>234</v>
      </c>
      <c r="J34" s="349">
        <v>3094908</v>
      </c>
    </row>
    <row r="35" spans="1:10" s="313" customFormat="1" ht="12.75" customHeight="1">
      <c r="A35" s="321"/>
      <c r="B35" s="335"/>
      <c r="C35" s="329">
        <v>2</v>
      </c>
      <c r="D35" s="330" t="s">
        <v>54</v>
      </c>
      <c r="E35" s="331">
        <v>7.2</v>
      </c>
      <c r="F35" s="324"/>
      <c r="G35" s="324"/>
      <c r="H35" s="353">
        <v>4453</v>
      </c>
      <c r="I35" s="353" t="s">
        <v>515</v>
      </c>
      <c r="J35" s="349">
        <v>38571733</v>
      </c>
    </row>
    <row r="36" spans="1:10" s="313" customFormat="1" ht="12.75" customHeight="1">
      <c r="A36" s="321"/>
      <c r="B36" s="335"/>
      <c r="C36" s="329">
        <v>3</v>
      </c>
      <c r="D36" s="330" t="s">
        <v>55</v>
      </c>
      <c r="E36" s="323">
        <v>7.3</v>
      </c>
      <c r="F36" s="324"/>
      <c r="G36" s="324"/>
      <c r="H36" s="353">
        <v>4455</v>
      </c>
      <c r="I36" s="353" t="s">
        <v>516</v>
      </c>
      <c r="J36" s="349">
        <v>48982538.70318</v>
      </c>
    </row>
    <row r="37" spans="1:10" s="313" customFormat="1" ht="12.75" customHeight="1">
      <c r="A37" s="321"/>
      <c r="B37" s="335"/>
      <c r="C37" s="329">
        <v>4</v>
      </c>
      <c r="D37" s="330" t="s">
        <v>56</v>
      </c>
      <c r="E37" s="331">
        <v>7.4</v>
      </c>
      <c r="F37" s="324"/>
      <c r="G37" s="324"/>
      <c r="H37" s="353">
        <v>4456</v>
      </c>
      <c r="I37" s="353" t="s">
        <v>517</v>
      </c>
      <c r="J37" s="349">
        <v>-90271209.7422001</v>
      </c>
    </row>
    <row r="38" spans="1:10" s="313" customFormat="1" ht="12.75" customHeight="1">
      <c r="A38" s="321"/>
      <c r="B38" s="335"/>
      <c r="C38" s="329">
        <v>5</v>
      </c>
      <c r="D38" s="330" t="s">
        <v>57</v>
      </c>
      <c r="E38" s="323">
        <v>7.5</v>
      </c>
      <c r="F38" s="324"/>
      <c r="G38" s="324"/>
      <c r="H38" s="353">
        <v>4457</v>
      </c>
      <c r="I38" s="353" t="s">
        <v>518</v>
      </c>
      <c r="J38" s="349">
        <v>13698761</v>
      </c>
    </row>
    <row r="39" spans="1:10" s="313" customFormat="1" ht="12.75" customHeight="1">
      <c r="A39" s="321"/>
      <c r="B39" s="335"/>
      <c r="C39" s="329">
        <v>6</v>
      </c>
      <c r="D39" s="330" t="s">
        <v>58</v>
      </c>
      <c r="E39" s="331">
        <v>7.6</v>
      </c>
      <c r="F39" s="324"/>
      <c r="G39" s="324"/>
      <c r="H39" s="353">
        <v>4461</v>
      </c>
      <c r="I39" s="353" t="s">
        <v>519</v>
      </c>
      <c r="J39" s="349">
        <v>372996.600000024</v>
      </c>
    </row>
    <row r="40" spans="1:10" s="313" customFormat="1" ht="12.75" customHeight="1">
      <c r="A40" s="321"/>
      <c r="B40" s="326" t="s">
        <v>95</v>
      </c>
      <c r="C40" s="322" t="s">
        <v>59</v>
      </c>
      <c r="D40" s="339"/>
      <c r="E40" s="331">
        <v>8</v>
      </c>
      <c r="F40" s="324">
        <f>F41+F42+F43+F45+F44</f>
        <v>644349324.3794401</v>
      </c>
      <c r="G40" s="324">
        <v>633091867</v>
      </c>
      <c r="H40" s="353">
        <v>449</v>
      </c>
      <c r="I40" s="353" t="s">
        <v>520</v>
      </c>
      <c r="J40" s="349"/>
    </row>
    <row r="41" spans="1:10" s="313" customFormat="1" ht="12.75" customHeight="1">
      <c r="A41" s="321"/>
      <c r="B41" s="328"/>
      <c r="C41" s="329">
        <v>1</v>
      </c>
      <c r="D41" s="330" t="s">
        <v>60</v>
      </c>
      <c r="E41" s="323">
        <v>8.1</v>
      </c>
      <c r="F41" s="324">
        <v>98412879</v>
      </c>
      <c r="G41" s="324">
        <v>98412879</v>
      </c>
      <c r="H41" s="353">
        <v>455</v>
      </c>
      <c r="I41" s="353" t="s">
        <v>521</v>
      </c>
      <c r="J41" s="349">
        <v>1052135992.56</v>
      </c>
    </row>
    <row r="42" spans="1:11" s="313" customFormat="1" ht="12.75" customHeight="1">
      <c r="A42" s="321"/>
      <c r="B42" s="328"/>
      <c r="C42" s="329">
        <v>2</v>
      </c>
      <c r="D42" s="330" t="s">
        <v>61</v>
      </c>
      <c r="E42" s="331">
        <v>8.2</v>
      </c>
      <c r="F42" s="332">
        <v>478929993.37944007</v>
      </c>
      <c r="G42" s="332">
        <v>462009679</v>
      </c>
      <c r="H42" s="353">
        <v>467</v>
      </c>
      <c r="I42" s="353" t="s">
        <v>522</v>
      </c>
      <c r="J42" s="349">
        <v>489885220</v>
      </c>
      <c r="K42" s="313">
        <v>484110848</v>
      </c>
    </row>
    <row r="43" spans="1:11" s="313" customFormat="1" ht="12.75" customHeight="1">
      <c r="A43" s="321"/>
      <c r="B43" s="328"/>
      <c r="C43" s="329">
        <v>3</v>
      </c>
      <c r="D43" s="330" t="s">
        <v>62</v>
      </c>
      <c r="E43" s="323">
        <v>8.3</v>
      </c>
      <c r="F43" s="332">
        <v>7895994</v>
      </c>
      <c r="G43" s="332">
        <v>14270220.5</v>
      </c>
      <c r="H43" s="353">
        <v>4681</v>
      </c>
      <c r="I43" s="353" t="s">
        <v>523</v>
      </c>
      <c r="J43" s="349">
        <v>-293969376.61</v>
      </c>
      <c r="K43" s="313">
        <v>0</v>
      </c>
    </row>
    <row r="44" spans="1:10" s="313" customFormat="1" ht="12.75" customHeight="1">
      <c r="A44" s="321"/>
      <c r="B44" s="328"/>
      <c r="C44" s="329">
        <v>4</v>
      </c>
      <c r="D44" s="330" t="s">
        <v>477</v>
      </c>
      <c r="E44" s="323">
        <v>8.4</v>
      </c>
      <c r="F44" s="332">
        <v>942546</v>
      </c>
      <c r="G44" s="332">
        <v>942545.5</v>
      </c>
      <c r="H44" s="353">
        <v>5121</v>
      </c>
      <c r="I44" s="353" t="s">
        <v>524</v>
      </c>
      <c r="J44" s="349">
        <v>-883323567.33</v>
      </c>
    </row>
    <row r="45" spans="1:11" s="313" customFormat="1" ht="12.75" customHeight="1">
      <c r="A45" s="321"/>
      <c r="B45" s="328"/>
      <c r="C45" s="329">
        <v>5</v>
      </c>
      <c r="D45" s="330" t="s">
        <v>63</v>
      </c>
      <c r="E45" s="331">
        <v>8.5</v>
      </c>
      <c r="F45" s="349">
        <v>58167912</v>
      </c>
      <c r="G45" s="324">
        <v>57456543</v>
      </c>
      <c r="H45" s="353">
        <v>51241</v>
      </c>
      <c r="I45" s="353" t="s">
        <v>525</v>
      </c>
      <c r="J45" s="349">
        <v>252029.214500259</v>
      </c>
      <c r="K45" s="313">
        <v>0</v>
      </c>
    </row>
    <row r="46" spans="1:11" s="313" customFormat="1" ht="12.75" customHeight="1">
      <c r="A46" s="321"/>
      <c r="B46" s="326" t="s">
        <v>95</v>
      </c>
      <c r="C46" s="322" t="s">
        <v>64</v>
      </c>
      <c r="D46" s="327"/>
      <c r="E46" s="331">
        <v>9</v>
      </c>
      <c r="F46" s="324"/>
      <c r="G46" s="324"/>
      <c r="H46" s="353">
        <v>51242</v>
      </c>
      <c r="I46" s="353" t="s">
        <v>526</v>
      </c>
      <c r="J46" s="349">
        <v>-1058166252.0869</v>
      </c>
      <c r="K46" s="313">
        <v>203630</v>
      </c>
    </row>
    <row r="47" spans="1:11" s="313" customFormat="1" ht="12.75" customHeight="1">
      <c r="A47" s="321"/>
      <c r="B47" s="326" t="s">
        <v>95</v>
      </c>
      <c r="C47" s="322" t="s">
        <v>65</v>
      </c>
      <c r="D47" s="327"/>
      <c r="E47" s="331">
        <v>10</v>
      </c>
      <c r="F47" s="324">
        <f>F48+F49+F50</f>
        <v>0</v>
      </c>
      <c r="G47" s="324">
        <v>0</v>
      </c>
      <c r="H47" s="353">
        <v>5311</v>
      </c>
      <c r="I47" s="353" t="s">
        <v>527</v>
      </c>
      <c r="J47" s="349">
        <v>540404.894003741</v>
      </c>
      <c r="K47" s="313">
        <v>356696</v>
      </c>
    </row>
    <row r="48" spans="1:10" s="313" customFormat="1" ht="12.75" customHeight="1">
      <c r="A48" s="321"/>
      <c r="B48" s="328"/>
      <c r="C48" s="329">
        <v>1</v>
      </c>
      <c r="D48" s="327" t="s">
        <v>66</v>
      </c>
      <c r="E48" s="323">
        <v>10.1</v>
      </c>
      <c r="F48" s="324"/>
      <c r="G48" s="324"/>
      <c r="H48" s="353">
        <v>581</v>
      </c>
      <c r="I48" s="353" t="s">
        <v>528</v>
      </c>
      <c r="J48" s="349">
        <v>-0.00120007153600454</v>
      </c>
    </row>
    <row r="49" spans="1:10" s="313" customFormat="1" ht="12.75" customHeight="1">
      <c r="A49" s="321"/>
      <c r="B49" s="328"/>
      <c r="C49" s="329">
        <v>2</v>
      </c>
      <c r="D49" s="330" t="s">
        <v>67</v>
      </c>
      <c r="E49" s="331">
        <v>10.2</v>
      </c>
      <c r="F49" s="324"/>
      <c r="G49" s="324"/>
      <c r="H49" s="353">
        <v>81</v>
      </c>
      <c r="I49" s="353" t="s">
        <v>529</v>
      </c>
      <c r="J49" s="349">
        <v>2.56399989128113</v>
      </c>
    </row>
    <row r="50" spans="1:10" s="313" customFormat="1" ht="12.75" customHeight="1">
      <c r="A50" s="321"/>
      <c r="B50" s="328"/>
      <c r="C50" s="329">
        <v>3</v>
      </c>
      <c r="D50" s="330" t="s">
        <v>68</v>
      </c>
      <c r="E50" s="323">
        <v>10.3</v>
      </c>
      <c r="F50" s="324"/>
      <c r="G50" s="324"/>
      <c r="H50" s="325"/>
      <c r="J50" s="348">
        <f>SUM(J35:J39)</f>
        <v>11354819.560979918</v>
      </c>
    </row>
    <row r="51" spans="1:8" s="313" customFormat="1" ht="12.75" customHeight="1">
      <c r="A51" s="321"/>
      <c r="B51" s="326" t="s">
        <v>95</v>
      </c>
      <c r="C51" s="322" t="s">
        <v>50</v>
      </c>
      <c r="D51" s="327"/>
      <c r="E51" s="323">
        <v>11</v>
      </c>
      <c r="F51" s="324"/>
      <c r="G51" s="324"/>
      <c r="H51" s="325"/>
    </row>
    <row r="52" spans="1:8" s="313" customFormat="1" ht="12.75" customHeight="1">
      <c r="A52" s="321"/>
      <c r="B52" s="326" t="s">
        <v>95</v>
      </c>
      <c r="C52" s="322" t="s">
        <v>51</v>
      </c>
      <c r="D52" s="327"/>
      <c r="E52" s="331">
        <v>12</v>
      </c>
      <c r="F52" s="324"/>
      <c r="G52" s="324"/>
      <c r="H52" s="325"/>
    </row>
    <row r="53" spans="1:8" s="313" customFormat="1" ht="12.75" customHeight="1">
      <c r="A53" s="340" t="s">
        <v>4</v>
      </c>
      <c r="B53" s="443" t="s">
        <v>71</v>
      </c>
      <c r="C53" s="444"/>
      <c r="D53" s="445"/>
      <c r="E53" s="331"/>
      <c r="F53" s="324">
        <f>F33+F40+F46+F47+F51+F52</f>
        <v>644349324.3794401</v>
      </c>
      <c r="G53" s="324">
        <v>633091867</v>
      </c>
      <c r="H53" s="325"/>
    </row>
    <row r="54" spans="1:8" s="344" customFormat="1" ht="30" customHeight="1">
      <c r="A54" s="341"/>
      <c r="B54" s="443" t="s">
        <v>87</v>
      </c>
      <c r="C54" s="444"/>
      <c r="D54" s="445"/>
      <c r="E54" s="338"/>
      <c r="F54" s="342">
        <f>F31+F53</f>
        <v>3515135801.5986233</v>
      </c>
      <c r="G54" s="342">
        <v>3353660509</v>
      </c>
      <c r="H54" s="343">
        <f>G54-F54</f>
        <v>-161475292.59862328</v>
      </c>
    </row>
    <row r="55" spans="1:8" s="313" customFormat="1" ht="12.75" customHeight="1">
      <c r="A55" s="321"/>
      <c r="B55" s="335"/>
      <c r="C55" s="329"/>
      <c r="D55" s="323"/>
      <c r="E55" s="321"/>
      <c r="F55" s="324"/>
      <c r="G55" s="324"/>
      <c r="H55" s="325"/>
    </row>
    <row r="56" spans="1:8" s="313" customFormat="1" ht="18.75" customHeight="1">
      <c r="A56" s="345"/>
      <c r="B56" s="443" t="s">
        <v>339</v>
      </c>
      <c r="C56" s="444"/>
      <c r="D56" s="445"/>
      <c r="E56" s="323"/>
      <c r="F56" s="324"/>
      <c r="G56" s="324"/>
      <c r="H56" s="325"/>
    </row>
    <row r="59" spans="6:7" ht="12.75">
      <c r="F59" s="315">
        <f>F54-Pasivet!G49</f>
        <v>-0.46773338317871094</v>
      </c>
      <c r="G59" s="315">
        <f>G54-Pasivet!H49</f>
        <v>0</v>
      </c>
    </row>
  </sheetData>
  <sheetProtection/>
  <mergeCells count="8">
    <mergeCell ref="B56:D56"/>
    <mergeCell ref="B31:D31"/>
    <mergeCell ref="A2:G2"/>
    <mergeCell ref="B32:D32"/>
    <mergeCell ref="B54:D54"/>
    <mergeCell ref="B5:D5"/>
    <mergeCell ref="B53:D53"/>
    <mergeCell ref="B4:D4"/>
  </mergeCells>
  <printOptions horizontalCentered="1" verticalCentered="1"/>
  <pageMargins left="0" right="0" top="0" bottom="0" header="0.511811023622047" footer="0.511811023622047"/>
  <pageSetup fitToHeight="1" fitToWidth="1" horizontalDpi="300" verticalDpi="3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0.42578125" style="254" customWidth="1"/>
    <col min="2" max="2" width="3.7109375" style="314" customWidth="1"/>
    <col min="3" max="3" width="4.00390625" style="314" customWidth="1"/>
    <col min="4" max="4" width="3.421875" style="314" customWidth="1"/>
    <col min="5" max="5" width="47.00390625" style="254" customWidth="1"/>
    <col min="6" max="6" width="9.7109375" style="314" bestFit="1" customWidth="1"/>
    <col min="7" max="7" width="16.140625" style="315" customWidth="1"/>
    <col min="8" max="8" width="13.421875" style="315" customWidth="1"/>
    <col min="9" max="9" width="9.140625" style="254" customWidth="1"/>
    <col min="10" max="10" width="33.57421875" style="254" customWidth="1"/>
    <col min="11" max="11" width="20.7109375" style="254" customWidth="1"/>
    <col min="12" max="12" width="14.00390625" style="254" bestFit="1" customWidth="1"/>
    <col min="13" max="16384" width="9.140625" style="254" customWidth="1"/>
  </cols>
  <sheetData>
    <row r="1" ht="12.75"/>
    <row r="2" spans="2:10" s="313" customFormat="1" ht="6" customHeight="1">
      <c r="B2" s="308"/>
      <c r="C2" s="309"/>
      <c r="D2" s="309"/>
      <c r="E2" s="310"/>
      <c r="F2" s="311"/>
      <c r="G2" s="312"/>
      <c r="H2" s="312"/>
      <c r="J2" s="313">
        <v>-2048742</v>
      </c>
    </row>
    <row r="3" spans="2:10" s="313" customFormat="1" ht="18" customHeight="1">
      <c r="B3" s="446" t="s">
        <v>212</v>
      </c>
      <c r="C3" s="446"/>
      <c r="D3" s="446"/>
      <c r="E3" s="446"/>
      <c r="F3" s="446"/>
      <c r="G3" s="446"/>
      <c r="H3" s="446"/>
      <c r="J3" s="313">
        <v>-669107</v>
      </c>
    </row>
    <row r="4" ht="6.75" customHeight="1"/>
    <row r="5" spans="2:10" s="344" customFormat="1" ht="21" customHeight="1">
      <c r="B5" s="316" t="s">
        <v>2</v>
      </c>
      <c r="C5" s="443" t="s">
        <v>73</v>
      </c>
      <c r="D5" s="444"/>
      <c r="E5" s="445"/>
      <c r="F5" s="317" t="s">
        <v>251</v>
      </c>
      <c r="G5" s="318">
        <v>2016</v>
      </c>
      <c r="H5" s="318">
        <v>2015</v>
      </c>
      <c r="J5" s="354">
        <f>G8-1941237790</f>
        <v>5310657</v>
      </c>
    </row>
    <row r="6" spans="2:11" s="313" customFormat="1" ht="12.75" customHeight="1">
      <c r="B6" s="321"/>
      <c r="C6" s="326" t="s">
        <v>95</v>
      </c>
      <c r="D6" s="322" t="s">
        <v>74</v>
      </c>
      <c r="E6" s="327"/>
      <c r="F6" s="323">
        <v>13</v>
      </c>
      <c r="G6" s="324">
        <f>SUM(G7:G16)</f>
        <v>2417430761.14352</v>
      </c>
      <c r="H6" s="324">
        <f>SUM(H7:H16)</f>
        <v>2294012858</v>
      </c>
      <c r="I6" s="353" t="s">
        <v>495</v>
      </c>
      <c r="J6" s="353" t="s">
        <v>496</v>
      </c>
      <c r="K6" s="349">
        <v>34259326.9959592</v>
      </c>
    </row>
    <row r="7" spans="2:11" s="313" customFormat="1" ht="12.75" customHeight="1">
      <c r="B7" s="321"/>
      <c r="C7" s="328"/>
      <c r="D7" s="329">
        <v>1</v>
      </c>
      <c r="E7" s="330" t="s">
        <v>75</v>
      </c>
      <c r="F7" s="331" t="s">
        <v>271</v>
      </c>
      <c r="G7" s="324"/>
      <c r="H7" s="324"/>
      <c r="I7" s="353">
        <v>101</v>
      </c>
      <c r="J7" s="353" t="s">
        <v>497</v>
      </c>
      <c r="K7" s="349">
        <v>-1209658000</v>
      </c>
    </row>
    <row r="8" spans="2:11" s="313" customFormat="1" ht="12.75" customHeight="1">
      <c r="B8" s="321"/>
      <c r="C8" s="328"/>
      <c r="D8" s="329">
        <v>2</v>
      </c>
      <c r="E8" s="330" t="s">
        <v>76</v>
      </c>
      <c r="F8" s="323" t="s">
        <v>272</v>
      </c>
      <c r="G8" s="324">
        <f>1058648322+321486284+566413841</f>
        <v>1946548447</v>
      </c>
      <c r="H8" s="324">
        <v>1999001656</v>
      </c>
      <c r="I8" s="353">
        <v>1071</v>
      </c>
      <c r="J8" s="353" t="s">
        <v>498</v>
      </c>
      <c r="K8" s="349">
        <v>-5276420</v>
      </c>
    </row>
    <row r="9" spans="2:11" s="313" customFormat="1" ht="12.75" customHeight="1">
      <c r="B9" s="321"/>
      <c r="C9" s="328"/>
      <c r="D9" s="329">
        <v>3</v>
      </c>
      <c r="E9" s="330" t="s">
        <v>77</v>
      </c>
      <c r="F9" s="331" t="s">
        <v>273</v>
      </c>
      <c r="G9" s="324"/>
      <c r="H9" s="324"/>
      <c r="I9" s="353">
        <v>1073</v>
      </c>
      <c r="J9" s="353" t="s">
        <v>107</v>
      </c>
      <c r="K9" s="349">
        <v>-5730398</v>
      </c>
    </row>
    <row r="10" spans="2:11" s="313" customFormat="1" ht="12.75" customHeight="1">
      <c r="B10" s="321"/>
      <c r="C10" s="328"/>
      <c r="D10" s="329">
        <v>4</v>
      </c>
      <c r="E10" s="330" t="s">
        <v>78</v>
      </c>
      <c r="F10" s="323" t="s">
        <v>274</v>
      </c>
      <c r="G10" s="332">
        <v>468164465.14352</v>
      </c>
      <c r="H10" s="324">
        <v>288565114</v>
      </c>
      <c r="I10" s="353">
        <v>108</v>
      </c>
      <c r="J10" s="353" t="s">
        <v>499</v>
      </c>
      <c r="K10" s="349">
        <v>366749535</v>
      </c>
    </row>
    <row r="11" spans="2:11" s="313" customFormat="1" ht="12.75" customHeight="1">
      <c r="B11" s="321"/>
      <c r="C11" s="328"/>
      <c r="D11" s="329">
        <v>5</v>
      </c>
      <c r="E11" s="330" t="s">
        <v>79</v>
      </c>
      <c r="F11" s="331" t="s">
        <v>275</v>
      </c>
      <c r="G11" s="324"/>
      <c r="H11" s="324"/>
      <c r="I11" s="353">
        <v>109</v>
      </c>
      <c r="J11" s="353" t="s">
        <v>500</v>
      </c>
      <c r="K11" s="349">
        <v>84438945</v>
      </c>
    </row>
    <row r="12" spans="2:8" s="313" customFormat="1" ht="12.75" customHeight="1">
      <c r="B12" s="321"/>
      <c r="C12" s="328"/>
      <c r="D12" s="329">
        <v>6</v>
      </c>
      <c r="E12" s="330" t="s">
        <v>80</v>
      </c>
      <c r="F12" s="323" t="s">
        <v>276</v>
      </c>
      <c r="G12" s="324"/>
      <c r="H12" s="324"/>
    </row>
    <row r="13" spans="2:8" s="313" customFormat="1" ht="12.75" customHeight="1">
      <c r="B13" s="321"/>
      <c r="C13" s="328"/>
      <c r="D13" s="329">
        <v>7</v>
      </c>
      <c r="E13" s="330" t="s">
        <v>81</v>
      </c>
      <c r="F13" s="331" t="s">
        <v>277</v>
      </c>
      <c r="G13" s="332">
        <v>2048742</v>
      </c>
      <c r="H13" s="324"/>
    </row>
    <row r="14" spans="2:11" s="313" customFormat="1" ht="12.75" customHeight="1">
      <c r="B14" s="321"/>
      <c r="C14" s="328"/>
      <c r="D14" s="329">
        <v>8</v>
      </c>
      <c r="E14" s="330" t="s">
        <v>82</v>
      </c>
      <c r="F14" s="323" t="s">
        <v>278</v>
      </c>
      <c r="G14" s="332">
        <v>669107</v>
      </c>
      <c r="H14" s="324">
        <v>662398</v>
      </c>
      <c r="I14" s="353">
        <v>2115</v>
      </c>
      <c r="J14" s="353" t="s">
        <v>501</v>
      </c>
      <c r="K14" s="349">
        <v>22604168</v>
      </c>
    </row>
    <row r="15" spans="2:11" s="313" customFormat="1" ht="12.75" customHeight="1">
      <c r="B15" s="321"/>
      <c r="C15" s="328"/>
      <c r="D15" s="329">
        <v>9</v>
      </c>
      <c r="E15" s="330" t="s">
        <v>478</v>
      </c>
      <c r="F15" s="331" t="s">
        <v>279</v>
      </c>
      <c r="G15" s="332"/>
      <c r="H15" s="324">
        <v>5783690</v>
      </c>
      <c r="I15" s="353">
        <v>2121</v>
      </c>
      <c r="J15" s="353" t="s">
        <v>502</v>
      </c>
      <c r="K15" s="349">
        <v>133405900</v>
      </c>
    </row>
    <row r="16" spans="2:11" s="313" customFormat="1" ht="12.75" customHeight="1">
      <c r="B16" s="321"/>
      <c r="C16" s="334"/>
      <c r="D16" s="329">
        <v>10</v>
      </c>
      <c r="E16" s="330" t="s">
        <v>91</v>
      </c>
      <c r="F16" s="331" t="s">
        <v>280</v>
      </c>
      <c r="G16" s="332"/>
      <c r="H16" s="324"/>
      <c r="I16" s="353">
        <v>2131</v>
      </c>
      <c r="J16" s="353" t="s">
        <v>491</v>
      </c>
      <c r="K16" s="349">
        <v>2077598</v>
      </c>
    </row>
    <row r="17" spans="2:11" s="313" customFormat="1" ht="12.75" customHeight="1">
      <c r="B17" s="321"/>
      <c r="C17" s="326" t="s">
        <v>95</v>
      </c>
      <c r="D17" s="322" t="s">
        <v>84</v>
      </c>
      <c r="E17" s="327"/>
      <c r="F17" s="331">
        <v>14</v>
      </c>
      <c r="G17" s="324"/>
      <c r="H17" s="324"/>
      <c r="I17" s="353">
        <v>2133</v>
      </c>
      <c r="J17" s="353" t="s">
        <v>492</v>
      </c>
      <c r="K17" s="349">
        <v>1242319224.37944</v>
      </c>
    </row>
    <row r="18" spans="2:11" s="313" customFormat="1" ht="12.75" customHeight="1">
      <c r="B18" s="321"/>
      <c r="C18" s="326" t="s">
        <v>95</v>
      </c>
      <c r="D18" s="322" t="s">
        <v>85</v>
      </c>
      <c r="E18" s="330"/>
      <c r="F18" s="323">
        <v>15</v>
      </c>
      <c r="G18" s="324"/>
      <c r="H18" s="324"/>
      <c r="I18" s="353">
        <v>215</v>
      </c>
      <c r="J18" s="353" t="s">
        <v>353</v>
      </c>
      <c r="K18" s="349">
        <v>5607572</v>
      </c>
    </row>
    <row r="19" spans="2:11" s="313" customFormat="1" ht="12.75" customHeight="1">
      <c r="B19" s="321"/>
      <c r="C19" s="326" t="s">
        <v>95</v>
      </c>
      <c r="D19" s="322" t="s">
        <v>86</v>
      </c>
      <c r="E19" s="330"/>
      <c r="F19" s="331">
        <v>16</v>
      </c>
      <c r="G19" s="324"/>
      <c r="H19" s="324"/>
      <c r="I19" s="353">
        <v>2181</v>
      </c>
      <c r="J19" s="353" t="s">
        <v>503</v>
      </c>
      <c r="K19" s="349">
        <v>12181312</v>
      </c>
    </row>
    <row r="20" spans="2:11" s="313" customFormat="1" ht="15.75" customHeight="1">
      <c r="B20" s="321"/>
      <c r="C20" s="443" t="s">
        <v>99</v>
      </c>
      <c r="D20" s="444"/>
      <c r="E20" s="445"/>
      <c r="F20" s="323"/>
      <c r="G20" s="324">
        <f>G6+G17+G18+G19</f>
        <v>2417430761.14352</v>
      </c>
      <c r="H20" s="324">
        <f>H6+H17+H18+H19</f>
        <v>2294012858</v>
      </c>
      <c r="I20" s="353">
        <v>2188</v>
      </c>
      <c r="J20" s="353" t="s">
        <v>493</v>
      </c>
      <c r="K20" s="349">
        <v>6374227</v>
      </c>
    </row>
    <row r="21" spans="2:11" s="313" customFormat="1" ht="12.75" customHeight="1">
      <c r="B21" s="321"/>
      <c r="C21" s="326" t="s">
        <v>95</v>
      </c>
      <c r="D21" s="322" t="s">
        <v>89</v>
      </c>
      <c r="E21" s="339"/>
      <c r="F21" s="331">
        <v>17</v>
      </c>
      <c r="G21" s="324">
        <f>G22+G23+G24+G25+G26+G27+G28+G29</f>
        <v>293969376.61</v>
      </c>
      <c r="H21" s="324">
        <f>H22+H23+H24+H25+H26+H27+H28+H29</f>
        <v>284747263</v>
      </c>
      <c r="I21" s="353">
        <v>231</v>
      </c>
      <c r="J21" s="353" t="s">
        <v>494</v>
      </c>
      <c r="K21" s="349">
        <v>58167912</v>
      </c>
    </row>
    <row r="22" spans="2:11" s="313" customFormat="1" ht="12.75" customHeight="1">
      <c r="B22" s="321"/>
      <c r="C22" s="335"/>
      <c r="D22" s="329">
        <v>1</v>
      </c>
      <c r="E22" s="330" t="s">
        <v>75</v>
      </c>
      <c r="F22" s="323" t="s">
        <v>281</v>
      </c>
      <c r="G22" s="324"/>
      <c r="H22" s="324"/>
      <c r="I22" s="353">
        <v>2808</v>
      </c>
      <c r="J22" s="353" t="s">
        <v>504</v>
      </c>
      <c r="K22" s="349">
        <v>-6362916</v>
      </c>
    </row>
    <row r="23" spans="2:11" s="313" customFormat="1" ht="12.75" customHeight="1">
      <c r="B23" s="321"/>
      <c r="C23" s="335"/>
      <c r="D23" s="329">
        <v>2</v>
      </c>
      <c r="E23" s="330" t="s">
        <v>76</v>
      </c>
      <c r="F23" s="331" t="s">
        <v>282</v>
      </c>
      <c r="G23" s="324">
        <v>293969376.61</v>
      </c>
      <c r="H23" s="324">
        <v>284747263</v>
      </c>
      <c r="I23" s="353">
        <v>2812</v>
      </c>
      <c r="J23" s="353" t="s">
        <v>505</v>
      </c>
      <c r="K23" s="349">
        <v>-57597189</v>
      </c>
    </row>
    <row r="24" spans="2:11" s="313" customFormat="1" ht="12.75" customHeight="1">
      <c r="B24" s="321"/>
      <c r="C24" s="335"/>
      <c r="D24" s="329">
        <v>3</v>
      </c>
      <c r="E24" s="330" t="s">
        <v>90</v>
      </c>
      <c r="F24" s="323" t="s">
        <v>283</v>
      </c>
      <c r="G24" s="324"/>
      <c r="H24" s="324"/>
      <c r="I24" s="353">
        <v>2813</v>
      </c>
      <c r="J24" s="353" t="s">
        <v>506</v>
      </c>
      <c r="K24" s="349">
        <v>-769763458</v>
      </c>
    </row>
    <row r="25" spans="2:11" s="313" customFormat="1" ht="12.75" customHeight="1">
      <c r="B25" s="321"/>
      <c r="C25" s="335"/>
      <c r="D25" s="329">
        <v>4</v>
      </c>
      <c r="E25" s="330" t="s">
        <v>78</v>
      </c>
      <c r="F25" s="331" t="s">
        <v>284</v>
      </c>
      <c r="G25" s="324"/>
      <c r="H25" s="324"/>
      <c r="I25" s="353">
        <v>2815</v>
      </c>
      <c r="J25" s="353" t="s">
        <v>507</v>
      </c>
      <c r="K25" s="349">
        <v>-4665026</v>
      </c>
    </row>
    <row r="26" spans="2:11" s="313" customFormat="1" ht="12.75" customHeight="1">
      <c r="B26" s="321"/>
      <c r="C26" s="335"/>
      <c r="D26" s="329">
        <v>5</v>
      </c>
      <c r="E26" s="330" t="s">
        <v>79</v>
      </c>
      <c r="F26" s="323" t="s">
        <v>285</v>
      </c>
      <c r="G26" s="324"/>
      <c r="H26" s="324"/>
      <c r="I26" s="353">
        <v>351</v>
      </c>
      <c r="J26" s="353" t="s">
        <v>508</v>
      </c>
      <c r="K26" s="349">
        <v>253210932.8074</v>
      </c>
    </row>
    <row r="27" spans="2:11" s="313" customFormat="1" ht="12.75" customHeight="1">
      <c r="B27" s="321"/>
      <c r="C27" s="335"/>
      <c r="D27" s="329">
        <v>6</v>
      </c>
      <c r="E27" s="330" t="s">
        <v>80</v>
      </c>
      <c r="F27" s="331" t="s">
        <v>286</v>
      </c>
      <c r="G27" s="324"/>
      <c r="H27" s="324"/>
      <c r="I27" s="353">
        <v>401</v>
      </c>
      <c r="J27" s="353" t="s">
        <v>509</v>
      </c>
      <c r="K27" s="349">
        <v>-468164465.14352</v>
      </c>
    </row>
    <row r="28" spans="2:11" s="313" customFormat="1" ht="12.75" customHeight="1">
      <c r="B28" s="321"/>
      <c r="C28" s="335"/>
      <c r="D28" s="329">
        <v>7</v>
      </c>
      <c r="E28" s="330" t="s">
        <v>81</v>
      </c>
      <c r="F28" s="323" t="s">
        <v>287</v>
      </c>
      <c r="G28" s="324"/>
      <c r="H28" s="324"/>
      <c r="I28" s="353">
        <v>403</v>
      </c>
      <c r="J28" s="353" t="s">
        <v>510</v>
      </c>
      <c r="K28" s="349">
        <v>32958624</v>
      </c>
    </row>
    <row r="29" spans="2:11" s="313" customFormat="1" ht="12.75" customHeight="1">
      <c r="B29" s="321"/>
      <c r="C29" s="335"/>
      <c r="D29" s="329">
        <v>8</v>
      </c>
      <c r="E29" s="330" t="s">
        <v>91</v>
      </c>
      <c r="F29" s="331" t="s">
        <v>288</v>
      </c>
      <c r="G29" s="324"/>
      <c r="H29" s="324"/>
      <c r="I29" s="353">
        <v>411</v>
      </c>
      <c r="J29" s="353" t="s">
        <v>511</v>
      </c>
      <c r="K29" s="349">
        <v>1022294917.2642</v>
      </c>
    </row>
    <row r="30" spans="2:11" s="313" customFormat="1" ht="12.75" customHeight="1">
      <c r="B30" s="321"/>
      <c r="C30" s="326" t="s">
        <v>95</v>
      </c>
      <c r="D30" s="322" t="s">
        <v>92</v>
      </c>
      <c r="E30" s="327"/>
      <c r="F30" s="331">
        <v>18</v>
      </c>
      <c r="G30" s="324"/>
      <c r="H30" s="324"/>
      <c r="I30" s="353">
        <v>421</v>
      </c>
      <c r="J30" s="353" t="s">
        <v>512</v>
      </c>
      <c r="K30" s="349">
        <v>-2048742</v>
      </c>
    </row>
    <row r="31" spans="2:11" s="313" customFormat="1" ht="12.75" customHeight="1">
      <c r="B31" s="321"/>
      <c r="C31" s="326" t="s">
        <v>95</v>
      </c>
      <c r="D31" s="322" t="s">
        <v>93</v>
      </c>
      <c r="E31" s="327"/>
      <c r="F31" s="323">
        <v>19</v>
      </c>
      <c r="G31" s="324"/>
      <c r="H31" s="324"/>
      <c r="I31" s="353">
        <v>431</v>
      </c>
      <c r="J31" s="353" t="s">
        <v>513</v>
      </c>
      <c r="K31" s="349">
        <v>-669107</v>
      </c>
    </row>
    <row r="32" spans="2:11" s="313" customFormat="1" ht="12.75" customHeight="1">
      <c r="B32" s="321"/>
      <c r="C32" s="326" t="s">
        <v>95</v>
      </c>
      <c r="D32" s="322" t="s">
        <v>94</v>
      </c>
      <c r="E32" s="327"/>
      <c r="F32" s="331">
        <v>20</v>
      </c>
      <c r="G32" s="324">
        <f>G33+G34</f>
        <v>0</v>
      </c>
      <c r="H32" s="324">
        <v>0</v>
      </c>
      <c r="I32" s="353">
        <v>437</v>
      </c>
      <c r="J32" s="353" t="s">
        <v>514</v>
      </c>
      <c r="K32" s="349">
        <v>0</v>
      </c>
    </row>
    <row r="33" spans="2:11" s="313" customFormat="1" ht="12.75" customHeight="1">
      <c r="B33" s="321"/>
      <c r="C33" s="328"/>
      <c r="D33" s="329">
        <v>1</v>
      </c>
      <c r="E33" s="330" t="s">
        <v>96</v>
      </c>
      <c r="F33" s="323" t="s">
        <v>289</v>
      </c>
      <c r="G33" s="324"/>
      <c r="H33" s="324"/>
      <c r="I33" s="353">
        <v>441</v>
      </c>
      <c r="J33" s="353" t="s">
        <v>299</v>
      </c>
      <c r="K33" s="349">
        <v>0</v>
      </c>
    </row>
    <row r="34" spans="2:11" s="313" customFormat="1" ht="12.75" customHeight="1">
      <c r="B34" s="321"/>
      <c r="C34" s="328"/>
      <c r="D34" s="329">
        <v>2</v>
      </c>
      <c r="E34" s="330" t="s">
        <v>97</v>
      </c>
      <c r="F34" s="331" t="s">
        <v>290</v>
      </c>
      <c r="G34" s="324"/>
      <c r="H34" s="324"/>
      <c r="I34" s="353">
        <v>444</v>
      </c>
      <c r="J34" s="353" t="s">
        <v>234</v>
      </c>
      <c r="K34" s="349">
        <v>3094908</v>
      </c>
    </row>
    <row r="35" spans="2:11" s="313" customFormat="1" ht="12.75" customHeight="1">
      <c r="B35" s="321"/>
      <c r="C35" s="326" t="s">
        <v>95</v>
      </c>
      <c r="D35" s="322" t="s">
        <v>98</v>
      </c>
      <c r="E35" s="327"/>
      <c r="F35" s="323">
        <v>21</v>
      </c>
      <c r="G35" s="324"/>
      <c r="H35" s="324"/>
      <c r="I35" s="353">
        <v>4453</v>
      </c>
      <c r="J35" s="353" t="s">
        <v>515</v>
      </c>
      <c r="K35" s="349">
        <v>38571733</v>
      </c>
    </row>
    <row r="36" spans="2:11" s="313" customFormat="1" ht="15.75" customHeight="1">
      <c r="B36" s="321"/>
      <c r="C36" s="443" t="s">
        <v>100</v>
      </c>
      <c r="D36" s="444"/>
      <c r="E36" s="445"/>
      <c r="F36" s="323"/>
      <c r="G36" s="324">
        <f>G21+G30+G31+G32+G35</f>
        <v>293969376.61</v>
      </c>
      <c r="H36" s="324">
        <f>H21+H30+H31+H32+H35</f>
        <v>284747263</v>
      </c>
      <c r="I36" s="353">
        <v>4455</v>
      </c>
      <c r="J36" s="353" t="s">
        <v>516</v>
      </c>
      <c r="K36" s="349">
        <v>48982538.70318</v>
      </c>
    </row>
    <row r="37" spans="2:11" s="313" customFormat="1" ht="24.75" customHeight="1">
      <c r="B37" s="321"/>
      <c r="C37" s="443" t="s">
        <v>88</v>
      </c>
      <c r="D37" s="444"/>
      <c r="E37" s="445"/>
      <c r="F37" s="323"/>
      <c r="G37" s="324">
        <f>G20+G36</f>
        <v>2711400137.75352</v>
      </c>
      <c r="H37" s="324">
        <f>H20+H36</f>
        <v>2578760121</v>
      </c>
      <c r="I37" s="353">
        <v>4456</v>
      </c>
      <c r="J37" s="353" t="s">
        <v>517</v>
      </c>
      <c r="K37" s="349">
        <v>-90271209.7422001</v>
      </c>
    </row>
    <row r="38" spans="2:11" s="313" customFormat="1" ht="12.75" customHeight="1">
      <c r="B38" s="321"/>
      <c r="C38" s="326" t="s">
        <v>95</v>
      </c>
      <c r="D38" s="322" t="s">
        <v>101</v>
      </c>
      <c r="E38" s="327"/>
      <c r="F38" s="331">
        <v>22</v>
      </c>
      <c r="G38" s="324"/>
      <c r="H38" s="324"/>
      <c r="I38" s="353">
        <v>4457</v>
      </c>
      <c r="J38" s="353" t="s">
        <v>518</v>
      </c>
      <c r="K38" s="349">
        <v>13698761</v>
      </c>
    </row>
    <row r="39" spans="2:11" s="313" customFormat="1" ht="12.75" customHeight="1">
      <c r="B39" s="321"/>
      <c r="C39" s="326" t="s">
        <v>95</v>
      </c>
      <c r="D39" s="322" t="s">
        <v>102</v>
      </c>
      <c r="E39" s="327"/>
      <c r="F39" s="323">
        <v>23</v>
      </c>
      <c r="G39" s="324">
        <v>1209658000</v>
      </c>
      <c r="H39" s="324">
        <v>1209658000</v>
      </c>
      <c r="I39" s="353">
        <v>4461</v>
      </c>
      <c r="J39" s="353" t="s">
        <v>519</v>
      </c>
      <c r="K39" s="349">
        <v>372996.600000024</v>
      </c>
    </row>
    <row r="40" spans="2:11" s="313" customFormat="1" ht="12.75" customHeight="1">
      <c r="B40" s="321"/>
      <c r="C40" s="326" t="s">
        <v>95</v>
      </c>
      <c r="D40" s="322" t="s">
        <v>103</v>
      </c>
      <c r="E40" s="327"/>
      <c r="F40" s="331">
        <v>24</v>
      </c>
      <c r="G40" s="324"/>
      <c r="H40" s="324"/>
      <c r="I40" s="353">
        <v>449</v>
      </c>
      <c r="J40" s="353" t="s">
        <v>520</v>
      </c>
      <c r="K40" s="349">
        <v>0</v>
      </c>
    </row>
    <row r="41" spans="2:11" s="313" customFormat="1" ht="12.75" customHeight="1">
      <c r="B41" s="321"/>
      <c r="C41" s="326" t="s">
        <v>95</v>
      </c>
      <c r="D41" s="322" t="s">
        <v>104</v>
      </c>
      <c r="E41" s="327"/>
      <c r="F41" s="323">
        <v>25</v>
      </c>
      <c r="G41" s="324"/>
      <c r="H41" s="324"/>
      <c r="I41" s="353">
        <v>455</v>
      </c>
      <c r="J41" s="353" t="s">
        <v>521</v>
      </c>
      <c r="K41" s="349">
        <v>1052135992.56</v>
      </c>
    </row>
    <row r="42" spans="2:11" s="313" customFormat="1" ht="12.75" customHeight="1">
      <c r="B42" s="321"/>
      <c r="C42" s="326" t="s">
        <v>95</v>
      </c>
      <c r="D42" s="322" t="s">
        <v>105</v>
      </c>
      <c r="E42" s="327"/>
      <c r="F42" s="331">
        <v>26</v>
      </c>
      <c r="G42" s="332"/>
      <c r="H42" s="332"/>
      <c r="I42" s="353">
        <v>467</v>
      </c>
      <c r="J42" s="353" t="s">
        <v>522</v>
      </c>
      <c r="K42" s="349">
        <v>489885220</v>
      </c>
    </row>
    <row r="43" spans="2:11" s="313" customFormat="1" ht="12.75" customHeight="1">
      <c r="B43" s="321"/>
      <c r="C43" s="355"/>
      <c r="D43" s="329">
        <v>1</v>
      </c>
      <c r="E43" s="330" t="s">
        <v>106</v>
      </c>
      <c r="F43" s="323" t="s">
        <v>291</v>
      </c>
      <c r="G43" s="324">
        <v>5276420</v>
      </c>
      <c r="H43" s="324">
        <v>5276420</v>
      </c>
      <c r="I43" s="353">
        <v>4681</v>
      </c>
      <c r="J43" s="353" t="s">
        <v>523</v>
      </c>
      <c r="K43" s="349">
        <v>-293969376.61</v>
      </c>
    </row>
    <row r="44" spans="2:11" s="313" customFormat="1" ht="12.75" customHeight="1">
      <c r="B44" s="321"/>
      <c r="C44" s="355"/>
      <c r="D44" s="329">
        <v>2</v>
      </c>
      <c r="E44" s="330" t="s">
        <v>107</v>
      </c>
      <c r="F44" s="331" t="s">
        <v>292</v>
      </c>
      <c r="G44" s="324">
        <v>5730398</v>
      </c>
      <c r="H44" s="324">
        <v>5730398</v>
      </c>
      <c r="I44" s="353">
        <v>5121</v>
      </c>
      <c r="J44" s="353" t="s">
        <v>524</v>
      </c>
      <c r="K44" s="349">
        <v>-883323567.33</v>
      </c>
    </row>
    <row r="45" spans="2:12" s="313" customFormat="1" ht="12.75" customHeight="1">
      <c r="B45" s="321"/>
      <c r="C45" s="355"/>
      <c r="D45" s="329">
        <v>3</v>
      </c>
      <c r="E45" s="330" t="s">
        <v>105</v>
      </c>
      <c r="F45" s="323" t="s">
        <v>293</v>
      </c>
      <c r="G45" s="332"/>
      <c r="H45" s="324"/>
      <c r="I45" s="353">
        <v>51241</v>
      </c>
      <c r="J45" s="353" t="s">
        <v>525</v>
      </c>
      <c r="K45" s="349">
        <v>252029.214500259</v>
      </c>
      <c r="L45" s="348">
        <f>K44+K46</f>
        <v>-1941489819.4169002</v>
      </c>
    </row>
    <row r="46" spans="2:12" s="313" customFormat="1" ht="12.75" customHeight="1">
      <c r="B46" s="321"/>
      <c r="C46" s="326" t="s">
        <v>95</v>
      </c>
      <c r="D46" s="322" t="s">
        <v>108</v>
      </c>
      <c r="E46" s="327"/>
      <c r="F46" s="331">
        <v>27</v>
      </c>
      <c r="G46" s="332">
        <f>SUM(H46:H47)</f>
        <v>-445764430</v>
      </c>
      <c r="H46" s="324">
        <v>-366749535</v>
      </c>
      <c r="I46" s="353">
        <v>51242</v>
      </c>
      <c r="J46" s="353" t="s">
        <v>526</v>
      </c>
      <c r="K46" s="349">
        <v>-1058166252.0869</v>
      </c>
      <c r="L46" s="336">
        <f>G8+Aktivet!F7</f>
        <v>1951859104</v>
      </c>
    </row>
    <row r="47" spans="2:11" s="313" customFormat="1" ht="12.75" customHeight="1">
      <c r="B47" s="321"/>
      <c r="C47" s="326" t="s">
        <v>95</v>
      </c>
      <c r="D47" s="322" t="s">
        <v>109</v>
      </c>
      <c r="E47" s="327"/>
      <c r="F47" s="323">
        <v>28</v>
      </c>
      <c r="G47" s="332">
        <f>PASH!G44</f>
        <v>28835276.312836654</v>
      </c>
      <c r="H47" s="324">
        <v>-79014895</v>
      </c>
      <c r="I47" s="353">
        <v>5311</v>
      </c>
      <c r="J47" s="353" t="s">
        <v>527</v>
      </c>
      <c r="K47" s="349">
        <v>540404.894003741</v>
      </c>
    </row>
    <row r="48" spans="2:11" s="313" customFormat="1" ht="15.75" customHeight="1">
      <c r="B48" s="321"/>
      <c r="C48" s="443" t="s">
        <v>110</v>
      </c>
      <c r="D48" s="444"/>
      <c r="E48" s="445"/>
      <c r="F48" s="323"/>
      <c r="G48" s="324">
        <f>G38+G39+G40+G41+G42+G46+G47+G43+G44+G45</f>
        <v>803735664.3128366</v>
      </c>
      <c r="H48" s="324">
        <v>774900388</v>
      </c>
      <c r="I48" s="353">
        <v>581</v>
      </c>
      <c r="J48" s="353" t="s">
        <v>528</v>
      </c>
      <c r="K48" s="349">
        <v>-0.00120007153600454</v>
      </c>
    </row>
    <row r="49" spans="2:11" s="313" customFormat="1" ht="24.75" customHeight="1">
      <c r="B49" s="321"/>
      <c r="C49" s="443" t="s">
        <v>111</v>
      </c>
      <c r="D49" s="444"/>
      <c r="E49" s="445"/>
      <c r="F49" s="323"/>
      <c r="G49" s="342">
        <f>G37+G48</f>
        <v>3515135802.0663567</v>
      </c>
      <c r="H49" s="342">
        <v>3353660509</v>
      </c>
      <c r="I49" s="353">
        <v>81</v>
      </c>
      <c r="J49" s="353" t="s">
        <v>529</v>
      </c>
      <c r="K49" s="349">
        <v>2.56399989128113</v>
      </c>
    </row>
    <row r="50" spans="2:8" s="313" customFormat="1" ht="15.75" customHeight="1">
      <c r="B50" s="321"/>
      <c r="C50" s="335"/>
      <c r="D50" s="329"/>
      <c r="E50" s="323"/>
      <c r="F50" s="321"/>
      <c r="G50" s="324"/>
      <c r="H50" s="324"/>
    </row>
    <row r="51" spans="2:8" s="313" customFormat="1" ht="15.75" customHeight="1">
      <c r="B51" s="345"/>
      <c r="C51" s="443" t="s">
        <v>339</v>
      </c>
      <c r="D51" s="444"/>
      <c r="E51" s="445"/>
      <c r="F51" s="323"/>
      <c r="G51" s="324"/>
      <c r="H51" s="324"/>
    </row>
    <row r="52" spans="2:8" s="313" customFormat="1" ht="15.75" customHeight="1">
      <c r="B52" s="356"/>
      <c r="C52" s="356"/>
      <c r="D52" s="357"/>
      <c r="E52" s="358"/>
      <c r="F52" s="356"/>
      <c r="G52" s="325">
        <f>G49-Aktivet!F54</f>
        <v>0.46773338317871094</v>
      </c>
      <c r="H52" s="325">
        <f>H49-Aktivet!G54</f>
        <v>0</v>
      </c>
    </row>
    <row r="53" spans="2:8" s="313" customFormat="1" ht="15.75" customHeight="1">
      <c r="B53" s="356"/>
      <c r="C53" s="356"/>
      <c r="D53" s="357"/>
      <c r="E53" s="358"/>
      <c r="F53" s="356"/>
      <c r="G53" s="325"/>
      <c r="H53" s="325"/>
    </row>
    <row r="54" spans="2:8" s="313" customFormat="1" ht="15.75" customHeight="1">
      <c r="B54" s="359"/>
      <c r="C54" s="359"/>
      <c r="D54" s="359"/>
      <c r="E54" s="358"/>
      <c r="F54" s="356"/>
      <c r="G54" s="325">
        <f>45498820+2640765+346758+65000+129930+74412030</f>
        <v>123093303</v>
      </c>
      <c r="H54" s="325">
        <f>H48-44769966</f>
        <v>730130422</v>
      </c>
    </row>
    <row r="55" spans="2:8" s="313" customFormat="1" ht="15.75" customHeight="1">
      <c r="B55" s="356"/>
      <c r="C55" s="356"/>
      <c r="D55" s="357"/>
      <c r="E55" s="358"/>
      <c r="F55" s="356"/>
      <c r="G55" s="325"/>
      <c r="H55" s="325"/>
    </row>
    <row r="56" spans="2:8" s="313" customFormat="1" ht="15.75" customHeight="1">
      <c r="B56" s="356"/>
      <c r="C56" s="356"/>
      <c r="D56" s="357"/>
      <c r="E56" s="358"/>
      <c r="F56" s="356"/>
      <c r="G56" s="325"/>
      <c r="H56" s="325"/>
    </row>
    <row r="57" spans="2:8" s="313" customFormat="1" ht="15.75" customHeight="1">
      <c r="B57" s="356"/>
      <c r="C57" s="356"/>
      <c r="D57" s="357"/>
      <c r="E57" s="358"/>
      <c r="F57" s="356"/>
      <c r="G57" s="325"/>
      <c r="H57" s="325"/>
    </row>
    <row r="58" spans="2:8" s="313" customFormat="1" ht="15.75" customHeight="1">
      <c r="B58" s="356"/>
      <c r="C58" s="356"/>
      <c r="D58" s="357"/>
      <c r="E58" s="358"/>
      <c r="F58" s="356"/>
      <c r="G58" s="325"/>
      <c r="H58" s="325"/>
    </row>
    <row r="59" spans="2:8" s="313" customFormat="1" ht="15.75" customHeight="1">
      <c r="B59" s="356"/>
      <c r="C59" s="356"/>
      <c r="D59" s="356"/>
      <c r="E59" s="356"/>
      <c r="F59" s="356"/>
      <c r="G59" s="325"/>
      <c r="H59" s="325"/>
    </row>
    <row r="60" spans="2:8" ht="12.75">
      <c r="B60" s="352"/>
      <c r="C60" s="352"/>
      <c r="D60" s="133"/>
      <c r="E60" s="32"/>
      <c r="F60" s="352"/>
      <c r="G60" s="360"/>
      <c r="H60" s="360"/>
    </row>
  </sheetData>
  <sheetProtection/>
  <mergeCells count="8">
    <mergeCell ref="C51:E51"/>
    <mergeCell ref="C49:E49"/>
    <mergeCell ref="B3:H3"/>
    <mergeCell ref="C37:E37"/>
    <mergeCell ref="C20:E20"/>
    <mergeCell ref="C36:E36"/>
    <mergeCell ref="C48:E48"/>
    <mergeCell ref="C5:E5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PageLayoutView="0" workbookViewId="0" topLeftCell="B1">
      <selection activeCell="J44" sqref="J44:J45"/>
    </sheetView>
  </sheetViews>
  <sheetFormatPr defaultColWidth="9.140625" defaultRowHeight="12.75"/>
  <cols>
    <col min="1" max="1" width="1.8515625" style="254" hidden="1" customWidth="1"/>
    <col min="2" max="2" width="3.7109375" style="362" customWidth="1"/>
    <col min="3" max="3" width="3.421875" style="314" customWidth="1"/>
    <col min="4" max="4" width="2.7109375" style="314" customWidth="1"/>
    <col min="5" max="5" width="62.421875" style="254" customWidth="1"/>
    <col min="6" max="6" width="7.00390625" style="314" customWidth="1"/>
    <col min="7" max="7" width="17.7109375" style="402" customWidth="1"/>
    <col min="8" max="8" width="16.140625" style="403" customWidth="1"/>
    <col min="9" max="9" width="13.28125" style="254" customWidth="1"/>
    <col min="10" max="10" width="29.140625" style="254" customWidth="1"/>
    <col min="11" max="11" width="30.421875" style="254" customWidth="1"/>
    <col min="12" max="12" width="16.57421875" style="254" customWidth="1"/>
    <col min="13" max="16384" width="9.140625" style="254" customWidth="1"/>
  </cols>
  <sheetData>
    <row r="1" spans="2:8" s="313" customFormat="1" ht="7.5" customHeight="1">
      <c r="B1" s="361"/>
      <c r="C1" s="308"/>
      <c r="D1" s="309"/>
      <c r="E1" s="310"/>
      <c r="F1" s="311"/>
      <c r="G1" s="400"/>
      <c r="H1" s="401"/>
    </row>
    <row r="2" spans="2:8" s="313" customFormat="1" ht="17.25" customHeight="1">
      <c r="B2" s="459" t="s">
        <v>112</v>
      </c>
      <c r="C2" s="459"/>
      <c r="D2" s="459"/>
      <c r="E2" s="459"/>
      <c r="F2" s="459"/>
      <c r="G2" s="459"/>
      <c r="H2" s="459"/>
    </row>
    <row r="3" spans="2:8" s="313" customFormat="1" ht="17.25" customHeight="1">
      <c r="B3" s="459" t="s">
        <v>113</v>
      </c>
      <c r="C3" s="459"/>
      <c r="D3" s="459"/>
      <c r="E3" s="459"/>
      <c r="F3" s="459"/>
      <c r="G3" s="459"/>
      <c r="H3" s="459"/>
    </row>
    <row r="4" spans="2:8" s="313" customFormat="1" ht="17.25" customHeight="1">
      <c r="B4" s="460" t="s">
        <v>114</v>
      </c>
      <c r="C4" s="460"/>
      <c r="D4" s="460"/>
      <c r="E4" s="460"/>
      <c r="F4" s="460"/>
      <c r="G4" s="460"/>
      <c r="H4" s="460"/>
    </row>
    <row r="5" ht="7.5" customHeight="1"/>
    <row r="6" spans="2:8" s="313" customFormat="1" ht="15.75" customHeight="1">
      <c r="B6" s="363" t="s">
        <v>2</v>
      </c>
      <c r="C6" s="443" t="s">
        <v>24</v>
      </c>
      <c r="D6" s="444"/>
      <c r="E6" s="445"/>
      <c r="F6" s="317" t="s">
        <v>251</v>
      </c>
      <c r="G6" s="404">
        <v>2016</v>
      </c>
      <c r="H6" s="405">
        <v>2015</v>
      </c>
    </row>
    <row r="7" spans="2:11" s="313" customFormat="1" ht="12.75" customHeight="1">
      <c r="B7" s="364" t="s">
        <v>95</v>
      </c>
      <c r="C7" s="351" t="s">
        <v>115</v>
      </c>
      <c r="D7" s="365"/>
      <c r="E7" s="366"/>
      <c r="F7" s="323">
        <v>29</v>
      </c>
      <c r="G7" s="406">
        <v>1410121746.3127</v>
      </c>
      <c r="H7" s="407">
        <v>3707166281</v>
      </c>
      <c r="I7" s="353">
        <v>704</v>
      </c>
      <c r="J7" s="353" t="s">
        <v>532</v>
      </c>
      <c r="K7" s="349">
        <v>-2565384</v>
      </c>
    </row>
    <row r="8" spans="2:11" s="313" customFormat="1" ht="12.75" customHeight="1">
      <c r="B8" s="364" t="s">
        <v>95</v>
      </c>
      <c r="C8" s="351" t="s">
        <v>116</v>
      </c>
      <c r="D8" s="365"/>
      <c r="E8" s="366"/>
      <c r="F8" s="323">
        <v>30</v>
      </c>
      <c r="G8" s="408">
        <v>-12365069</v>
      </c>
      <c r="H8" s="407">
        <v>-145187504</v>
      </c>
      <c r="I8" s="353">
        <v>705</v>
      </c>
      <c r="J8" s="353" t="s">
        <v>533</v>
      </c>
      <c r="K8" s="349">
        <v>-1407556362.3127</v>
      </c>
    </row>
    <row r="9" spans="2:11" s="313" customFormat="1" ht="12.75" customHeight="1">
      <c r="B9" s="364" t="s">
        <v>95</v>
      </c>
      <c r="C9" s="351" t="s">
        <v>117</v>
      </c>
      <c r="D9" s="365"/>
      <c r="E9" s="366"/>
      <c r="F9" s="323">
        <v>31</v>
      </c>
      <c r="G9" s="409"/>
      <c r="H9" s="407"/>
      <c r="I9" s="353">
        <v>7088</v>
      </c>
      <c r="J9" s="353" t="s">
        <v>493</v>
      </c>
      <c r="K9" s="349">
        <v>-600</v>
      </c>
    </row>
    <row r="10" spans="2:11" s="313" customFormat="1" ht="12.75" customHeight="1">
      <c r="B10" s="364" t="s">
        <v>95</v>
      </c>
      <c r="C10" s="351" t="s">
        <v>118</v>
      </c>
      <c r="D10" s="365"/>
      <c r="E10" s="366"/>
      <c r="F10" s="323">
        <v>32</v>
      </c>
      <c r="G10" s="409"/>
      <c r="H10" s="407"/>
      <c r="I10" s="353">
        <v>767</v>
      </c>
      <c r="J10" s="353" t="s">
        <v>534</v>
      </c>
      <c r="K10" s="349">
        <v>-12179.12</v>
      </c>
    </row>
    <row r="11" spans="2:11" s="313" customFormat="1" ht="12.75" customHeight="1">
      <c r="B11" s="364" t="s">
        <v>95</v>
      </c>
      <c r="C11" s="351" t="s">
        <v>119</v>
      </c>
      <c r="D11" s="365"/>
      <c r="E11" s="366"/>
      <c r="F11" s="323">
        <v>33</v>
      </c>
      <c r="G11" s="410">
        <f>G12+G13</f>
        <v>-1219339254.80314</v>
      </c>
      <c r="H11" s="407">
        <f>H12+H13</f>
        <v>-3412309058</v>
      </c>
      <c r="I11" s="353">
        <v>769</v>
      </c>
      <c r="J11" s="353" t="s">
        <v>535</v>
      </c>
      <c r="K11" s="349">
        <v>-11455851.485</v>
      </c>
    </row>
    <row r="12" spans="2:12" s="313" customFormat="1" ht="12.75" customHeight="1">
      <c r="B12" s="367"/>
      <c r="C12" s="368"/>
      <c r="D12" s="59">
        <v>1</v>
      </c>
      <c r="E12" s="369" t="s">
        <v>119</v>
      </c>
      <c r="F12" s="321">
        <v>33.1</v>
      </c>
      <c r="G12" s="411">
        <f>-1231704323.80314+12365069</f>
        <v>-1219339254.80314</v>
      </c>
      <c r="H12" s="412">
        <v>-3412309058</v>
      </c>
      <c r="I12" s="336"/>
      <c r="K12" s="348">
        <f>SUM(K7:K11)</f>
        <v>-1421590376.9176998</v>
      </c>
      <c r="L12" s="370">
        <f>K12*-1</f>
        <v>1421590376.9176998</v>
      </c>
    </row>
    <row r="13" spans="2:9" s="313" customFormat="1" ht="12.75" customHeight="1">
      <c r="B13" s="371"/>
      <c r="C13" s="368"/>
      <c r="D13" s="313">
        <v>2</v>
      </c>
      <c r="E13" s="369" t="s">
        <v>120</v>
      </c>
      <c r="F13" s="321">
        <v>33.2</v>
      </c>
      <c r="G13" s="411"/>
      <c r="H13" s="412"/>
      <c r="I13" s="336"/>
    </row>
    <row r="14" spans="2:12" s="313" customFormat="1" ht="12.75" customHeight="1">
      <c r="B14" s="364" t="s">
        <v>95</v>
      </c>
      <c r="C14" s="351" t="s">
        <v>121</v>
      </c>
      <c r="D14" s="365"/>
      <c r="E14" s="366"/>
      <c r="F14" s="323">
        <v>34</v>
      </c>
      <c r="G14" s="410">
        <f>G15+G16</f>
        <v>-33000643</v>
      </c>
      <c r="H14" s="407">
        <f>H15+H16</f>
        <v>-28412822</v>
      </c>
      <c r="I14" s="353">
        <v>6035</v>
      </c>
      <c r="J14" s="353" t="s">
        <v>536</v>
      </c>
      <c r="K14" s="349">
        <v>159592597.9326</v>
      </c>
      <c r="L14" s="348">
        <f>K14+K16+K23+K24</f>
        <v>1231704323.80314</v>
      </c>
    </row>
    <row r="15" spans="2:12" s="313" customFormat="1" ht="12.75" customHeight="1">
      <c r="B15" s="371"/>
      <c r="C15" s="368"/>
      <c r="D15" s="372">
        <v>1</v>
      </c>
      <c r="E15" s="330" t="s">
        <v>122</v>
      </c>
      <c r="F15" s="323">
        <v>34.1</v>
      </c>
      <c r="G15" s="413">
        <v>-28425764</v>
      </c>
      <c r="H15" s="414">
        <v>-24473946</v>
      </c>
      <c r="I15" s="353">
        <v>604</v>
      </c>
      <c r="J15" s="353" t="s">
        <v>537</v>
      </c>
      <c r="K15" s="349">
        <v>16484577.9798</v>
      </c>
      <c r="L15" s="348">
        <f>K15+K17+K18+K19+K20+K21+K22+K25+K26+K27+K30+K31</f>
        <v>59421925.5561</v>
      </c>
    </row>
    <row r="16" spans="2:11" s="313" customFormat="1" ht="12.75" customHeight="1">
      <c r="B16" s="371"/>
      <c r="C16" s="368"/>
      <c r="D16" s="372">
        <v>2</v>
      </c>
      <c r="E16" s="330" t="s">
        <v>123</v>
      </c>
      <c r="F16" s="453">
        <v>34.2</v>
      </c>
      <c r="G16" s="415">
        <v>-4574879</v>
      </c>
      <c r="H16" s="455">
        <v>-3938876</v>
      </c>
      <c r="I16" s="353">
        <v>605</v>
      </c>
      <c r="J16" s="353" t="s">
        <v>538</v>
      </c>
      <c r="K16" s="349">
        <v>1046775002.60054</v>
      </c>
    </row>
    <row r="17" spans="2:11" s="313" customFormat="1" ht="12.75" customHeight="1">
      <c r="B17" s="371"/>
      <c r="C17" s="368"/>
      <c r="D17" s="372"/>
      <c r="E17" s="330" t="s">
        <v>124</v>
      </c>
      <c r="F17" s="454"/>
      <c r="G17" s="416"/>
      <c r="H17" s="456"/>
      <c r="I17" s="353" t="s">
        <v>539</v>
      </c>
      <c r="J17" s="353" t="s">
        <v>540</v>
      </c>
      <c r="K17" s="349">
        <v>5557057.118</v>
      </c>
    </row>
    <row r="18" spans="2:11" s="313" customFormat="1" ht="12.75" customHeight="1">
      <c r="B18" s="364" t="s">
        <v>95</v>
      </c>
      <c r="C18" s="351" t="s">
        <v>125</v>
      </c>
      <c r="D18" s="365"/>
      <c r="E18" s="366"/>
      <c r="F18" s="323">
        <v>35</v>
      </c>
      <c r="G18" s="418"/>
      <c r="H18" s="407"/>
      <c r="I18" s="353">
        <v>613</v>
      </c>
      <c r="J18" s="353" t="s">
        <v>541</v>
      </c>
      <c r="K18" s="349">
        <v>7104000</v>
      </c>
    </row>
    <row r="19" spans="2:11" s="313" customFormat="1" ht="12.75" customHeight="1">
      <c r="B19" s="364" t="s">
        <v>95</v>
      </c>
      <c r="C19" s="351" t="s">
        <v>126</v>
      </c>
      <c r="D19" s="365"/>
      <c r="E19" s="366"/>
      <c r="F19" s="323">
        <v>36</v>
      </c>
      <c r="G19" s="418">
        <v>-1881969.34701109</v>
      </c>
      <c r="H19" s="407">
        <v>-9489011</v>
      </c>
      <c r="I19" s="353">
        <v>615</v>
      </c>
      <c r="J19" s="353" t="s">
        <v>542</v>
      </c>
      <c r="K19" s="349">
        <v>6623925.3266</v>
      </c>
    </row>
    <row r="20" spans="2:11" s="313" customFormat="1" ht="12.75" customHeight="1">
      <c r="B20" s="364" t="s">
        <v>95</v>
      </c>
      <c r="C20" s="351" t="s">
        <v>127</v>
      </c>
      <c r="D20" s="365"/>
      <c r="E20" s="366"/>
      <c r="F20" s="323">
        <v>37</v>
      </c>
      <c r="G20" s="418">
        <v>-59421925.5561</v>
      </c>
      <c r="H20" s="407">
        <v>-83758690</v>
      </c>
      <c r="I20" s="353">
        <v>616</v>
      </c>
      <c r="J20" s="353" t="s">
        <v>362</v>
      </c>
      <c r="K20" s="349">
        <v>1080502.5</v>
      </c>
    </row>
    <row r="21" spans="2:11" s="313" customFormat="1" ht="12.75" customHeight="1">
      <c r="B21" s="364" t="s">
        <v>95</v>
      </c>
      <c r="C21" s="351" t="s">
        <v>128</v>
      </c>
      <c r="D21" s="365"/>
      <c r="E21" s="366"/>
      <c r="F21" s="323">
        <v>38</v>
      </c>
      <c r="G21" s="418"/>
      <c r="H21" s="407">
        <f>SUM(H22:H29)</f>
        <v>0</v>
      </c>
      <c r="I21" s="353">
        <v>618</v>
      </c>
      <c r="J21" s="353" t="s">
        <v>493</v>
      </c>
      <c r="K21" s="349">
        <v>13392184.3266</v>
      </c>
    </row>
    <row r="22" spans="2:11" s="313" customFormat="1" ht="12.75" customHeight="1">
      <c r="B22" s="371"/>
      <c r="C22" s="375"/>
      <c r="D22" s="457">
        <v>1</v>
      </c>
      <c r="E22" s="376" t="s">
        <v>129</v>
      </c>
      <c r="F22" s="453">
        <v>38.1</v>
      </c>
      <c r="G22" s="411"/>
      <c r="H22" s="455"/>
      <c r="I22" s="353">
        <v>626</v>
      </c>
      <c r="J22" s="353" t="s">
        <v>543</v>
      </c>
      <c r="K22" s="349">
        <v>924221.6678</v>
      </c>
    </row>
    <row r="23" spans="2:11" s="313" customFormat="1" ht="12.75" customHeight="1">
      <c r="B23" s="377"/>
      <c r="C23" s="378"/>
      <c r="D23" s="458"/>
      <c r="E23" s="380" t="s">
        <v>130</v>
      </c>
      <c r="F23" s="454"/>
      <c r="G23" s="416"/>
      <c r="H23" s="456"/>
      <c r="I23" s="353">
        <v>6271</v>
      </c>
      <c r="J23" s="353" t="s">
        <v>544</v>
      </c>
      <c r="K23" s="349">
        <v>25014324.27</v>
      </c>
    </row>
    <row r="24" spans="2:11" s="313" customFormat="1" ht="12.75" customHeight="1">
      <c r="B24" s="371"/>
      <c r="C24" s="375"/>
      <c r="D24" s="457">
        <v>2</v>
      </c>
      <c r="E24" s="376" t="s">
        <v>131</v>
      </c>
      <c r="F24" s="453">
        <v>38.2</v>
      </c>
      <c r="G24" s="411"/>
      <c r="H24" s="455"/>
      <c r="I24" s="353">
        <v>6272</v>
      </c>
      <c r="J24" s="353" t="s">
        <v>545</v>
      </c>
      <c r="K24" s="349">
        <v>322399</v>
      </c>
    </row>
    <row r="25" spans="2:11" s="313" customFormat="1" ht="12.75" customHeight="1">
      <c r="B25" s="377"/>
      <c r="C25" s="378"/>
      <c r="D25" s="458"/>
      <c r="E25" s="380" t="s">
        <v>134</v>
      </c>
      <c r="F25" s="454"/>
      <c r="G25" s="416"/>
      <c r="H25" s="456"/>
      <c r="I25" s="353">
        <v>628</v>
      </c>
      <c r="J25" s="353" t="s">
        <v>546</v>
      </c>
      <c r="K25" s="349">
        <v>3553232.268</v>
      </c>
    </row>
    <row r="26" spans="2:11" s="313" customFormat="1" ht="12.75" customHeight="1">
      <c r="B26" s="381"/>
      <c r="C26" s="382"/>
      <c r="D26" s="457">
        <v>3</v>
      </c>
      <c r="E26" s="376" t="s">
        <v>132</v>
      </c>
      <c r="F26" s="453">
        <v>38.3</v>
      </c>
      <c r="G26" s="411"/>
      <c r="H26" s="455"/>
      <c r="I26" s="353">
        <v>634</v>
      </c>
      <c r="J26" s="353" t="s">
        <v>547</v>
      </c>
      <c r="K26" s="349">
        <v>4625840</v>
      </c>
    </row>
    <row r="27" spans="2:11" s="313" customFormat="1" ht="12.75" customHeight="1">
      <c r="B27" s="381"/>
      <c r="C27" s="382"/>
      <c r="D27" s="458"/>
      <c r="E27" s="380" t="s">
        <v>133</v>
      </c>
      <c r="F27" s="454"/>
      <c r="G27" s="416"/>
      <c r="H27" s="456"/>
      <c r="I27" s="353">
        <v>638</v>
      </c>
      <c r="J27" s="353" t="s">
        <v>548</v>
      </c>
      <c r="K27" s="349">
        <v>52200</v>
      </c>
    </row>
    <row r="28" spans="2:11" s="313" customFormat="1" ht="12.75" customHeight="1">
      <c r="B28" s="371"/>
      <c r="C28" s="375"/>
      <c r="D28" s="383">
        <v>4</v>
      </c>
      <c r="E28" s="384" t="s">
        <v>338</v>
      </c>
      <c r="F28" s="373">
        <v>38.4</v>
      </c>
      <c r="G28" s="411"/>
      <c r="H28" s="419"/>
      <c r="I28" s="353">
        <v>641</v>
      </c>
      <c r="J28" s="353" t="s">
        <v>549</v>
      </c>
      <c r="K28" s="349">
        <v>28425764</v>
      </c>
    </row>
    <row r="29" spans="2:11" s="313" customFormat="1" ht="12.75" customHeight="1">
      <c r="B29" s="377"/>
      <c r="C29" s="378"/>
      <c r="D29" s="385"/>
      <c r="E29" s="386"/>
      <c r="F29" s="374"/>
      <c r="G29" s="416"/>
      <c r="H29" s="420"/>
      <c r="I29" s="353">
        <v>644</v>
      </c>
      <c r="J29" s="353" t="s">
        <v>550</v>
      </c>
      <c r="K29" s="349">
        <v>4574879</v>
      </c>
    </row>
    <row r="30" spans="2:11" s="313" customFormat="1" ht="12.75" customHeight="1">
      <c r="B30" s="464" t="s">
        <v>95</v>
      </c>
      <c r="C30" s="387" t="s">
        <v>135</v>
      </c>
      <c r="D30" s="388"/>
      <c r="E30" s="389"/>
      <c r="F30" s="453">
        <v>39</v>
      </c>
      <c r="G30" s="411"/>
      <c r="H30" s="462"/>
      <c r="I30" s="353">
        <v>657</v>
      </c>
      <c r="J30" s="353" t="s">
        <v>551</v>
      </c>
      <c r="K30" s="349">
        <v>19884.3693</v>
      </c>
    </row>
    <row r="31" spans="2:11" s="313" customFormat="1" ht="12.75" customHeight="1">
      <c r="B31" s="465"/>
      <c r="C31" s="390" t="s">
        <v>136</v>
      </c>
      <c r="D31" s="391"/>
      <c r="E31" s="392"/>
      <c r="F31" s="454"/>
      <c r="G31" s="416"/>
      <c r="H31" s="463"/>
      <c r="I31" s="353">
        <v>658</v>
      </c>
      <c r="J31" s="353" t="s">
        <v>552</v>
      </c>
      <c r="K31" s="349">
        <v>4300</v>
      </c>
    </row>
    <row r="32" spans="2:11" s="313" customFormat="1" ht="12.75" customHeight="1">
      <c r="B32" s="364" t="s">
        <v>95</v>
      </c>
      <c r="C32" s="351" t="s">
        <v>137</v>
      </c>
      <c r="D32" s="365"/>
      <c r="E32" s="366"/>
      <c r="F32" s="323">
        <v>40</v>
      </c>
      <c r="G32" s="410">
        <f>G34+G35+G36</f>
        <v>-49853558.4737</v>
      </c>
      <c r="H32" s="407">
        <f>H33+H36+H35</f>
        <v>-97607341</v>
      </c>
      <c r="I32" s="353">
        <v>667</v>
      </c>
      <c r="J32" s="353" t="s">
        <v>553</v>
      </c>
      <c r="K32" s="349">
        <v>61318456.9587</v>
      </c>
    </row>
    <row r="33" spans="2:11" s="313" customFormat="1" ht="12.75" customHeight="1">
      <c r="B33" s="371"/>
      <c r="C33" s="375"/>
      <c r="D33" s="457">
        <v>1</v>
      </c>
      <c r="E33" s="376" t="s">
        <v>139</v>
      </c>
      <c r="F33" s="453">
        <v>40.1</v>
      </c>
      <c r="G33" s="411"/>
      <c r="H33" s="455">
        <v>-126047924</v>
      </c>
      <c r="I33" s="353">
        <v>668</v>
      </c>
      <c r="J33" s="353" t="s">
        <v>554</v>
      </c>
      <c r="K33" s="349">
        <v>3731.6038</v>
      </c>
    </row>
    <row r="34" spans="2:11" s="313" customFormat="1" ht="12.75" customHeight="1">
      <c r="B34" s="377"/>
      <c r="C34" s="378"/>
      <c r="D34" s="458"/>
      <c r="E34" s="380" t="s">
        <v>467</v>
      </c>
      <c r="F34" s="454"/>
      <c r="G34" s="416">
        <v>-61318456.9587</v>
      </c>
      <c r="H34" s="456"/>
      <c r="I34" s="353">
        <v>6811</v>
      </c>
      <c r="J34" s="353" t="s">
        <v>555</v>
      </c>
      <c r="K34" s="349">
        <v>1881969</v>
      </c>
    </row>
    <row r="35" spans="2:11" s="313" customFormat="1" ht="12.75" customHeight="1">
      <c r="B35" s="377"/>
      <c r="C35" s="378"/>
      <c r="D35" s="379">
        <v>2</v>
      </c>
      <c r="E35" s="393" t="s">
        <v>377</v>
      </c>
      <c r="F35" s="394"/>
      <c r="G35" s="421">
        <v>11455851.485</v>
      </c>
      <c r="H35" s="417">
        <v>28440583</v>
      </c>
      <c r="I35" s="336">
        <f aca="true" t="shared" si="0" ref="I35:I62">H35</f>
        <v>28440583</v>
      </c>
      <c r="K35" s="348">
        <f>SUM(K14:K34)</f>
        <v>1387331049.9217398</v>
      </c>
    </row>
    <row r="36" spans="2:9" s="313" customFormat="1" ht="12.75" customHeight="1">
      <c r="B36" s="367"/>
      <c r="C36" s="368"/>
      <c r="D36" s="329">
        <v>3</v>
      </c>
      <c r="E36" s="393" t="s">
        <v>378</v>
      </c>
      <c r="F36" s="323">
        <v>40.2</v>
      </c>
      <c r="G36" s="421">
        <f>12779-3732</f>
        <v>9047</v>
      </c>
      <c r="H36" s="417"/>
      <c r="I36" s="336">
        <f t="shared" si="0"/>
        <v>0</v>
      </c>
    </row>
    <row r="37" spans="2:11" s="313" customFormat="1" ht="12.75" customHeight="1">
      <c r="B37" s="364" t="s">
        <v>95</v>
      </c>
      <c r="C37" s="351" t="s">
        <v>141</v>
      </c>
      <c r="D37" s="365"/>
      <c r="E37" s="366"/>
      <c r="F37" s="323">
        <v>41</v>
      </c>
      <c r="G37" s="418"/>
      <c r="H37" s="407"/>
      <c r="I37" s="336">
        <f t="shared" si="0"/>
        <v>0</v>
      </c>
      <c r="K37" s="348">
        <f>K12+K35</f>
        <v>-34259326.99596</v>
      </c>
    </row>
    <row r="38" spans="2:10" s="313" customFormat="1" ht="12.75" customHeight="1">
      <c r="B38" s="364" t="s">
        <v>95</v>
      </c>
      <c r="C38" s="351" t="s">
        <v>142</v>
      </c>
      <c r="D38" s="365"/>
      <c r="E38" s="366"/>
      <c r="F38" s="323">
        <v>42</v>
      </c>
      <c r="G38" s="410">
        <f>G7+G8+G9+G10+G11+G14+G18+G19+G20+G21+G30+G32+G37</f>
        <v>34259326.132749006</v>
      </c>
      <c r="H38" s="407">
        <f>H7+H8+H9+H10+H11+H14+H18+H19+H20+H21+H30+H32+H37</f>
        <v>-69598145</v>
      </c>
      <c r="I38" s="336">
        <f t="shared" si="0"/>
        <v>-69598145</v>
      </c>
      <c r="J38" s="336" t="s">
        <v>556</v>
      </c>
    </row>
    <row r="39" spans="2:11" s="313" customFormat="1" ht="12.75" customHeight="1">
      <c r="B39" s="364" t="s">
        <v>95</v>
      </c>
      <c r="C39" s="351" t="s">
        <v>468</v>
      </c>
      <c r="D39" s="365"/>
      <c r="E39" s="366"/>
      <c r="F39" s="323"/>
      <c r="G39" s="418">
        <f>1881121+19885</f>
        <v>1901006</v>
      </c>
      <c r="H39" s="407">
        <f>126047924+6328557</f>
        <v>132376481</v>
      </c>
      <c r="I39" s="336">
        <f t="shared" si="0"/>
        <v>132376481</v>
      </c>
      <c r="J39" s="336" t="s">
        <v>557</v>
      </c>
      <c r="K39" s="313">
        <v>-1881121</v>
      </c>
    </row>
    <row r="40" spans="2:11" s="313" customFormat="1" ht="12.75" customHeight="1">
      <c r="B40" s="364" t="s">
        <v>95</v>
      </c>
      <c r="C40" s="351" t="s">
        <v>143</v>
      </c>
      <c r="D40" s="365"/>
      <c r="E40" s="366"/>
      <c r="F40" s="323">
        <v>43</v>
      </c>
      <c r="G40" s="418">
        <f>(G38+G39)*15/100</f>
        <v>5424049.819912352</v>
      </c>
      <c r="H40" s="407">
        <f>9416750</f>
        <v>9416750</v>
      </c>
      <c r="I40" s="336">
        <f t="shared" si="0"/>
        <v>9416750</v>
      </c>
      <c r="J40" s="313" t="s">
        <v>551</v>
      </c>
      <c r="K40" s="370">
        <v>-19885</v>
      </c>
    </row>
    <row r="41" spans="2:11" s="313" customFormat="1" ht="12.75" customHeight="1">
      <c r="B41" s="367"/>
      <c r="C41" s="368"/>
      <c r="D41" s="329">
        <v>1</v>
      </c>
      <c r="E41" s="393" t="s">
        <v>144</v>
      </c>
      <c r="F41" s="323">
        <v>43.1</v>
      </c>
      <c r="G41" s="409"/>
      <c r="H41" s="422"/>
      <c r="I41" s="336">
        <f t="shared" si="0"/>
        <v>0</v>
      </c>
      <c r="K41" s="348">
        <f>SUM(K37:K40)</f>
        <v>-36160332.99596</v>
      </c>
    </row>
    <row r="42" spans="2:12" s="313" customFormat="1" ht="12.75" customHeight="1">
      <c r="B42" s="367"/>
      <c r="C42" s="368"/>
      <c r="D42" s="329">
        <v>2</v>
      </c>
      <c r="E42" s="393" t="s">
        <v>145</v>
      </c>
      <c r="F42" s="323">
        <v>43.2</v>
      </c>
      <c r="G42" s="409"/>
      <c r="H42" s="422"/>
      <c r="I42" s="336">
        <f t="shared" si="0"/>
        <v>0</v>
      </c>
      <c r="L42" s="336"/>
    </row>
    <row r="43" spans="2:9" s="313" customFormat="1" ht="12.75" customHeight="1">
      <c r="B43" s="367"/>
      <c r="C43" s="368"/>
      <c r="D43" s="329">
        <v>3</v>
      </c>
      <c r="E43" s="393" t="s">
        <v>146</v>
      </c>
      <c r="F43" s="323">
        <v>43.3</v>
      </c>
      <c r="G43" s="409"/>
      <c r="H43" s="422"/>
      <c r="I43" s="336">
        <f t="shared" si="0"/>
        <v>0</v>
      </c>
    </row>
    <row r="44" spans="2:9" s="313" customFormat="1" ht="12.75" customHeight="1">
      <c r="B44" s="364" t="s">
        <v>95</v>
      </c>
      <c r="C44" s="351" t="s">
        <v>147</v>
      </c>
      <c r="D44" s="365"/>
      <c r="E44" s="366"/>
      <c r="F44" s="323">
        <v>44</v>
      </c>
      <c r="G44" s="407">
        <f>G38-G40</f>
        <v>28835276.312836654</v>
      </c>
      <c r="H44" s="407">
        <f>H38-H40</f>
        <v>-79014895</v>
      </c>
      <c r="I44" s="336">
        <f t="shared" si="0"/>
        <v>-79014895</v>
      </c>
    </row>
    <row r="45" spans="2:9" s="313" customFormat="1" ht="12.75" customHeight="1">
      <c r="B45" s="364" t="s">
        <v>95</v>
      </c>
      <c r="C45" s="351" t="s">
        <v>148</v>
      </c>
      <c r="D45" s="365"/>
      <c r="E45" s="366"/>
      <c r="F45" s="323">
        <v>45</v>
      </c>
      <c r="G45" s="409"/>
      <c r="H45" s="407"/>
      <c r="I45" s="336">
        <f t="shared" si="0"/>
        <v>0</v>
      </c>
    </row>
    <row r="46" spans="2:9" s="313" customFormat="1" ht="12.75" customHeight="1">
      <c r="B46" s="367"/>
      <c r="C46" s="368"/>
      <c r="D46" s="365"/>
      <c r="E46" s="393" t="s">
        <v>149</v>
      </c>
      <c r="F46" s="323">
        <v>45.1</v>
      </c>
      <c r="G46" s="409"/>
      <c r="H46" s="422"/>
      <c r="I46" s="336">
        <f t="shared" si="0"/>
        <v>0</v>
      </c>
    </row>
    <row r="47" spans="2:9" s="313" customFormat="1" ht="12.75" customHeight="1">
      <c r="B47" s="367"/>
      <c r="C47" s="368"/>
      <c r="D47" s="365"/>
      <c r="E47" s="393" t="s">
        <v>150</v>
      </c>
      <c r="F47" s="323">
        <v>45.2</v>
      </c>
      <c r="G47" s="409"/>
      <c r="H47" s="422"/>
      <c r="I47" s="336">
        <f t="shared" si="0"/>
        <v>0</v>
      </c>
    </row>
    <row r="48" spans="9:11" ht="12.75" customHeight="1">
      <c r="I48" s="336">
        <f t="shared" si="0"/>
        <v>0</v>
      </c>
      <c r="K48" s="434"/>
    </row>
    <row r="49" spans="2:9" ht="12.75" customHeight="1">
      <c r="B49" s="459" t="s">
        <v>151</v>
      </c>
      <c r="C49" s="459"/>
      <c r="D49" s="459"/>
      <c r="E49" s="459"/>
      <c r="F49" s="459"/>
      <c r="G49" s="459"/>
      <c r="H49" s="459"/>
      <c r="I49" s="336">
        <f t="shared" si="0"/>
        <v>0</v>
      </c>
    </row>
    <row r="50" spans="5:9" ht="6.75" customHeight="1">
      <c r="E50" s="314"/>
      <c r="H50" s="423"/>
      <c r="I50" s="336">
        <f t="shared" si="0"/>
        <v>0</v>
      </c>
    </row>
    <row r="51" spans="2:9" ht="12.75" customHeight="1">
      <c r="B51" s="364" t="s">
        <v>2</v>
      </c>
      <c r="C51" s="461" t="s">
        <v>24</v>
      </c>
      <c r="D51" s="461"/>
      <c r="E51" s="461"/>
      <c r="F51" s="340"/>
      <c r="G51" s="424"/>
      <c r="H51" s="425">
        <v>2015</v>
      </c>
      <c r="I51" s="336">
        <f t="shared" si="0"/>
        <v>2015</v>
      </c>
    </row>
    <row r="52" spans="2:9" ht="12.75" customHeight="1">
      <c r="B52" s="364" t="s">
        <v>95</v>
      </c>
      <c r="C52" s="395" t="s">
        <v>147</v>
      </c>
      <c r="D52" s="396"/>
      <c r="E52" s="397"/>
      <c r="F52" s="398">
        <v>46</v>
      </c>
      <c r="G52" s="407">
        <f>G44</f>
        <v>28835276.312836654</v>
      </c>
      <c r="H52" s="407">
        <f>H44</f>
        <v>-79014895</v>
      </c>
      <c r="I52" s="336">
        <f t="shared" si="0"/>
        <v>-79014895</v>
      </c>
    </row>
    <row r="53" spans="2:9" ht="12.75" customHeight="1">
      <c r="B53" s="364"/>
      <c r="C53" s="395" t="s">
        <v>152</v>
      </c>
      <c r="D53" s="396"/>
      <c r="E53" s="397"/>
      <c r="F53" s="398">
        <v>46.1</v>
      </c>
      <c r="G53" s="426"/>
      <c r="H53" s="407"/>
      <c r="I53" s="336">
        <f t="shared" si="0"/>
        <v>0</v>
      </c>
    </row>
    <row r="54" spans="2:9" ht="12.75" customHeight="1">
      <c r="B54" s="399"/>
      <c r="C54" s="395" t="s">
        <v>153</v>
      </c>
      <c r="D54" s="396"/>
      <c r="E54" s="397"/>
      <c r="F54" s="398">
        <v>46.2</v>
      </c>
      <c r="G54" s="426"/>
      <c r="H54" s="407"/>
      <c r="I54" s="336">
        <f t="shared" si="0"/>
        <v>0</v>
      </c>
    </row>
    <row r="55" spans="2:9" ht="12.75" customHeight="1">
      <c r="B55" s="399"/>
      <c r="C55" s="395" t="s">
        <v>154</v>
      </c>
      <c r="D55" s="396"/>
      <c r="E55" s="397"/>
      <c r="F55" s="398">
        <v>46.3</v>
      </c>
      <c r="G55" s="426"/>
      <c r="H55" s="407"/>
      <c r="I55" s="336">
        <f t="shared" si="0"/>
        <v>0</v>
      </c>
    </row>
    <row r="56" spans="2:9" ht="12.75" customHeight="1">
      <c r="B56" s="399"/>
      <c r="C56" s="395" t="s">
        <v>155</v>
      </c>
      <c r="D56" s="396"/>
      <c r="E56" s="397"/>
      <c r="F56" s="398">
        <v>46.4</v>
      </c>
      <c r="G56" s="426"/>
      <c r="H56" s="407"/>
      <c r="I56" s="336">
        <f t="shared" si="0"/>
        <v>0</v>
      </c>
    </row>
    <row r="57" spans="2:9" ht="12.75" customHeight="1">
      <c r="B57" s="399"/>
      <c r="C57" s="395" t="s">
        <v>156</v>
      </c>
      <c r="D57" s="396"/>
      <c r="E57" s="397"/>
      <c r="F57" s="398">
        <v>46.5</v>
      </c>
      <c r="G57" s="426"/>
      <c r="H57" s="407"/>
      <c r="I57" s="336">
        <f t="shared" si="0"/>
        <v>0</v>
      </c>
    </row>
    <row r="58" spans="2:9" ht="12.75" customHeight="1">
      <c r="B58" s="364" t="s">
        <v>95</v>
      </c>
      <c r="C58" s="395" t="s">
        <v>157</v>
      </c>
      <c r="D58" s="396"/>
      <c r="E58" s="397"/>
      <c r="F58" s="398">
        <v>47</v>
      </c>
      <c r="G58" s="426"/>
      <c r="H58" s="407">
        <f>H54+H55+H56+H57</f>
        <v>0</v>
      </c>
      <c r="I58" s="336">
        <f t="shared" si="0"/>
        <v>0</v>
      </c>
    </row>
    <row r="59" spans="2:9" ht="12.75" customHeight="1">
      <c r="B59" s="364" t="s">
        <v>95</v>
      </c>
      <c r="C59" s="395" t="s">
        <v>158</v>
      </c>
      <c r="D59" s="396"/>
      <c r="E59" s="397"/>
      <c r="F59" s="398">
        <v>48</v>
      </c>
      <c r="G59" s="407">
        <f>G52+G58</f>
        <v>28835276.312836654</v>
      </c>
      <c r="H59" s="407">
        <f>H52+H58</f>
        <v>-79014895</v>
      </c>
      <c r="I59" s="336">
        <f t="shared" si="0"/>
        <v>-79014895</v>
      </c>
    </row>
    <row r="60" spans="2:9" ht="12.75" customHeight="1">
      <c r="B60" s="364" t="s">
        <v>95</v>
      </c>
      <c r="C60" s="395" t="s">
        <v>159</v>
      </c>
      <c r="D60" s="396"/>
      <c r="E60" s="397"/>
      <c r="F60" s="398">
        <v>49</v>
      </c>
      <c r="G60" s="426"/>
      <c r="H60" s="407"/>
      <c r="I60" s="336">
        <f t="shared" si="0"/>
        <v>0</v>
      </c>
    </row>
    <row r="61" spans="2:9" ht="12.75" customHeight="1">
      <c r="B61" s="399"/>
      <c r="C61" s="395"/>
      <c r="D61" s="396"/>
      <c r="E61" s="393" t="s">
        <v>149</v>
      </c>
      <c r="F61" s="331">
        <v>49.1</v>
      </c>
      <c r="G61" s="427"/>
      <c r="H61" s="428"/>
      <c r="I61" s="336">
        <f t="shared" si="0"/>
        <v>0</v>
      </c>
    </row>
    <row r="62" spans="2:9" ht="12.75" customHeight="1">
      <c r="B62" s="399"/>
      <c r="C62" s="395"/>
      <c r="D62" s="396"/>
      <c r="E62" s="393" t="s">
        <v>150</v>
      </c>
      <c r="F62" s="331">
        <v>49.2</v>
      </c>
      <c r="G62" s="427"/>
      <c r="H62" s="428"/>
      <c r="I62" s="336">
        <f t="shared" si="0"/>
        <v>0</v>
      </c>
    </row>
  </sheetData>
  <sheetProtection/>
  <mergeCells count="23">
    <mergeCell ref="C51:E51"/>
    <mergeCell ref="H30:H31"/>
    <mergeCell ref="H26:H27"/>
    <mergeCell ref="F26:F27"/>
    <mergeCell ref="B49:H49"/>
    <mergeCell ref="B30:B31"/>
    <mergeCell ref="F30:F31"/>
    <mergeCell ref="B2:H2"/>
    <mergeCell ref="D26:D27"/>
    <mergeCell ref="B4:H4"/>
    <mergeCell ref="F16:F17"/>
    <mergeCell ref="H16:H17"/>
    <mergeCell ref="H22:H23"/>
    <mergeCell ref="B3:H3"/>
    <mergeCell ref="D24:D25"/>
    <mergeCell ref="D22:D23"/>
    <mergeCell ref="H24:H25"/>
    <mergeCell ref="C6:E6"/>
    <mergeCell ref="F22:F23"/>
    <mergeCell ref="F24:F25"/>
    <mergeCell ref="F33:F34"/>
    <mergeCell ref="H33:H34"/>
    <mergeCell ref="D33:D34"/>
  </mergeCells>
  <printOptions horizontalCentered="1" verticalCentered="1"/>
  <pageMargins left="0" right="0" top="0" bottom="0" header="0.511811023622047" footer="0.511811023622047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9">
      <selection activeCell="C31" sqref="C31"/>
    </sheetView>
  </sheetViews>
  <sheetFormatPr defaultColWidth="9.140625" defaultRowHeight="12.75"/>
  <cols>
    <col min="1" max="2" width="3.7109375" style="1" customWidth="1"/>
    <col min="3" max="3" width="59.00390625" style="3" customWidth="1"/>
    <col min="4" max="4" width="16.28125" style="8" customWidth="1"/>
    <col min="5" max="5" width="16.7109375" style="8" customWidth="1"/>
    <col min="6" max="6" width="1.421875" style="3" customWidth="1"/>
    <col min="7" max="8" width="9.140625" style="3" customWidth="1"/>
    <col min="9" max="9" width="31.140625" style="3" customWidth="1"/>
    <col min="10" max="10" width="18.140625" style="187" bestFit="1" customWidth="1"/>
    <col min="11" max="16384" width="9.140625" style="3" customWidth="1"/>
  </cols>
  <sheetData>
    <row r="2" spans="1:4" ht="18">
      <c r="A2" s="466" t="s">
        <v>160</v>
      </c>
      <c r="B2" s="466"/>
      <c r="C2" s="466"/>
      <c r="D2" s="466"/>
    </row>
    <row r="3" spans="1:4" ht="18.75">
      <c r="A3" s="467" t="s">
        <v>186</v>
      </c>
      <c r="B3" s="467"/>
      <c r="C3" s="467"/>
      <c r="D3" s="467"/>
    </row>
    <row r="5" spans="1:10" s="7" customFormat="1" ht="15">
      <c r="A5" s="12"/>
      <c r="B5" s="13"/>
      <c r="C5" s="14"/>
      <c r="D5" s="15">
        <v>2016</v>
      </c>
      <c r="E5" s="15">
        <v>2015</v>
      </c>
      <c r="J5" s="186"/>
    </row>
    <row r="6" spans="1:10" s="7" customFormat="1" ht="15.75" customHeight="1">
      <c r="A6" s="11" t="s">
        <v>95</v>
      </c>
      <c r="B6" s="13" t="s">
        <v>161</v>
      </c>
      <c r="C6" s="5"/>
      <c r="D6" s="16"/>
      <c r="E6" s="16"/>
      <c r="J6" s="186"/>
    </row>
    <row r="7" spans="1:10" s="7" customFormat="1" ht="15.75" customHeight="1">
      <c r="A7" s="17"/>
      <c r="B7" s="13"/>
      <c r="C7" s="5" t="s">
        <v>187</v>
      </c>
      <c r="D7" s="18">
        <f>PASH!G44</f>
        <v>28835276.312836654</v>
      </c>
      <c r="E7" s="18">
        <v>-79014895</v>
      </c>
      <c r="J7" s="186"/>
    </row>
    <row r="8" spans="1:10" s="7" customFormat="1" ht="15.75" customHeight="1">
      <c r="A8" s="17"/>
      <c r="B8" s="13"/>
      <c r="C8" s="5" t="s">
        <v>188</v>
      </c>
      <c r="D8" s="18"/>
      <c r="E8" s="18"/>
      <c r="J8" s="186"/>
    </row>
    <row r="9" spans="1:10" s="7" customFormat="1" ht="15.75" customHeight="1">
      <c r="A9" s="17"/>
      <c r="B9" s="13"/>
      <c r="C9" s="5" t="s">
        <v>189</v>
      </c>
      <c r="D9" s="18"/>
      <c r="E9" s="18"/>
      <c r="J9" s="186"/>
    </row>
    <row r="10" spans="1:10" s="7" customFormat="1" ht="15.75" customHeight="1">
      <c r="A10" s="17"/>
      <c r="B10" s="13"/>
      <c r="C10" s="5" t="s">
        <v>190</v>
      </c>
      <c r="D10" s="18"/>
      <c r="E10" s="18"/>
      <c r="J10" s="186"/>
    </row>
    <row r="11" spans="1:10" s="7" customFormat="1" ht="15.75" customHeight="1">
      <c r="A11" s="17"/>
      <c r="B11" s="13"/>
      <c r="C11" s="5" t="s">
        <v>126</v>
      </c>
      <c r="D11" s="146"/>
      <c r="E11" s="18"/>
      <c r="J11" s="186"/>
    </row>
    <row r="12" spans="1:10" s="7" customFormat="1" ht="15.75" customHeight="1">
      <c r="A12" s="17"/>
      <c r="B12" s="13"/>
      <c r="C12" s="5" t="s">
        <v>125</v>
      </c>
      <c r="D12" s="18"/>
      <c r="E12" s="18"/>
      <c r="J12" s="186"/>
    </row>
    <row r="13" spans="1:10" s="7" customFormat="1" ht="15.75" customHeight="1">
      <c r="A13" s="17"/>
      <c r="B13" s="13"/>
      <c r="C13" s="5" t="s">
        <v>191</v>
      </c>
      <c r="D13" s="18"/>
      <c r="E13" s="18"/>
      <c r="J13" s="186"/>
    </row>
    <row r="14" spans="1:10" s="7" customFormat="1" ht="15.75" customHeight="1">
      <c r="A14" s="17"/>
      <c r="B14" s="13"/>
      <c r="C14" s="5" t="s">
        <v>192</v>
      </c>
      <c r="D14" s="146"/>
      <c r="E14" s="18"/>
      <c r="J14" s="186"/>
    </row>
    <row r="15" spans="1:10" s="7" customFormat="1" ht="15.75" customHeight="1">
      <c r="A15" s="17"/>
      <c r="B15" s="13"/>
      <c r="C15" s="5" t="s">
        <v>193</v>
      </c>
      <c r="D15" s="18">
        <f>Aktivet!G9-Aktivet!F9+Aktivet!G13-Aktivet!F13</f>
        <v>-311344955.3251798</v>
      </c>
      <c r="E15" s="18">
        <v>-1201926221</v>
      </c>
      <c r="J15" s="186"/>
    </row>
    <row r="16" spans="1:10" s="7" customFormat="1" ht="15.75" customHeight="1">
      <c r="A16" s="17"/>
      <c r="B16" s="13"/>
      <c r="C16" s="5" t="s">
        <v>194</v>
      </c>
      <c r="D16" s="18">
        <f>Aktivet!G21-Aktivet!F21</f>
        <v>159592598</v>
      </c>
      <c r="E16" s="18">
        <v>1182403380</v>
      </c>
      <c r="J16" s="186"/>
    </row>
    <row r="17" spans="1:10" s="7" customFormat="1" ht="15.75" customHeight="1">
      <c r="A17" s="17"/>
      <c r="B17" s="13"/>
      <c r="C17" s="5" t="s">
        <v>195</v>
      </c>
      <c r="D17" s="146">
        <f>Pasivet!G37-Pasivet!H37</f>
        <v>132640016.75352001</v>
      </c>
      <c r="E17" s="18">
        <v>102915947</v>
      </c>
      <c r="J17" s="186"/>
    </row>
    <row r="18" spans="1:10" s="7" customFormat="1" ht="15.75" customHeight="1">
      <c r="A18" s="17"/>
      <c r="B18" s="13"/>
      <c r="C18" s="5"/>
      <c r="D18" s="18"/>
      <c r="E18" s="18"/>
      <c r="J18" s="186"/>
    </row>
    <row r="19" spans="1:10" s="7" customFormat="1" ht="15.75" customHeight="1">
      <c r="A19" s="17"/>
      <c r="B19" s="13" t="s">
        <v>163</v>
      </c>
      <c r="C19" s="5"/>
      <c r="D19" s="19">
        <f>SUM(D7:D18)</f>
        <v>9722935.741176844</v>
      </c>
      <c r="E19" s="19">
        <v>4378211</v>
      </c>
      <c r="J19" s="186"/>
    </row>
    <row r="20" spans="1:10" s="7" customFormat="1" ht="15.75" customHeight="1">
      <c r="A20" s="11" t="s">
        <v>95</v>
      </c>
      <c r="B20" s="13" t="s">
        <v>164</v>
      </c>
      <c r="C20" s="5"/>
      <c r="D20" s="16"/>
      <c r="E20" s="16"/>
      <c r="J20" s="186"/>
    </row>
    <row r="21" spans="1:10" s="7" customFormat="1" ht="15.75" customHeight="1">
      <c r="A21" s="17"/>
      <c r="B21" s="13"/>
      <c r="C21" s="5" t="s">
        <v>165</v>
      </c>
      <c r="D21" s="18"/>
      <c r="E21" s="18"/>
      <c r="J21" s="186"/>
    </row>
    <row r="22" spans="1:10" s="7" customFormat="1" ht="15.75" customHeight="1">
      <c r="A22" s="17"/>
      <c r="B22" s="13"/>
      <c r="C22" s="5" t="s">
        <v>166</v>
      </c>
      <c r="D22" s="18"/>
      <c r="E22" s="18"/>
      <c r="J22" s="186"/>
    </row>
    <row r="23" spans="1:10" s="7" customFormat="1" ht="15.75" customHeight="1">
      <c r="A23" s="17"/>
      <c r="B23" s="13"/>
      <c r="C23" s="5" t="s">
        <v>167</v>
      </c>
      <c r="D23" s="18">
        <f>aam!F16+aam!E30-aam!E16-1</f>
        <v>-11257458.03242891</v>
      </c>
      <c r="E23" s="18">
        <v>496256.637565529</v>
      </c>
      <c r="J23" s="186"/>
    </row>
    <row r="24" spans="1:10" s="7" customFormat="1" ht="15.75" customHeight="1">
      <c r="A24" s="17"/>
      <c r="B24" s="13"/>
      <c r="C24" s="5" t="s">
        <v>168</v>
      </c>
      <c r="D24" s="169"/>
      <c r="E24" s="18"/>
      <c r="J24" s="186"/>
    </row>
    <row r="25" spans="1:10" s="7" customFormat="1" ht="15.75" customHeight="1">
      <c r="A25" s="17"/>
      <c r="B25" s="13"/>
      <c r="C25" s="5" t="s">
        <v>169</v>
      </c>
      <c r="D25" s="18"/>
      <c r="E25" s="18"/>
      <c r="J25" s="186"/>
    </row>
    <row r="26" spans="1:10" s="7" customFormat="1" ht="15.75" customHeight="1">
      <c r="A26" s="17"/>
      <c r="B26" s="13"/>
      <c r="C26" s="5" t="s">
        <v>170</v>
      </c>
      <c r="D26" s="18"/>
      <c r="E26" s="18"/>
      <c r="J26" s="186"/>
    </row>
    <row r="27" spans="1:10" s="7" customFormat="1" ht="15.75" customHeight="1">
      <c r="A27" s="17"/>
      <c r="B27" s="13"/>
      <c r="C27" s="5" t="s">
        <v>171</v>
      </c>
      <c r="D27" s="18"/>
      <c r="E27" s="18"/>
      <c r="J27" s="186"/>
    </row>
    <row r="28" spans="1:10" s="7" customFormat="1" ht="15.75" customHeight="1">
      <c r="A28" s="17"/>
      <c r="B28" s="13" t="s">
        <v>172</v>
      </c>
      <c r="C28" s="5"/>
      <c r="D28" s="19">
        <f>D21+D22+D23+D24+D25+D26+D27</f>
        <v>-11257458.03242891</v>
      </c>
      <c r="E28" s="19">
        <v>496256.637565529</v>
      </c>
      <c r="J28" s="186"/>
    </row>
    <row r="29" spans="1:10" s="7" customFormat="1" ht="15.75" customHeight="1">
      <c r="A29" s="11" t="s">
        <v>95</v>
      </c>
      <c r="B29" s="13" t="s">
        <v>173</v>
      </c>
      <c r="C29" s="5"/>
      <c r="D29" s="16"/>
      <c r="E29" s="16"/>
      <c r="J29" s="186"/>
    </row>
    <row r="30" spans="1:10" s="7" customFormat="1" ht="15.75" customHeight="1">
      <c r="A30" s="17"/>
      <c r="B30" s="13"/>
      <c r="C30" s="5" t="s">
        <v>174</v>
      </c>
      <c r="D30" s="18"/>
      <c r="E30" s="18"/>
      <c r="J30" s="186"/>
    </row>
    <row r="31" spans="1:10" s="7" customFormat="1" ht="15.75" customHeight="1">
      <c r="A31" s="17"/>
      <c r="B31" s="13"/>
      <c r="C31" s="5" t="s">
        <v>175</v>
      </c>
      <c r="D31" s="18"/>
      <c r="E31" s="18"/>
      <c r="J31" s="186"/>
    </row>
    <row r="32" spans="1:10" s="7" customFormat="1" ht="15.75" customHeight="1">
      <c r="A32" s="17"/>
      <c r="B32" s="13"/>
      <c r="C32" s="5" t="s">
        <v>176</v>
      </c>
      <c r="D32" s="18"/>
      <c r="E32" s="18"/>
      <c r="J32" s="186"/>
    </row>
    <row r="33" spans="1:10" s="7" customFormat="1" ht="15.75" customHeight="1">
      <c r="A33" s="17"/>
      <c r="B33" s="13"/>
      <c r="C33" s="5" t="s">
        <v>177</v>
      </c>
      <c r="D33" s="18"/>
      <c r="E33" s="18"/>
      <c r="J33" s="186"/>
    </row>
    <row r="34" spans="1:10" s="7" customFormat="1" ht="15.75" customHeight="1">
      <c r="A34" s="17"/>
      <c r="B34" s="13"/>
      <c r="C34" s="5" t="s">
        <v>178</v>
      </c>
      <c r="D34" s="18"/>
      <c r="E34" s="18"/>
      <c r="J34" s="186"/>
    </row>
    <row r="35" spans="1:10" s="7" customFormat="1" ht="15.75" customHeight="1">
      <c r="A35" s="17"/>
      <c r="B35" s="13"/>
      <c r="C35" s="5" t="s">
        <v>179</v>
      </c>
      <c r="D35" s="18"/>
      <c r="E35" s="18"/>
      <c r="J35" s="186"/>
    </row>
    <row r="36" spans="1:10" s="7" customFormat="1" ht="15.75" customHeight="1">
      <c r="A36" s="17"/>
      <c r="B36" s="13"/>
      <c r="C36" s="5" t="s">
        <v>180</v>
      </c>
      <c r="D36" s="18"/>
      <c r="E36" s="18"/>
      <c r="J36" s="186"/>
    </row>
    <row r="37" spans="1:10" s="7" customFormat="1" ht="15.75" customHeight="1">
      <c r="A37" s="17"/>
      <c r="B37" s="13"/>
      <c r="C37" s="5" t="s">
        <v>181</v>
      </c>
      <c r="D37" s="18"/>
      <c r="E37" s="18"/>
      <c r="J37" s="186"/>
    </row>
    <row r="38" spans="1:10" s="7" customFormat="1" ht="15.75" customHeight="1">
      <c r="A38" s="17"/>
      <c r="B38" s="13"/>
      <c r="C38" s="5" t="s">
        <v>162</v>
      </c>
      <c r="D38" s="18"/>
      <c r="E38" s="18"/>
      <c r="J38" s="186"/>
    </row>
    <row r="39" spans="1:10" s="7" customFormat="1" ht="15.75" customHeight="1">
      <c r="A39" s="17"/>
      <c r="B39" s="13"/>
      <c r="C39" s="5" t="s">
        <v>182</v>
      </c>
      <c r="D39" s="18"/>
      <c r="E39" s="18"/>
      <c r="H39" s="6"/>
      <c r="J39" s="186"/>
    </row>
    <row r="40" spans="1:10" s="7" customFormat="1" ht="15.75" customHeight="1">
      <c r="A40" s="17"/>
      <c r="B40" s="13" t="s">
        <v>183</v>
      </c>
      <c r="C40" s="5"/>
      <c r="D40" s="19">
        <f>D30+D31+D32+D33+D34+D35+D36+D37+D38+D39</f>
        <v>0</v>
      </c>
      <c r="E40" s="19">
        <v>0</v>
      </c>
      <c r="J40" s="186"/>
    </row>
    <row r="41" spans="1:10" s="7" customFormat="1" ht="15.75" customHeight="1">
      <c r="A41" s="17"/>
      <c r="B41" s="13"/>
      <c r="C41" s="5"/>
      <c r="D41" s="16"/>
      <c r="E41" s="16"/>
      <c r="J41" s="186"/>
    </row>
    <row r="42" spans="1:10" s="7" customFormat="1" ht="15.75" customHeight="1">
      <c r="A42" s="17"/>
      <c r="B42" s="13" t="s">
        <v>184</v>
      </c>
      <c r="C42" s="5"/>
      <c r="D42" s="19">
        <f>D19+D28+D40</f>
        <v>-1534522.2912520654</v>
      </c>
      <c r="E42" s="19">
        <v>4874467.637565529</v>
      </c>
      <c r="J42" s="186"/>
    </row>
    <row r="43" spans="1:10" s="7" customFormat="1" ht="15.75" customHeight="1">
      <c r="A43" s="17"/>
      <c r="B43" s="13" t="s">
        <v>215</v>
      </c>
      <c r="C43" s="5"/>
      <c r="D43" s="18">
        <f>E45</f>
        <v>7385583.637565529</v>
      </c>
      <c r="E43" s="18">
        <v>2511116</v>
      </c>
      <c r="J43" s="186"/>
    </row>
    <row r="44" spans="1:10" s="7" customFormat="1" ht="15.75" customHeight="1">
      <c r="A44" s="17"/>
      <c r="B44" s="13"/>
      <c r="C44" s="5" t="s">
        <v>185</v>
      </c>
      <c r="D44" s="18"/>
      <c r="E44" s="18"/>
      <c r="J44" s="186"/>
    </row>
    <row r="45" spans="1:10" s="7" customFormat="1" ht="15.75" customHeight="1">
      <c r="A45" s="17"/>
      <c r="B45" s="13" t="s">
        <v>216</v>
      </c>
      <c r="C45" s="5"/>
      <c r="D45" s="350">
        <f>SUM(D42:D44)</f>
        <v>5851061.3463134635</v>
      </c>
      <c r="E45" s="19">
        <v>7385583.637565529</v>
      </c>
      <c r="J45" s="186"/>
    </row>
    <row r="46" spans="3:5" ht="12.75">
      <c r="C46" s="109" t="s">
        <v>327</v>
      </c>
      <c r="D46" s="8">
        <f>Aktivet!F6</f>
        <v>5851061.894003741</v>
      </c>
      <c r="E46" s="8">
        <f>Aktivet!G6</f>
        <v>7385584</v>
      </c>
    </row>
    <row r="47" spans="4:5" ht="12.75">
      <c r="D47" s="3"/>
      <c r="E47" s="3"/>
    </row>
    <row r="48" ht="12.75">
      <c r="D48" s="8">
        <f>D45-D46</f>
        <v>-0.5476902779191732</v>
      </c>
    </row>
  </sheetData>
  <sheetProtection/>
  <mergeCells count="2">
    <mergeCell ref="A2:D2"/>
    <mergeCell ref="A3:D3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0">
      <selection activeCell="E16" sqref="E16"/>
    </sheetView>
  </sheetViews>
  <sheetFormatPr defaultColWidth="9.140625" defaultRowHeight="12.75"/>
  <cols>
    <col min="1" max="1" width="4.00390625" style="9" customWidth="1"/>
    <col min="2" max="2" width="41.8515625" style="429" customWidth="1"/>
    <col min="3" max="3" width="13.140625" style="110" bestFit="1" customWidth="1"/>
    <col min="4" max="4" width="5.7109375" style="110" customWidth="1"/>
    <col min="5" max="5" width="11.8515625" style="110" customWidth="1"/>
    <col min="6" max="6" width="10.421875" style="110" customWidth="1"/>
    <col min="7" max="7" width="5.7109375" style="110" customWidth="1"/>
    <col min="8" max="8" width="12.421875" style="110" customWidth="1"/>
    <col min="9" max="9" width="11.8515625" style="110" bestFit="1" customWidth="1"/>
    <col min="10" max="10" width="11.57421875" style="110" customWidth="1"/>
    <col min="11" max="11" width="13.00390625" style="110" customWidth="1"/>
    <col min="12" max="12" width="5.7109375" style="110" customWidth="1"/>
    <col min="13" max="13" width="13.28125" style="110" customWidth="1"/>
    <col min="14" max="14" width="2.421875" style="9" customWidth="1"/>
    <col min="15" max="15" width="13.140625" style="9" bestFit="1" customWidth="1"/>
    <col min="16" max="16384" width="9.140625" style="9" customWidth="1"/>
  </cols>
  <sheetData>
    <row r="1" spans="2:13" ht="18.75">
      <c r="B1" s="468" t="s">
        <v>210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ht="9.75" customHeight="1"/>
    <row r="3" spans="1:13" ht="90" customHeight="1">
      <c r="A3" s="10"/>
      <c r="B3" s="430"/>
      <c r="C3" s="111" t="s">
        <v>209</v>
      </c>
      <c r="D3" s="112" t="s">
        <v>103</v>
      </c>
      <c r="E3" s="112" t="s">
        <v>208</v>
      </c>
      <c r="F3" s="112" t="s">
        <v>207</v>
      </c>
      <c r="G3" s="112" t="s">
        <v>206</v>
      </c>
      <c r="H3" s="112" t="s">
        <v>105</v>
      </c>
      <c r="I3" s="112" t="s">
        <v>205</v>
      </c>
      <c r="J3" s="112" t="s">
        <v>187</v>
      </c>
      <c r="K3" s="112" t="s">
        <v>28</v>
      </c>
      <c r="L3" s="112" t="s">
        <v>204</v>
      </c>
      <c r="M3" s="112" t="s">
        <v>28</v>
      </c>
    </row>
    <row r="4" spans="1:15" ht="32.25" customHeight="1">
      <c r="A4" s="11" t="s">
        <v>95</v>
      </c>
      <c r="B4" s="431" t="s">
        <v>213</v>
      </c>
      <c r="C4" s="113">
        <f>Pasivet!H39</f>
        <v>1209658000</v>
      </c>
      <c r="D4" s="113"/>
      <c r="E4" s="113">
        <f>Pasivet!H43</f>
        <v>5276420</v>
      </c>
      <c r="F4" s="113">
        <f>Pasivet!H44</f>
        <v>5730398</v>
      </c>
      <c r="G4" s="113"/>
      <c r="H4" s="113"/>
      <c r="I4" s="113">
        <f>Pasivet!H46</f>
        <v>-366749535</v>
      </c>
      <c r="J4" s="113">
        <f>Pasivet!H47</f>
        <v>-79014895</v>
      </c>
      <c r="K4" s="113">
        <f>SUM(C4:J4)</f>
        <v>774900388</v>
      </c>
      <c r="L4" s="113"/>
      <c r="M4" s="113">
        <f>SUM(K4:L4)</f>
        <v>774900388</v>
      </c>
      <c r="O4" s="166">
        <f>M4-43152978</f>
        <v>731747410</v>
      </c>
    </row>
    <row r="5" spans="1:13" ht="15.75">
      <c r="A5" s="10"/>
      <c r="B5" s="432" t="s">
        <v>203</v>
      </c>
      <c r="C5" s="114"/>
      <c r="D5" s="114"/>
      <c r="E5" s="114"/>
      <c r="F5" s="114"/>
      <c r="G5" s="114"/>
      <c r="H5" s="114"/>
      <c r="I5" s="114"/>
      <c r="J5" s="114"/>
      <c r="K5" s="113">
        <f aca="true" t="shared" si="0" ref="K5:K27">SUM(C5:J5)</f>
        <v>0</v>
      </c>
      <c r="L5" s="113"/>
      <c r="M5" s="113">
        <f aca="true" t="shared" si="1" ref="M5:M27">SUM(K5:L5)</f>
        <v>0</v>
      </c>
    </row>
    <row r="6" spans="1:13" ht="18.75">
      <c r="A6" s="11" t="s">
        <v>95</v>
      </c>
      <c r="B6" s="431" t="s">
        <v>214</v>
      </c>
      <c r="C6" s="113">
        <f>SUM(C4:C5)</f>
        <v>1209658000</v>
      </c>
      <c r="D6" s="113">
        <f aca="true" t="shared" si="2" ref="D6:J6">SUM(D4:D5)</f>
        <v>0</v>
      </c>
      <c r="E6" s="113">
        <f t="shared" si="2"/>
        <v>5276420</v>
      </c>
      <c r="F6" s="113">
        <f t="shared" si="2"/>
        <v>5730398</v>
      </c>
      <c r="G6" s="113">
        <f t="shared" si="2"/>
        <v>0</v>
      </c>
      <c r="H6" s="113">
        <f t="shared" si="2"/>
        <v>0</v>
      </c>
      <c r="I6" s="113">
        <f t="shared" si="2"/>
        <v>-366749535</v>
      </c>
      <c r="J6" s="113">
        <f t="shared" si="2"/>
        <v>-79014895</v>
      </c>
      <c r="K6" s="113">
        <f t="shared" si="0"/>
        <v>774900388</v>
      </c>
      <c r="L6" s="113"/>
      <c r="M6" s="113">
        <f t="shared" si="1"/>
        <v>774900388</v>
      </c>
    </row>
    <row r="7" spans="1:13" ht="15.75">
      <c r="A7" s="10"/>
      <c r="B7" s="431" t="s">
        <v>199</v>
      </c>
      <c r="C7" s="114"/>
      <c r="D7" s="114"/>
      <c r="E7" s="114"/>
      <c r="F7" s="114"/>
      <c r="G7" s="114"/>
      <c r="H7" s="114"/>
      <c r="I7" s="114"/>
      <c r="J7" s="114"/>
      <c r="K7" s="113">
        <f t="shared" si="0"/>
        <v>0</v>
      </c>
      <c r="L7" s="113"/>
      <c r="M7" s="113">
        <f t="shared" si="1"/>
        <v>0</v>
      </c>
    </row>
    <row r="8" spans="1:13" ht="15.75">
      <c r="A8" s="10"/>
      <c r="B8" s="432" t="s">
        <v>201</v>
      </c>
      <c r="C8" s="114"/>
      <c r="D8" s="114"/>
      <c r="E8" s="114"/>
      <c r="F8" s="114"/>
      <c r="G8" s="114"/>
      <c r="H8" s="114"/>
      <c r="I8" s="114"/>
      <c r="J8" s="114"/>
      <c r="K8" s="113">
        <f t="shared" si="0"/>
        <v>0</v>
      </c>
      <c r="L8" s="113"/>
      <c r="M8" s="113">
        <f t="shared" si="1"/>
        <v>0</v>
      </c>
    </row>
    <row r="9" spans="1:13" ht="15.75">
      <c r="A9" s="10"/>
      <c r="B9" s="431" t="s">
        <v>200</v>
      </c>
      <c r="C9" s="114"/>
      <c r="D9" s="114"/>
      <c r="E9" s="114"/>
      <c r="F9" s="114"/>
      <c r="G9" s="114"/>
      <c r="H9" s="114"/>
      <c r="I9" s="114"/>
      <c r="J9" s="114"/>
      <c r="K9" s="113">
        <f t="shared" si="0"/>
        <v>0</v>
      </c>
      <c r="L9" s="113"/>
      <c r="M9" s="113">
        <f t="shared" si="1"/>
        <v>0</v>
      </c>
    </row>
    <row r="10" spans="1:13" ht="15.75">
      <c r="A10" s="10"/>
      <c r="B10" s="431" t="s">
        <v>202</v>
      </c>
      <c r="C10" s="113"/>
      <c r="D10" s="113"/>
      <c r="E10" s="113"/>
      <c r="F10" s="113"/>
      <c r="G10" s="113"/>
      <c r="H10" s="113"/>
      <c r="I10" s="113"/>
      <c r="J10" s="113"/>
      <c r="K10" s="113">
        <f t="shared" si="0"/>
        <v>0</v>
      </c>
      <c r="L10" s="113"/>
      <c r="M10" s="113">
        <f t="shared" si="1"/>
        <v>0</v>
      </c>
    </row>
    <row r="11" spans="1:13" ht="25.5">
      <c r="A11" s="10"/>
      <c r="B11" s="431" t="s">
        <v>198</v>
      </c>
      <c r="C11" s="114"/>
      <c r="D11" s="114"/>
      <c r="E11" s="114"/>
      <c r="F11" s="114"/>
      <c r="G11" s="114"/>
      <c r="H11" s="114"/>
      <c r="I11" s="114"/>
      <c r="J11" s="114"/>
      <c r="K11" s="113">
        <f t="shared" si="0"/>
        <v>0</v>
      </c>
      <c r="L11" s="113"/>
      <c r="M11" s="113">
        <f t="shared" si="1"/>
        <v>0</v>
      </c>
    </row>
    <row r="12" spans="1:13" ht="18.75" customHeight="1">
      <c r="A12" s="10"/>
      <c r="B12" s="432" t="s">
        <v>197</v>
      </c>
      <c r="C12" s="114"/>
      <c r="D12" s="114"/>
      <c r="E12" s="114"/>
      <c r="F12" s="114"/>
      <c r="G12" s="114"/>
      <c r="H12" s="114"/>
      <c r="I12" s="114"/>
      <c r="J12" s="114"/>
      <c r="K12" s="113"/>
      <c r="L12" s="113"/>
      <c r="M12" s="113">
        <f t="shared" si="1"/>
        <v>0</v>
      </c>
    </row>
    <row r="13" spans="1:15" ht="15.75">
      <c r="A13" s="10"/>
      <c r="B13" s="432" t="s">
        <v>182</v>
      </c>
      <c r="C13" s="114"/>
      <c r="D13" s="114"/>
      <c r="E13" s="114"/>
      <c r="F13" s="114"/>
      <c r="G13" s="114"/>
      <c r="H13" s="114"/>
      <c r="I13" s="114"/>
      <c r="J13" s="114"/>
      <c r="K13" s="113">
        <f t="shared" si="0"/>
        <v>0</v>
      </c>
      <c r="L13" s="113"/>
      <c r="M13" s="113">
        <f t="shared" si="1"/>
        <v>0</v>
      </c>
      <c r="O13" s="9">
        <f>4662130-4540035</f>
        <v>122095</v>
      </c>
    </row>
    <row r="14" spans="1:13" ht="25.5">
      <c r="A14" s="10"/>
      <c r="B14" s="431" t="s">
        <v>196</v>
      </c>
      <c r="C14" s="113"/>
      <c r="D14" s="113"/>
      <c r="E14" s="113"/>
      <c r="F14" s="113"/>
      <c r="G14" s="113"/>
      <c r="H14" s="113"/>
      <c r="I14" s="113"/>
      <c r="J14" s="113"/>
      <c r="K14" s="113">
        <f t="shared" si="0"/>
        <v>0</v>
      </c>
      <c r="L14" s="113"/>
      <c r="M14" s="113">
        <f t="shared" si="1"/>
        <v>0</v>
      </c>
    </row>
    <row r="15" spans="1:13" ht="15.75">
      <c r="A15" s="10"/>
      <c r="B15" s="431"/>
      <c r="C15" s="113"/>
      <c r="D15" s="113"/>
      <c r="E15" s="113"/>
      <c r="F15" s="113"/>
      <c r="G15" s="113"/>
      <c r="H15" s="113"/>
      <c r="I15" s="113"/>
      <c r="J15" s="113"/>
      <c r="K15" s="113">
        <f t="shared" si="0"/>
        <v>0</v>
      </c>
      <c r="L15" s="113"/>
      <c r="M15" s="113">
        <f t="shared" si="1"/>
        <v>0</v>
      </c>
    </row>
    <row r="16" spans="1:13" ht="25.5">
      <c r="A16" s="11" t="s">
        <v>95</v>
      </c>
      <c r="B16" s="431" t="s">
        <v>558</v>
      </c>
      <c r="C16" s="113">
        <f>SUM(C6:C15)</f>
        <v>1209658000</v>
      </c>
      <c r="D16" s="113">
        <f aca="true" t="shared" si="3" ref="D16:J16">SUM(D6:D15)</f>
        <v>0</v>
      </c>
      <c r="E16" s="113">
        <f t="shared" si="3"/>
        <v>5276420</v>
      </c>
      <c r="F16" s="113">
        <f t="shared" si="3"/>
        <v>5730398</v>
      </c>
      <c r="G16" s="113">
        <f t="shared" si="3"/>
        <v>0</v>
      </c>
      <c r="H16" s="113">
        <f t="shared" si="3"/>
        <v>0</v>
      </c>
      <c r="I16" s="113">
        <f t="shared" si="3"/>
        <v>-366749535</v>
      </c>
      <c r="J16" s="113">
        <f t="shared" si="3"/>
        <v>-79014895</v>
      </c>
      <c r="K16" s="113">
        <f t="shared" si="0"/>
        <v>774900388</v>
      </c>
      <c r="L16" s="113"/>
      <c r="M16" s="113">
        <f t="shared" si="1"/>
        <v>774900388</v>
      </c>
    </row>
    <row r="17" spans="1:13" ht="15.75">
      <c r="A17" s="10"/>
      <c r="B17" s="432" t="s">
        <v>203</v>
      </c>
      <c r="C17" s="114"/>
      <c r="D17" s="114"/>
      <c r="E17" s="114"/>
      <c r="F17" s="114"/>
      <c r="G17" s="114"/>
      <c r="H17" s="114"/>
      <c r="I17" s="114"/>
      <c r="J17" s="114"/>
      <c r="K17" s="113">
        <f t="shared" si="0"/>
        <v>0</v>
      </c>
      <c r="L17" s="113"/>
      <c r="M17" s="113">
        <f t="shared" si="1"/>
        <v>0</v>
      </c>
    </row>
    <row r="18" spans="1:13" ht="18.75">
      <c r="A18" s="11" t="s">
        <v>95</v>
      </c>
      <c r="B18" s="431" t="s">
        <v>559</v>
      </c>
      <c r="C18" s="113">
        <f>SUM(C16:C17)</f>
        <v>1209658000</v>
      </c>
      <c r="D18" s="113">
        <f aca="true" t="shared" si="4" ref="D18:J18">SUM(D16:D17)</f>
        <v>0</v>
      </c>
      <c r="E18" s="113">
        <f t="shared" si="4"/>
        <v>5276420</v>
      </c>
      <c r="F18" s="113">
        <f t="shared" si="4"/>
        <v>5730398</v>
      </c>
      <c r="G18" s="113">
        <f t="shared" si="4"/>
        <v>0</v>
      </c>
      <c r="H18" s="113">
        <f t="shared" si="4"/>
        <v>0</v>
      </c>
      <c r="I18" s="113">
        <f t="shared" si="4"/>
        <v>-366749535</v>
      </c>
      <c r="J18" s="113">
        <f t="shared" si="4"/>
        <v>-79014895</v>
      </c>
      <c r="K18" s="113">
        <f t="shared" si="0"/>
        <v>774900388</v>
      </c>
      <c r="L18" s="113"/>
      <c r="M18" s="113">
        <f t="shared" si="1"/>
        <v>774900388</v>
      </c>
    </row>
    <row r="19" spans="1:13" ht="15.75">
      <c r="A19" s="10"/>
      <c r="B19" s="431" t="s">
        <v>202</v>
      </c>
      <c r="C19" s="114"/>
      <c r="D19" s="114"/>
      <c r="E19" s="114"/>
      <c r="F19" s="114"/>
      <c r="G19" s="114"/>
      <c r="H19" s="114"/>
      <c r="I19" s="114"/>
      <c r="J19" s="114"/>
      <c r="K19" s="113">
        <f t="shared" si="0"/>
        <v>0</v>
      </c>
      <c r="L19" s="113"/>
      <c r="M19" s="113">
        <f t="shared" si="1"/>
        <v>0</v>
      </c>
    </row>
    <row r="20" spans="1:13" ht="15.75">
      <c r="A20" s="10"/>
      <c r="B20" s="432" t="s">
        <v>201</v>
      </c>
      <c r="C20" s="114"/>
      <c r="D20" s="114"/>
      <c r="E20" s="114"/>
      <c r="F20" s="114"/>
      <c r="G20" s="114"/>
      <c r="H20" s="114"/>
      <c r="I20" s="114"/>
      <c r="J20" s="114">
        <f>Pasivet!G47</f>
        <v>28835276.312836654</v>
      </c>
      <c r="K20" s="113">
        <f t="shared" si="0"/>
        <v>28835276.312836654</v>
      </c>
      <c r="L20" s="113"/>
      <c r="M20" s="113">
        <f t="shared" si="1"/>
        <v>28835276.312836654</v>
      </c>
    </row>
    <row r="21" spans="1:13" ht="15.75">
      <c r="A21" s="10"/>
      <c r="B21" s="431" t="s">
        <v>200</v>
      </c>
      <c r="C21" s="114"/>
      <c r="D21" s="114"/>
      <c r="E21" s="114"/>
      <c r="F21" s="114"/>
      <c r="G21" s="114"/>
      <c r="H21" s="114"/>
      <c r="I21" s="114"/>
      <c r="J21" s="114"/>
      <c r="K21" s="113">
        <f t="shared" si="0"/>
        <v>0</v>
      </c>
      <c r="L21" s="113"/>
      <c r="M21" s="113">
        <f t="shared" si="1"/>
        <v>0</v>
      </c>
    </row>
    <row r="22" spans="1:13" ht="15.75">
      <c r="A22" s="10"/>
      <c r="B22" s="431" t="s">
        <v>199</v>
      </c>
      <c r="C22" s="113"/>
      <c r="D22" s="113"/>
      <c r="E22" s="113"/>
      <c r="F22" s="113"/>
      <c r="G22" s="113"/>
      <c r="H22" s="113"/>
      <c r="I22" s="113"/>
      <c r="J22" s="113"/>
      <c r="K22" s="113">
        <f t="shared" si="0"/>
        <v>0</v>
      </c>
      <c r="L22" s="113"/>
      <c r="M22" s="113">
        <f t="shared" si="1"/>
        <v>0</v>
      </c>
    </row>
    <row r="23" spans="1:13" ht="25.5">
      <c r="A23" s="10"/>
      <c r="B23" s="431" t="s">
        <v>198</v>
      </c>
      <c r="C23" s="114"/>
      <c r="D23" s="114"/>
      <c r="E23" s="114"/>
      <c r="F23" s="114"/>
      <c r="G23" s="114"/>
      <c r="H23" s="114"/>
      <c r="I23" s="114"/>
      <c r="J23" s="114"/>
      <c r="K23" s="113">
        <f t="shared" si="0"/>
        <v>0</v>
      </c>
      <c r="L23" s="113"/>
      <c r="M23" s="113">
        <f t="shared" si="1"/>
        <v>0</v>
      </c>
    </row>
    <row r="24" spans="1:13" ht="15.75">
      <c r="A24" s="10"/>
      <c r="B24" s="432" t="s">
        <v>197</v>
      </c>
      <c r="C24" s="167"/>
      <c r="D24" s="167"/>
      <c r="E24" s="167"/>
      <c r="F24" s="167"/>
      <c r="G24" s="167"/>
      <c r="H24" s="167"/>
      <c r="I24" s="167"/>
      <c r="J24" s="167"/>
      <c r="K24" s="113">
        <f>SUM(C24:J24)</f>
        <v>0</v>
      </c>
      <c r="L24" s="113"/>
      <c r="M24" s="113">
        <f>SUM(K24:L24)</f>
        <v>0</v>
      </c>
    </row>
    <row r="25" spans="1:13" ht="15.75">
      <c r="A25" s="10"/>
      <c r="B25" s="432" t="s">
        <v>182</v>
      </c>
      <c r="C25" s="114"/>
      <c r="D25" s="114"/>
      <c r="E25" s="114"/>
      <c r="F25" s="114"/>
      <c r="G25" s="114"/>
      <c r="H25" s="114"/>
      <c r="I25" s="114"/>
      <c r="J25" s="114"/>
      <c r="K25" s="113"/>
      <c r="L25" s="113"/>
      <c r="M25" s="113">
        <f>SUM(K25:L25)</f>
        <v>0</v>
      </c>
    </row>
    <row r="26" spans="1:13" ht="25.5">
      <c r="A26" s="10"/>
      <c r="B26" s="431" t="s">
        <v>196</v>
      </c>
      <c r="C26" s="113"/>
      <c r="D26" s="113"/>
      <c r="E26" s="113"/>
      <c r="F26" s="113"/>
      <c r="G26" s="113"/>
      <c r="H26" s="113"/>
      <c r="I26" s="113"/>
      <c r="J26" s="113"/>
      <c r="K26" s="113">
        <f t="shared" si="0"/>
        <v>0</v>
      </c>
      <c r="L26" s="113"/>
      <c r="M26" s="113">
        <f t="shared" si="1"/>
        <v>0</v>
      </c>
    </row>
    <row r="27" spans="1:13" ht="18.75">
      <c r="A27" s="11" t="s">
        <v>95</v>
      </c>
      <c r="B27" s="431" t="s">
        <v>560</v>
      </c>
      <c r="C27" s="113">
        <f>SUM(C18:C26)</f>
        <v>1209658000</v>
      </c>
      <c r="D27" s="113">
        <f aca="true" t="shared" si="5" ref="D27:J27">SUM(D18:D26)</f>
        <v>0</v>
      </c>
      <c r="E27" s="113">
        <f t="shared" si="5"/>
        <v>5276420</v>
      </c>
      <c r="F27" s="113">
        <f t="shared" si="5"/>
        <v>5730398</v>
      </c>
      <c r="G27" s="113">
        <f t="shared" si="5"/>
        <v>0</v>
      </c>
      <c r="H27" s="113">
        <f t="shared" si="5"/>
        <v>0</v>
      </c>
      <c r="I27" s="113">
        <f t="shared" si="5"/>
        <v>-366749535</v>
      </c>
      <c r="J27" s="113">
        <f t="shared" si="5"/>
        <v>-50179618.687163346</v>
      </c>
      <c r="K27" s="113">
        <f t="shared" si="0"/>
        <v>803735664.3128366</v>
      </c>
      <c r="L27" s="113"/>
      <c r="M27" s="113">
        <f t="shared" si="1"/>
        <v>803735664.3128366</v>
      </c>
    </row>
    <row r="28" spans="3:13" ht="15.75">
      <c r="C28" s="141">
        <f>Pasivet!G39</f>
        <v>1209658000</v>
      </c>
      <c r="D28" s="141"/>
      <c r="E28" s="168">
        <f>Pasivet!G43</f>
        <v>5276420</v>
      </c>
      <c r="F28" s="168">
        <f>Pasivet!H44</f>
        <v>5730398</v>
      </c>
      <c r="G28" s="141"/>
      <c r="H28" s="141"/>
      <c r="I28" s="168">
        <f>Pasivet!H46</f>
        <v>-366749535</v>
      </c>
      <c r="J28" s="141">
        <f>Pasivet!G47</f>
        <v>28835276.312836654</v>
      </c>
      <c r="K28" s="141"/>
      <c r="L28" s="141"/>
      <c r="M28" s="142">
        <f>Pasivet!G48</f>
        <v>803735664.3128366</v>
      </c>
    </row>
  </sheetData>
  <sheetProtection/>
  <mergeCells count="1">
    <mergeCell ref="B1:M1"/>
  </mergeCells>
  <printOptions horizontalCentered="1"/>
  <pageMargins left="0" right="0" top="0.1968503937007874" bottom="0" header="0.31496062992125984" footer="0.3149606299212598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9"/>
  <sheetViews>
    <sheetView zoomScalePageLayoutView="0" workbookViewId="0" topLeftCell="B91">
      <selection activeCell="E110" sqref="E110"/>
    </sheetView>
  </sheetViews>
  <sheetFormatPr defaultColWidth="9.140625" defaultRowHeight="12.75"/>
  <cols>
    <col min="1" max="1" width="6.421875" style="39" hidden="1" customWidth="1"/>
    <col min="2" max="2" width="2.00390625" style="39" customWidth="1"/>
    <col min="3" max="3" width="3.421875" style="39" customWidth="1"/>
    <col min="4" max="4" width="13.7109375" style="39" customWidth="1"/>
    <col min="5" max="5" width="13.57421875" style="39" customWidth="1"/>
    <col min="6" max="6" width="12.28125" style="39" customWidth="1"/>
    <col min="7" max="7" width="11.7109375" style="39" customWidth="1"/>
    <col min="8" max="8" width="15.421875" style="39" customWidth="1"/>
    <col min="9" max="9" width="16.28125" style="39" customWidth="1"/>
    <col min="10" max="10" width="15.421875" style="134" customWidth="1"/>
    <col min="11" max="11" width="10.421875" style="40" customWidth="1"/>
    <col min="12" max="12" width="1.57421875" style="61" customWidth="1"/>
    <col min="13" max="13" width="0.9921875" style="61" customWidth="1"/>
    <col min="14" max="14" width="9.140625" style="61" customWidth="1"/>
    <col min="15" max="15" width="11.7109375" style="61" bestFit="1" customWidth="1"/>
    <col min="16" max="17" width="9.140625" style="61" customWidth="1"/>
    <col min="18" max="18" width="21.421875" style="61" customWidth="1"/>
    <col min="19" max="19" width="9.140625" style="61" customWidth="1"/>
    <col min="20" max="20" width="21.28125" style="61" customWidth="1"/>
    <col min="21" max="16384" width="9.140625" style="61" customWidth="1"/>
  </cols>
  <sheetData>
    <row r="1" spans="2:12" ht="18">
      <c r="B1" s="65"/>
      <c r="C1" s="65"/>
      <c r="D1" s="176" t="s">
        <v>252</v>
      </c>
      <c r="E1" s="65"/>
      <c r="F1" s="65"/>
      <c r="G1" s="65"/>
      <c r="H1" s="65"/>
      <c r="I1" s="65"/>
      <c r="J1" s="119"/>
      <c r="K1" s="65"/>
      <c r="L1" s="65"/>
    </row>
    <row r="2" spans="2:12" ht="18">
      <c r="B2" s="65"/>
      <c r="C2" s="65"/>
      <c r="D2" s="65"/>
      <c r="E2" s="65"/>
      <c r="F2" s="65"/>
      <c r="G2" s="65"/>
      <c r="H2" s="65"/>
      <c r="I2" s="65"/>
      <c r="J2" s="119"/>
      <c r="K2" s="65"/>
      <c r="L2" s="65"/>
    </row>
    <row r="3" spans="2:12" ht="15.75">
      <c r="B3" s="485" t="s">
        <v>25</v>
      </c>
      <c r="C3" s="485"/>
      <c r="D3" s="148" t="s">
        <v>27</v>
      </c>
      <c r="E3" s="42"/>
      <c r="F3" s="42"/>
      <c r="G3" s="42"/>
      <c r="H3" s="42"/>
      <c r="I3" s="45"/>
      <c r="J3" s="64"/>
      <c r="K3" s="42"/>
      <c r="L3" s="42"/>
    </row>
    <row r="4" spans="2:12" ht="12.75">
      <c r="B4" s="42"/>
      <c r="C4" s="46"/>
      <c r="D4" s="42"/>
      <c r="E4" s="42"/>
      <c r="F4" s="42"/>
      <c r="G4" s="42"/>
      <c r="H4" s="42"/>
      <c r="I4" s="45"/>
      <c r="J4" s="64"/>
      <c r="K4" s="42"/>
      <c r="L4" s="42"/>
    </row>
    <row r="5" spans="2:12" ht="12.75">
      <c r="B5" s="42"/>
      <c r="C5" s="52" t="s">
        <v>3</v>
      </c>
      <c r="D5" s="44" t="s">
        <v>219</v>
      </c>
      <c r="E5" s="44"/>
      <c r="F5" s="44"/>
      <c r="G5" s="42"/>
      <c r="H5" s="42"/>
      <c r="I5" s="42"/>
      <c r="J5" s="64"/>
      <c r="K5" s="42"/>
      <c r="L5" s="42"/>
    </row>
    <row r="6" spans="2:12" ht="12.75">
      <c r="B6" s="42"/>
      <c r="C6" s="52"/>
      <c r="D6" s="44"/>
      <c r="E6" s="44"/>
      <c r="F6" s="44"/>
      <c r="G6" s="42"/>
      <c r="H6" s="42"/>
      <c r="I6" s="42"/>
      <c r="J6" s="64"/>
      <c r="K6" s="42"/>
      <c r="L6" s="42"/>
    </row>
    <row r="7" spans="2:12" ht="12.75">
      <c r="B7" s="42"/>
      <c r="C7" s="66">
        <v>1</v>
      </c>
      <c r="D7" s="67" t="s">
        <v>8</v>
      </c>
      <c r="E7" s="51"/>
      <c r="F7" s="42"/>
      <c r="G7" s="42"/>
      <c r="H7" s="42"/>
      <c r="I7" s="42"/>
      <c r="J7" s="64"/>
      <c r="K7" s="42"/>
      <c r="L7" s="42"/>
    </row>
    <row r="8" spans="2:12" ht="12.75">
      <c r="B8" s="42"/>
      <c r="C8" s="66"/>
      <c r="D8" s="67"/>
      <c r="E8" s="51"/>
      <c r="F8" s="42"/>
      <c r="G8" s="42"/>
      <c r="H8" s="42"/>
      <c r="I8" s="42"/>
      <c r="J8" s="64"/>
      <c r="K8" s="42"/>
      <c r="L8" s="42"/>
    </row>
    <row r="9" spans="2:12" ht="12.75">
      <c r="B9" s="42"/>
      <c r="C9" s="46"/>
      <c r="D9" s="68" t="s">
        <v>9</v>
      </c>
      <c r="E9" s="45"/>
      <c r="F9" s="45"/>
      <c r="G9" s="45"/>
      <c r="H9" s="45"/>
      <c r="I9" s="45"/>
      <c r="J9" s="64"/>
      <c r="K9" s="42"/>
      <c r="L9" s="42"/>
    </row>
    <row r="10" spans="2:12" ht="12.75">
      <c r="B10" s="42"/>
      <c r="C10" s="474" t="s">
        <v>2</v>
      </c>
      <c r="D10" s="483" t="s">
        <v>220</v>
      </c>
      <c r="E10" s="483"/>
      <c r="F10" s="483" t="s">
        <v>221</v>
      </c>
      <c r="G10" s="483" t="s">
        <v>222</v>
      </c>
      <c r="H10" s="483"/>
      <c r="I10" s="178" t="s">
        <v>223</v>
      </c>
      <c r="J10" s="179" t="s">
        <v>224</v>
      </c>
      <c r="K10" s="178" t="s">
        <v>223</v>
      </c>
      <c r="L10" s="42"/>
    </row>
    <row r="11" spans="2:12" ht="12.75">
      <c r="B11" s="42"/>
      <c r="C11" s="474"/>
      <c r="D11" s="483"/>
      <c r="E11" s="483"/>
      <c r="F11" s="483"/>
      <c r="G11" s="483"/>
      <c r="H11" s="483"/>
      <c r="I11" s="178" t="s">
        <v>225</v>
      </c>
      <c r="J11" s="179" t="s">
        <v>226</v>
      </c>
      <c r="K11" s="178" t="s">
        <v>227</v>
      </c>
      <c r="L11" s="42"/>
    </row>
    <row r="12" spans="2:12" ht="12.75">
      <c r="B12" s="42"/>
      <c r="C12" s="70">
        <v>1</v>
      </c>
      <c r="D12" s="484" t="s">
        <v>372</v>
      </c>
      <c r="E12" s="484"/>
      <c r="F12" s="181" t="s">
        <v>328</v>
      </c>
      <c r="G12" s="478"/>
      <c r="H12" s="478"/>
      <c r="I12" s="181">
        <v>3025630</v>
      </c>
      <c r="J12" s="179">
        <v>1</v>
      </c>
      <c r="K12" s="182">
        <f aca="true" t="shared" si="0" ref="K12:K17">I12*J12</f>
        <v>3025630</v>
      </c>
      <c r="L12" s="42"/>
    </row>
    <row r="13" spans="2:12" ht="12.75">
      <c r="B13" s="42"/>
      <c r="C13" s="72"/>
      <c r="D13" s="484" t="s">
        <v>370</v>
      </c>
      <c r="E13" s="484"/>
      <c r="F13" s="181" t="s">
        <v>328</v>
      </c>
      <c r="G13" s="478"/>
      <c r="H13" s="478"/>
      <c r="I13" s="183">
        <v>-2862</v>
      </c>
      <c r="J13" s="179">
        <v>1</v>
      </c>
      <c r="K13" s="182">
        <f t="shared" si="0"/>
        <v>-2862</v>
      </c>
      <c r="L13" s="42"/>
    </row>
    <row r="14" spans="2:12" ht="12.75">
      <c r="B14" s="42"/>
      <c r="C14" s="72"/>
      <c r="D14" s="484" t="s">
        <v>379</v>
      </c>
      <c r="E14" s="484"/>
      <c r="F14" s="181" t="s">
        <v>328</v>
      </c>
      <c r="G14" s="180"/>
      <c r="H14" s="180"/>
      <c r="I14" s="183">
        <v>7560893</v>
      </c>
      <c r="J14" s="179">
        <v>1</v>
      </c>
      <c r="K14" s="182">
        <f t="shared" si="0"/>
        <v>7560893</v>
      </c>
      <c r="L14" s="42"/>
    </row>
    <row r="15" spans="2:15" ht="12.75">
      <c r="B15" s="42"/>
      <c r="C15" s="72"/>
      <c r="D15" s="484" t="s">
        <v>380</v>
      </c>
      <c r="E15" s="484"/>
      <c r="F15" s="181" t="s">
        <v>328</v>
      </c>
      <c r="G15" s="180"/>
      <c r="H15" s="180"/>
      <c r="I15" s="183">
        <v>1070942</v>
      </c>
      <c r="J15" s="179">
        <v>1</v>
      </c>
      <c r="K15" s="182">
        <f t="shared" si="0"/>
        <v>1070942</v>
      </c>
      <c r="L15" s="42"/>
      <c r="O15" s="153">
        <f>SUM(K12:K15)</f>
        <v>11654603</v>
      </c>
    </row>
    <row r="16" spans="2:12" ht="12.75">
      <c r="B16" s="42"/>
      <c r="C16" s="72"/>
      <c r="D16" s="484" t="s">
        <v>370</v>
      </c>
      <c r="E16" s="484"/>
      <c r="F16" s="181" t="s">
        <v>371</v>
      </c>
      <c r="G16" s="478"/>
      <c r="H16" s="478"/>
      <c r="I16" s="183">
        <v>686.74</v>
      </c>
      <c r="J16" s="179">
        <v>137.28</v>
      </c>
      <c r="K16" s="182">
        <f t="shared" si="0"/>
        <v>94275.6672</v>
      </c>
      <c r="L16" s="42"/>
    </row>
    <row r="17" spans="2:15" ht="12.75">
      <c r="B17" s="42"/>
      <c r="C17" s="72"/>
      <c r="D17" s="484" t="s">
        <v>373</v>
      </c>
      <c r="E17" s="484"/>
      <c r="F17" s="181" t="s">
        <v>371</v>
      </c>
      <c r="G17" s="478"/>
      <c r="H17" s="478"/>
      <c r="I17" s="183">
        <v>173.78</v>
      </c>
      <c r="J17" s="179">
        <v>137.28</v>
      </c>
      <c r="K17" s="182">
        <f t="shared" si="0"/>
        <v>23856.5184</v>
      </c>
      <c r="L17" s="42"/>
      <c r="O17" s="153">
        <f>SUM(K16:K17)</f>
        <v>118132.1856</v>
      </c>
    </row>
    <row r="18" spans="2:15" ht="12.75">
      <c r="B18" s="42"/>
      <c r="C18" s="72"/>
      <c r="D18" s="484" t="s">
        <v>380</v>
      </c>
      <c r="E18" s="484"/>
      <c r="F18" s="181" t="s">
        <v>371</v>
      </c>
      <c r="G18" s="180"/>
      <c r="H18" s="180"/>
      <c r="I18" s="183"/>
      <c r="J18" s="179"/>
      <c r="K18" s="182">
        <v>-278</v>
      </c>
      <c r="L18" s="42"/>
      <c r="O18" s="153"/>
    </row>
    <row r="19" spans="2:12" ht="12.75">
      <c r="B19" s="42"/>
      <c r="C19" s="72"/>
      <c r="D19" s="484" t="s">
        <v>380</v>
      </c>
      <c r="E19" s="484"/>
      <c r="F19" s="181" t="s">
        <v>374</v>
      </c>
      <c r="G19" s="478"/>
      <c r="H19" s="478"/>
      <c r="I19" s="183">
        <v>0</v>
      </c>
      <c r="J19" s="179">
        <v>0</v>
      </c>
      <c r="K19" s="182">
        <v>59794</v>
      </c>
      <c r="L19" s="42"/>
    </row>
    <row r="20" spans="2:15" ht="12.75">
      <c r="B20" s="51"/>
      <c r="C20" s="69"/>
      <c r="D20" s="483" t="s">
        <v>28</v>
      </c>
      <c r="E20" s="483"/>
      <c r="F20" s="483"/>
      <c r="G20" s="483"/>
      <c r="H20" s="483"/>
      <c r="I20" s="483"/>
      <c r="J20" s="483"/>
      <c r="K20" s="184">
        <f>SUM(K12:K19)</f>
        <v>11832251.1856</v>
      </c>
      <c r="L20" s="51"/>
      <c r="O20" s="153">
        <f>Aktivet!F7</f>
        <v>5310657</v>
      </c>
    </row>
    <row r="21" spans="2:12" ht="12.75">
      <c r="B21" s="51"/>
      <c r="C21" s="75"/>
      <c r="D21" s="76"/>
      <c r="E21" s="76"/>
      <c r="F21" s="76"/>
      <c r="G21" s="76"/>
      <c r="H21" s="76"/>
      <c r="I21" s="76"/>
      <c r="J21" s="121"/>
      <c r="K21" s="77"/>
      <c r="L21" s="51"/>
    </row>
    <row r="22" spans="2:12" ht="12.75">
      <c r="B22" s="42"/>
      <c r="C22" s="78"/>
      <c r="D22" s="68" t="s">
        <v>10</v>
      </c>
      <c r="E22" s="79"/>
      <c r="F22" s="79"/>
      <c r="G22" s="79"/>
      <c r="H22" s="79"/>
      <c r="I22" s="79"/>
      <c r="J22" s="122"/>
      <c r="K22" s="42"/>
      <c r="L22" s="42"/>
    </row>
    <row r="23" spans="2:12" ht="12.75">
      <c r="B23" s="42"/>
      <c r="C23" s="474" t="s">
        <v>2</v>
      </c>
      <c r="D23" s="474" t="s">
        <v>228</v>
      </c>
      <c r="E23" s="474"/>
      <c r="F23" s="474"/>
      <c r="G23" s="474"/>
      <c r="H23" s="474"/>
      <c r="I23" s="72" t="s">
        <v>223</v>
      </c>
      <c r="J23" s="120" t="s">
        <v>224</v>
      </c>
      <c r="K23" s="72" t="s">
        <v>223</v>
      </c>
      <c r="L23" s="42"/>
    </row>
    <row r="24" spans="2:12" ht="12.75">
      <c r="B24" s="42"/>
      <c r="C24" s="474"/>
      <c r="D24" s="474"/>
      <c r="E24" s="474"/>
      <c r="F24" s="474"/>
      <c r="G24" s="474"/>
      <c r="H24" s="474"/>
      <c r="I24" s="72" t="s">
        <v>225</v>
      </c>
      <c r="J24" s="120" t="s">
        <v>226</v>
      </c>
      <c r="K24" s="72" t="s">
        <v>227</v>
      </c>
      <c r="L24" s="42"/>
    </row>
    <row r="25" spans="2:12" ht="12.75">
      <c r="B25" s="42"/>
      <c r="C25" s="70"/>
      <c r="D25" s="475" t="s">
        <v>229</v>
      </c>
      <c r="E25" s="475"/>
      <c r="F25" s="475"/>
      <c r="G25" s="475"/>
      <c r="H25" s="475"/>
      <c r="I25" s="170">
        <f>Aktivet!F8</f>
        <v>540404.894003741</v>
      </c>
      <c r="J25" s="120">
        <v>1</v>
      </c>
      <c r="K25" s="71">
        <f>I25*J25</f>
        <v>540404.894003741</v>
      </c>
      <c r="L25" s="42"/>
    </row>
    <row r="26" spans="2:12" ht="12.75">
      <c r="B26" s="42"/>
      <c r="C26" s="72"/>
      <c r="D26" s="475" t="s">
        <v>230</v>
      </c>
      <c r="E26" s="475"/>
      <c r="F26" s="475"/>
      <c r="G26" s="475"/>
      <c r="H26" s="475"/>
      <c r="I26" s="73"/>
      <c r="J26" s="120"/>
      <c r="K26" s="71"/>
      <c r="L26" s="42"/>
    </row>
    <row r="27" spans="2:12" ht="12.75">
      <c r="B27" s="42"/>
      <c r="C27" s="72"/>
      <c r="D27" s="475" t="s">
        <v>231</v>
      </c>
      <c r="E27" s="475"/>
      <c r="F27" s="475"/>
      <c r="G27" s="475"/>
      <c r="H27" s="475"/>
      <c r="I27" s="73"/>
      <c r="J27" s="120"/>
      <c r="K27" s="71"/>
      <c r="L27" s="42"/>
    </row>
    <row r="28" spans="2:12" ht="12.75">
      <c r="B28" s="42"/>
      <c r="C28" s="72"/>
      <c r="D28" s="475" t="s">
        <v>253</v>
      </c>
      <c r="E28" s="475"/>
      <c r="F28" s="475"/>
      <c r="G28" s="475"/>
      <c r="H28" s="475"/>
      <c r="I28" s="73"/>
      <c r="J28" s="120"/>
      <c r="K28" s="71"/>
      <c r="L28" s="42"/>
    </row>
    <row r="29" spans="2:12" ht="12.75">
      <c r="B29" s="42"/>
      <c r="C29" s="69"/>
      <c r="D29" s="476" t="s">
        <v>28</v>
      </c>
      <c r="E29" s="476"/>
      <c r="F29" s="476"/>
      <c r="G29" s="476"/>
      <c r="H29" s="476"/>
      <c r="I29" s="476"/>
      <c r="J29" s="476"/>
      <c r="K29" s="74">
        <f>SUM(K25:K28)</f>
        <v>540404.894003741</v>
      </c>
      <c r="L29" s="42"/>
    </row>
    <row r="30" spans="2:12" ht="12.75">
      <c r="B30" s="42"/>
      <c r="C30" s="75"/>
      <c r="D30" s="76"/>
      <c r="E30" s="76"/>
      <c r="F30" s="76"/>
      <c r="G30" s="76"/>
      <c r="H30" s="76"/>
      <c r="I30" s="76"/>
      <c r="J30" s="121"/>
      <c r="K30" s="77"/>
      <c r="L30" s="42"/>
    </row>
    <row r="31" spans="2:12" ht="12.75">
      <c r="B31" s="42"/>
      <c r="C31" s="66">
        <v>2</v>
      </c>
      <c r="D31" s="67" t="s">
        <v>31</v>
      </c>
      <c r="E31" s="76"/>
      <c r="F31" s="76"/>
      <c r="G31" s="76"/>
      <c r="H31" s="76"/>
      <c r="I31" s="76"/>
      <c r="J31" s="121"/>
      <c r="K31" s="77"/>
      <c r="L31" s="42"/>
    </row>
    <row r="32" spans="2:12" ht="12.75">
      <c r="B32" s="42"/>
      <c r="C32" s="66"/>
      <c r="D32" s="67"/>
      <c r="E32" s="76"/>
      <c r="F32" s="76"/>
      <c r="G32" s="76"/>
      <c r="H32" s="76"/>
      <c r="I32" s="76"/>
      <c r="J32" s="121"/>
      <c r="K32" s="77"/>
      <c r="L32" s="42"/>
    </row>
    <row r="33" spans="2:12" ht="12.75">
      <c r="B33" s="42"/>
      <c r="C33" s="75"/>
      <c r="D33" s="80" t="s">
        <v>33</v>
      </c>
      <c r="E33" s="76"/>
      <c r="F33" s="76"/>
      <c r="G33" s="76"/>
      <c r="H33" s="76"/>
      <c r="I33" s="76"/>
      <c r="J33" s="121"/>
      <c r="K33" s="77"/>
      <c r="L33" s="42"/>
    </row>
    <row r="34" spans="2:12" ht="12.75">
      <c r="B34" s="42"/>
      <c r="C34" s="75"/>
      <c r="D34" s="80"/>
      <c r="E34" s="81" t="s">
        <v>254</v>
      </c>
      <c r="F34" s="76"/>
      <c r="G34" s="76"/>
      <c r="H34" s="76"/>
      <c r="I34" s="76"/>
      <c r="J34" s="121"/>
      <c r="K34" s="77"/>
      <c r="L34" s="42"/>
    </row>
    <row r="35" spans="2:12" ht="12.75">
      <c r="B35" s="42"/>
      <c r="C35" s="75"/>
      <c r="D35" s="80" t="s">
        <v>34</v>
      </c>
      <c r="E35" s="76"/>
      <c r="F35" s="76"/>
      <c r="G35" s="76"/>
      <c r="H35" s="76"/>
      <c r="I35" s="76"/>
      <c r="J35" s="121"/>
      <c r="K35" s="77"/>
      <c r="L35" s="42"/>
    </row>
    <row r="36" spans="2:12" ht="12.75">
      <c r="B36" s="42"/>
      <c r="C36" s="75"/>
      <c r="D36" s="80"/>
      <c r="E36" s="81" t="s">
        <v>256</v>
      </c>
      <c r="F36" s="76"/>
      <c r="G36" s="76"/>
      <c r="H36" s="76"/>
      <c r="I36" s="76"/>
      <c r="J36" s="121"/>
      <c r="K36" s="77"/>
      <c r="L36" s="42"/>
    </row>
    <row r="37" spans="2:12" ht="12.75">
      <c r="B37" s="42"/>
      <c r="C37" s="75"/>
      <c r="D37" s="80" t="s">
        <v>32</v>
      </c>
      <c r="E37" s="76"/>
      <c r="F37" s="76"/>
      <c r="G37" s="76"/>
      <c r="H37" s="76"/>
      <c r="I37" s="76"/>
      <c r="J37" s="121"/>
      <c r="K37" s="77"/>
      <c r="L37" s="42"/>
    </row>
    <row r="38" spans="2:12" ht="12.75">
      <c r="B38" s="42"/>
      <c r="C38" s="75"/>
      <c r="D38" s="76"/>
      <c r="E38" s="81" t="s">
        <v>255</v>
      </c>
      <c r="F38" s="76"/>
      <c r="G38" s="76"/>
      <c r="H38" s="76"/>
      <c r="I38" s="76"/>
      <c r="J38" s="121"/>
      <c r="K38" s="77"/>
      <c r="L38" s="42"/>
    </row>
    <row r="39" spans="2:12" ht="12.75">
      <c r="B39" s="37"/>
      <c r="C39" s="83">
        <v>3</v>
      </c>
      <c r="D39" s="84" t="s">
        <v>35</v>
      </c>
      <c r="E39" s="76"/>
      <c r="F39" s="76"/>
      <c r="G39" s="76"/>
      <c r="H39" s="76"/>
      <c r="I39" s="76"/>
      <c r="J39" s="121"/>
      <c r="K39" s="82"/>
      <c r="L39" s="37"/>
    </row>
    <row r="40" spans="2:12" ht="12.75">
      <c r="B40" s="37"/>
      <c r="C40" s="76"/>
      <c r="D40" s="85" t="s">
        <v>36</v>
      </c>
      <c r="E40" s="76"/>
      <c r="F40" s="76"/>
      <c r="G40" s="76"/>
      <c r="H40" s="76"/>
      <c r="I40" s="76"/>
      <c r="J40" s="121"/>
      <c r="K40" s="82"/>
      <c r="L40" s="37"/>
    </row>
    <row r="41" spans="2:12" ht="12.75">
      <c r="B41" s="37"/>
      <c r="C41" s="41"/>
      <c r="D41" s="86" t="s">
        <v>233</v>
      </c>
      <c r="E41" s="87"/>
      <c r="F41" s="87"/>
      <c r="G41" s="87"/>
      <c r="H41" s="87"/>
      <c r="I41" s="87"/>
      <c r="J41" s="192">
        <f>SUM(J42:J44)</f>
        <v>1052135993.5</v>
      </c>
      <c r="K41" s="82"/>
      <c r="L41" s="37"/>
    </row>
    <row r="42" spans="2:12" ht="12.75">
      <c r="B42" s="37"/>
      <c r="C42" s="75" t="s">
        <v>232</v>
      </c>
      <c r="D42" s="87" t="s">
        <v>257</v>
      </c>
      <c r="E42" s="87"/>
      <c r="F42" s="87"/>
      <c r="G42" s="87"/>
      <c r="H42" s="87"/>
      <c r="I42" s="88"/>
      <c r="J42" s="193">
        <f>Aktivet!F14</f>
        <v>1052135993.5</v>
      </c>
      <c r="K42" s="82"/>
      <c r="L42" s="37"/>
    </row>
    <row r="43" spans="2:12" ht="12.75">
      <c r="B43" s="37"/>
      <c r="C43" s="75" t="s">
        <v>232</v>
      </c>
      <c r="D43" s="87" t="s">
        <v>258</v>
      </c>
      <c r="E43" s="87"/>
      <c r="F43" s="87"/>
      <c r="G43" s="87"/>
      <c r="H43" s="87"/>
      <c r="I43" s="88"/>
      <c r="J43" s="193">
        <v>0</v>
      </c>
      <c r="K43" s="82"/>
      <c r="L43" s="37"/>
    </row>
    <row r="44" spans="2:25" ht="12.75">
      <c r="B44" s="37"/>
      <c r="C44" s="75" t="s">
        <v>232</v>
      </c>
      <c r="D44" s="63" t="s">
        <v>261</v>
      </c>
      <c r="E44" s="87"/>
      <c r="F44" s="87"/>
      <c r="G44" s="87"/>
      <c r="H44" s="87"/>
      <c r="I44" s="88"/>
      <c r="J44" s="193">
        <v>0</v>
      </c>
      <c r="K44" s="82"/>
      <c r="L44" s="37"/>
      <c r="P44" s="188">
        <v>3.4</v>
      </c>
      <c r="Q44" s="37"/>
      <c r="R44" s="76"/>
      <c r="V44" s="76"/>
      <c r="W44" s="76"/>
      <c r="X44" s="76"/>
      <c r="Y44" s="189">
        <f>SUM(Y46:Y63)</f>
        <v>22489</v>
      </c>
    </row>
    <row r="45" spans="2:25" ht="12.75">
      <c r="B45" s="37"/>
      <c r="C45" s="75"/>
      <c r="D45" s="63"/>
      <c r="E45" s="87"/>
      <c r="F45" s="87"/>
      <c r="G45" s="87"/>
      <c r="H45" s="87"/>
      <c r="I45" s="88"/>
      <c r="J45" s="124"/>
      <c r="K45" s="82"/>
      <c r="L45" s="37"/>
      <c r="P45" s="188"/>
      <c r="Q45" s="37"/>
      <c r="R45" s="76"/>
      <c r="V45" s="76"/>
      <c r="W45" s="76"/>
      <c r="X45" s="76"/>
      <c r="Y45" s="194"/>
    </row>
    <row r="46" spans="2:25" ht="12.75">
      <c r="B46" s="37"/>
      <c r="C46" s="75" t="s">
        <v>232</v>
      </c>
      <c r="D46" s="85" t="s">
        <v>39</v>
      </c>
      <c r="E46" s="76"/>
      <c r="F46" s="76"/>
      <c r="G46" s="116"/>
      <c r="H46" s="87"/>
      <c r="I46" s="88"/>
      <c r="J46" s="192">
        <f>SUM(J48:J55)</f>
        <v>14449727.560979918</v>
      </c>
      <c r="K46" s="82"/>
      <c r="L46" s="37"/>
      <c r="P46" s="188"/>
      <c r="Q46" s="37"/>
      <c r="R46" s="75" t="s">
        <v>232</v>
      </c>
      <c r="V46" s="76"/>
      <c r="W46" s="76"/>
      <c r="X46" s="76"/>
      <c r="Y46" s="76"/>
    </row>
    <row r="47" spans="2:25" ht="12.75">
      <c r="B47" s="37"/>
      <c r="C47" s="75" t="s">
        <v>232</v>
      </c>
      <c r="D47" s="190" t="s">
        <v>381</v>
      </c>
      <c r="E47" s="76"/>
      <c r="F47" s="76"/>
      <c r="G47" s="87"/>
      <c r="H47" s="87"/>
      <c r="I47" s="88"/>
      <c r="J47" s="193">
        <v>0</v>
      </c>
      <c r="K47" s="82"/>
      <c r="L47" s="37"/>
      <c r="P47" s="188"/>
      <c r="Q47" s="37"/>
      <c r="R47" s="75" t="s">
        <v>232</v>
      </c>
      <c r="V47" s="76"/>
      <c r="W47" s="76"/>
      <c r="X47" s="76"/>
      <c r="Y47" s="191"/>
    </row>
    <row r="48" spans="2:25" ht="12.75">
      <c r="B48" s="37"/>
      <c r="C48" s="75" t="s">
        <v>232</v>
      </c>
      <c r="D48" s="190" t="s">
        <v>382</v>
      </c>
      <c r="E48" s="76"/>
      <c r="F48" s="76"/>
      <c r="G48" s="87"/>
      <c r="H48" s="87"/>
      <c r="I48" s="88"/>
      <c r="J48" s="193">
        <v>0</v>
      </c>
      <c r="K48" s="82"/>
      <c r="L48" s="37"/>
      <c r="P48" s="188"/>
      <c r="Q48" s="37"/>
      <c r="R48" s="75" t="s">
        <v>232</v>
      </c>
      <c r="V48" s="76"/>
      <c r="W48" s="76"/>
      <c r="X48" s="76"/>
      <c r="Y48" s="191"/>
    </row>
    <row r="49" spans="2:25" ht="12.75">
      <c r="B49" s="37"/>
      <c r="C49" s="75" t="s">
        <v>232</v>
      </c>
      <c r="D49" s="190" t="s">
        <v>383</v>
      </c>
      <c r="E49" s="76"/>
      <c r="F49" s="76"/>
      <c r="G49" s="87"/>
      <c r="H49" s="87"/>
      <c r="I49" s="88"/>
      <c r="J49" s="193">
        <v>0</v>
      </c>
      <c r="K49" s="82"/>
      <c r="L49" s="37"/>
      <c r="P49" s="188"/>
      <c r="Q49" s="37"/>
      <c r="R49" s="75" t="s">
        <v>232</v>
      </c>
      <c r="V49" s="76"/>
      <c r="W49" s="76"/>
      <c r="X49" s="76"/>
      <c r="Y49" s="191"/>
    </row>
    <row r="50" spans="2:25" ht="12.75">
      <c r="B50" s="37"/>
      <c r="C50" s="75" t="s">
        <v>232</v>
      </c>
      <c r="D50" s="190" t="s">
        <v>384</v>
      </c>
      <c r="E50" s="76"/>
      <c r="F50" s="76"/>
      <c r="G50" s="87"/>
      <c r="H50" s="87"/>
      <c r="I50" s="88"/>
      <c r="J50" s="193">
        <v>0</v>
      </c>
      <c r="K50" s="82"/>
      <c r="L50" s="37"/>
      <c r="P50" s="188"/>
      <c r="Q50" s="37"/>
      <c r="R50" s="75"/>
      <c r="S50" s="190"/>
      <c r="T50" s="76"/>
      <c r="U50" s="76"/>
      <c r="V50" s="76"/>
      <c r="W50" s="76"/>
      <c r="X50" s="76"/>
      <c r="Y50" s="191"/>
    </row>
    <row r="51" spans="2:25" ht="12.75">
      <c r="B51" s="37"/>
      <c r="C51" s="75" t="s">
        <v>232</v>
      </c>
      <c r="D51" s="190" t="s">
        <v>385</v>
      </c>
      <c r="E51" s="76"/>
      <c r="F51" s="76"/>
      <c r="G51" s="76"/>
      <c r="H51" s="76"/>
      <c r="I51" s="76"/>
      <c r="J51" s="193">
        <f>Aktivet!F19</f>
        <v>14449727.560979918</v>
      </c>
      <c r="K51" s="82"/>
      <c r="L51" s="37"/>
      <c r="P51" s="188"/>
      <c r="Q51" s="37"/>
      <c r="R51" s="75"/>
      <c r="S51" s="190"/>
      <c r="T51" s="76"/>
      <c r="U51" s="76"/>
      <c r="V51" s="76"/>
      <c r="W51" s="76"/>
      <c r="X51" s="76"/>
      <c r="Y51" s="191"/>
    </row>
    <row r="52" spans="2:25" ht="12.75">
      <c r="B52" s="37"/>
      <c r="C52" s="75" t="s">
        <v>232</v>
      </c>
      <c r="D52" s="190" t="s">
        <v>386</v>
      </c>
      <c r="E52" s="76"/>
      <c r="F52" s="76"/>
      <c r="G52" s="76"/>
      <c r="H52" s="76"/>
      <c r="I52" s="76"/>
      <c r="J52" s="193">
        <v>0</v>
      </c>
      <c r="K52" s="82"/>
      <c r="L52" s="37"/>
      <c r="P52" s="188"/>
      <c r="Q52" s="37"/>
      <c r="R52" s="75"/>
      <c r="S52" s="190"/>
      <c r="T52" s="76"/>
      <c r="U52" s="76"/>
      <c r="V52" s="76"/>
      <c r="W52" s="76"/>
      <c r="X52" s="76"/>
      <c r="Y52" s="191"/>
    </row>
    <row r="53" spans="2:25" ht="12.75">
      <c r="B53" s="37"/>
      <c r="C53" s="75" t="s">
        <v>232</v>
      </c>
      <c r="D53" s="190" t="s">
        <v>387</v>
      </c>
      <c r="E53" s="76"/>
      <c r="F53" s="76"/>
      <c r="G53" s="76"/>
      <c r="H53" s="76"/>
      <c r="I53" s="76"/>
      <c r="J53" s="192">
        <v>0</v>
      </c>
      <c r="K53" s="82"/>
      <c r="L53" s="37"/>
      <c r="P53" s="188"/>
      <c r="Q53" s="37"/>
      <c r="R53" s="75"/>
      <c r="S53" s="190"/>
      <c r="T53" s="76"/>
      <c r="U53" s="76"/>
      <c r="V53" s="76"/>
      <c r="W53" s="76"/>
      <c r="X53" s="76"/>
      <c r="Y53" s="191"/>
    </row>
    <row r="54" spans="2:25" ht="12.75">
      <c r="B54" s="37"/>
      <c r="C54" s="75" t="s">
        <v>232</v>
      </c>
      <c r="D54" s="190" t="s">
        <v>388</v>
      </c>
      <c r="E54" s="76"/>
      <c r="F54" s="76"/>
      <c r="G54" s="76"/>
      <c r="H54" s="76"/>
      <c r="I54" s="76"/>
      <c r="J54" s="193">
        <v>0</v>
      </c>
      <c r="K54" s="82"/>
      <c r="L54" s="37"/>
      <c r="P54" s="188"/>
      <c r="Q54" s="37"/>
      <c r="R54" s="75"/>
      <c r="S54" s="190"/>
      <c r="T54" s="76"/>
      <c r="U54" s="76"/>
      <c r="V54" s="76"/>
      <c r="W54" s="76"/>
      <c r="X54" s="76"/>
      <c r="Y54" s="191"/>
    </row>
    <row r="55" spans="2:25" ht="12.75">
      <c r="B55" s="37"/>
      <c r="C55" s="75" t="s">
        <v>232</v>
      </c>
      <c r="D55" s="190" t="s">
        <v>389</v>
      </c>
      <c r="E55" s="76"/>
      <c r="F55" s="76"/>
      <c r="G55" s="76"/>
      <c r="H55" s="76"/>
      <c r="I55" s="76"/>
      <c r="J55" s="193">
        <f>Aktivet!F17</f>
        <v>0</v>
      </c>
      <c r="K55" s="82"/>
      <c r="L55" s="37"/>
      <c r="P55" s="188"/>
      <c r="Q55" s="37"/>
      <c r="R55" s="75"/>
      <c r="S55" s="190"/>
      <c r="T55" s="76"/>
      <c r="U55" s="76"/>
      <c r="V55" s="76"/>
      <c r="W55" s="76"/>
      <c r="X55" s="76"/>
      <c r="Y55" s="191"/>
    </row>
    <row r="56" spans="2:25" ht="12.75">
      <c r="B56" s="37"/>
      <c r="C56" s="75" t="s">
        <v>232</v>
      </c>
      <c r="D56" s="190" t="s">
        <v>390</v>
      </c>
      <c r="E56" s="76"/>
      <c r="F56" s="76"/>
      <c r="G56" s="76"/>
      <c r="H56" s="76"/>
      <c r="I56" s="76"/>
      <c r="J56" s="193">
        <v>0</v>
      </c>
      <c r="K56" s="82"/>
      <c r="L56" s="37"/>
      <c r="P56" s="188"/>
      <c r="Q56" s="37"/>
      <c r="R56" s="75"/>
      <c r="S56" s="190"/>
      <c r="T56" s="76"/>
      <c r="U56" s="76"/>
      <c r="V56" s="76"/>
      <c r="W56" s="76"/>
      <c r="X56" s="76"/>
      <c r="Y56" s="191"/>
    </row>
    <row r="57" spans="2:25" ht="12.75">
      <c r="B57" s="37"/>
      <c r="C57" s="76"/>
      <c r="D57" s="85" t="s">
        <v>37</v>
      </c>
      <c r="E57" s="76"/>
      <c r="F57" s="76"/>
      <c r="G57" s="76"/>
      <c r="H57" s="76"/>
      <c r="I57" s="76"/>
      <c r="J57" s="121"/>
      <c r="K57" s="82"/>
      <c r="L57" s="37"/>
      <c r="P57" s="188"/>
      <c r="Q57" s="37"/>
      <c r="Y57" s="191">
        <f>22489</f>
        <v>22489</v>
      </c>
    </row>
    <row r="58" spans="2:25" ht="12.75">
      <c r="B58" s="37"/>
      <c r="C58" s="75" t="s">
        <v>232</v>
      </c>
      <c r="D58" s="85" t="s">
        <v>259</v>
      </c>
      <c r="E58" s="76"/>
      <c r="F58" s="76"/>
      <c r="G58" s="76"/>
      <c r="H58" s="76"/>
      <c r="I58" s="76"/>
      <c r="J58" s="195">
        <v>0</v>
      </c>
      <c r="K58" s="82"/>
      <c r="L58" s="37"/>
      <c r="P58" s="188"/>
      <c r="Q58" s="37"/>
      <c r="Y58" s="191"/>
    </row>
    <row r="59" spans="2:25" ht="12.75">
      <c r="B59" s="37"/>
      <c r="C59" s="76"/>
      <c r="D59" s="85"/>
      <c r="E59" s="76"/>
      <c r="F59" s="76"/>
      <c r="G59" s="76"/>
      <c r="H59" s="76"/>
      <c r="I59" s="76"/>
      <c r="J59" s="121"/>
      <c r="K59" s="82"/>
      <c r="L59" s="37"/>
      <c r="P59" s="188"/>
      <c r="Q59" s="37"/>
      <c r="Y59" s="191"/>
    </row>
    <row r="60" spans="2:25" ht="12.75">
      <c r="B60" s="37"/>
      <c r="C60" s="76"/>
      <c r="D60" s="85" t="s">
        <v>38</v>
      </c>
      <c r="E60" s="76"/>
      <c r="F60" s="76"/>
      <c r="G60" s="76"/>
      <c r="H60" s="76"/>
      <c r="I60" s="76"/>
      <c r="J60" s="195">
        <v>0</v>
      </c>
      <c r="K60" s="82"/>
      <c r="L60" s="37"/>
      <c r="P60" s="188"/>
      <c r="Q60" s="37"/>
      <c r="Y60" s="191"/>
    </row>
    <row r="61" spans="2:25" ht="12.75">
      <c r="B61" s="37"/>
      <c r="C61" s="75" t="s">
        <v>232</v>
      </c>
      <c r="D61" s="90" t="s">
        <v>260</v>
      </c>
      <c r="E61" s="76"/>
      <c r="F61" s="76"/>
      <c r="G61" s="76"/>
      <c r="H61" s="76"/>
      <c r="I61" s="76"/>
      <c r="J61" s="121"/>
      <c r="K61" s="82"/>
      <c r="L61" s="37"/>
      <c r="N61" s="171"/>
      <c r="O61" s="171"/>
      <c r="P61" s="188"/>
      <c r="Q61" s="37"/>
      <c r="Y61" s="191"/>
    </row>
    <row r="62" spans="2:25" ht="12.75">
      <c r="B62" s="37"/>
      <c r="C62" s="76"/>
      <c r="D62" s="85"/>
      <c r="E62" s="76"/>
      <c r="F62" s="76"/>
      <c r="G62" s="76"/>
      <c r="H62" s="76"/>
      <c r="I62" s="76"/>
      <c r="J62" s="123"/>
      <c r="K62" s="82"/>
      <c r="L62" s="37"/>
      <c r="N62" s="171"/>
      <c r="O62" s="171"/>
      <c r="P62" s="188"/>
      <c r="Q62" s="37"/>
      <c r="Y62" s="191"/>
    </row>
    <row r="63" spans="2:25" ht="12.75">
      <c r="B63" s="37"/>
      <c r="C63" s="83">
        <v>4</v>
      </c>
      <c r="D63" s="84" t="s">
        <v>41</v>
      </c>
      <c r="E63" s="76"/>
      <c r="F63" s="76"/>
      <c r="G63" s="76"/>
      <c r="H63" s="76"/>
      <c r="I63" s="76"/>
      <c r="J63" s="197">
        <f>Aktivet!F21</f>
        <v>253210933</v>
      </c>
      <c r="K63" s="82"/>
      <c r="L63" s="37"/>
      <c r="N63" s="171"/>
      <c r="O63" s="171"/>
      <c r="P63" s="188"/>
      <c r="Q63" s="37"/>
      <c r="Y63" s="191"/>
    </row>
    <row r="64" spans="2:19" ht="12.75">
      <c r="B64" s="37"/>
      <c r="C64" s="76"/>
      <c r="D64" s="85" t="s">
        <v>42</v>
      </c>
      <c r="E64" s="76"/>
      <c r="F64" s="76"/>
      <c r="G64" s="76"/>
      <c r="H64" s="76"/>
      <c r="I64" s="76"/>
      <c r="J64" s="198">
        <f>Aktivet!F22</f>
        <v>215721626</v>
      </c>
      <c r="K64" s="82"/>
      <c r="L64" s="37"/>
      <c r="N64" s="171"/>
      <c r="O64" s="171"/>
      <c r="P64" s="171"/>
      <c r="Q64" s="171"/>
      <c r="R64" s="171"/>
      <c r="S64" s="171"/>
    </row>
    <row r="65" spans="2:19" ht="12.75">
      <c r="B65" s="37"/>
      <c r="C65" s="76"/>
      <c r="D65" s="85" t="s">
        <v>44</v>
      </c>
      <c r="E65" s="76"/>
      <c r="F65" s="76"/>
      <c r="G65" s="76"/>
      <c r="H65" s="76"/>
      <c r="I65" s="76"/>
      <c r="J65" s="198">
        <f>Aktivet!F23</f>
        <v>0</v>
      </c>
      <c r="K65" s="82"/>
      <c r="L65" s="37"/>
      <c r="N65" s="171"/>
      <c r="O65" s="171"/>
      <c r="P65" s="171"/>
      <c r="Q65" s="171"/>
      <c r="R65" s="171"/>
      <c r="S65" s="171"/>
    </row>
    <row r="66" spans="2:19" ht="12.75">
      <c r="B66" s="37"/>
      <c r="C66" s="76"/>
      <c r="D66" s="85" t="s">
        <v>43</v>
      </c>
      <c r="E66" s="76"/>
      <c r="F66" s="76"/>
      <c r="G66" s="76"/>
      <c r="H66" s="76"/>
      <c r="I66" s="76"/>
      <c r="J66" s="198">
        <f>Aktivet!F24</f>
        <v>26766657</v>
      </c>
      <c r="K66" s="82"/>
      <c r="L66" s="37"/>
      <c r="N66" s="171"/>
      <c r="O66" s="171"/>
      <c r="P66" s="171"/>
      <c r="Q66" s="171"/>
      <c r="R66" s="171"/>
      <c r="S66" s="171"/>
    </row>
    <row r="67" spans="2:12" ht="12.75">
      <c r="B67" s="37"/>
      <c r="C67" s="76"/>
      <c r="D67" s="85" t="s">
        <v>45</v>
      </c>
      <c r="E67" s="76"/>
      <c r="F67" s="76"/>
      <c r="G67" s="76"/>
      <c r="H67" s="76"/>
      <c r="I67" s="76"/>
      <c r="J67" s="198">
        <f>Aktivet!F26</f>
        <v>0</v>
      </c>
      <c r="K67" s="82"/>
      <c r="L67" s="37"/>
    </row>
    <row r="68" spans="2:12" ht="12.75">
      <c r="B68" s="37"/>
      <c r="C68" s="76"/>
      <c r="D68" s="85" t="s">
        <v>46</v>
      </c>
      <c r="E68" s="76"/>
      <c r="F68" s="76"/>
      <c r="G68" s="76"/>
      <c r="H68" s="76"/>
      <c r="I68" s="76"/>
      <c r="J68" s="198">
        <f>Aktivet!F27</f>
        <v>0</v>
      </c>
      <c r="K68" s="82"/>
      <c r="L68" s="37"/>
    </row>
    <row r="69" spans="2:12" ht="12.75">
      <c r="B69" s="37"/>
      <c r="C69" s="76"/>
      <c r="D69" s="85" t="s">
        <v>47</v>
      </c>
      <c r="E69" s="76"/>
      <c r="F69" s="76"/>
      <c r="G69" s="76"/>
      <c r="H69" s="76"/>
      <c r="I69" s="76"/>
      <c r="J69" s="198">
        <f>Aktivet!F28</f>
        <v>10722650</v>
      </c>
      <c r="K69" s="82"/>
      <c r="L69" s="37"/>
    </row>
    <row r="70" spans="2:12" ht="12.75">
      <c r="B70" s="37"/>
      <c r="C70" s="76"/>
      <c r="D70" s="85"/>
      <c r="E70" s="76"/>
      <c r="F70" s="76"/>
      <c r="G70" s="76"/>
      <c r="H70" s="76"/>
      <c r="I70" s="76"/>
      <c r="J70" s="121"/>
      <c r="K70" s="82"/>
      <c r="L70" s="37"/>
    </row>
    <row r="71" spans="2:12" ht="12.75">
      <c r="B71" s="37"/>
      <c r="C71" s="83">
        <v>5</v>
      </c>
      <c r="D71" s="84" t="s">
        <v>48</v>
      </c>
      <c r="E71" s="76"/>
      <c r="F71" s="76"/>
      <c r="G71" s="76"/>
      <c r="H71" s="76"/>
      <c r="I71" s="76"/>
      <c r="J71" s="197">
        <f>Aktivet!F29</f>
        <v>0</v>
      </c>
      <c r="K71" s="82"/>
      <c r="L71" s="37"/>
    </row>
    <row r="72" spans="2:12" ht="12.75">
      <c r="B72" s="37"/>
      <c r="C72" s="83"/>
      <c r="D72" s="84" t="s">
        <v>396</v>
      </c>
      <c r="E72" s="76"/>
      <c r="F72" s="76"/>
      <c r="G72" s="76"/>
      <c r="H72" s="76"/>
      <c r="I72" s="76"/>
      <c r="J72" s="123"/>
      <c r="K72" s="82"/>
      <c r="L72" s="37"/>
    </row>
    <row r="73" spans="2:12" ht="12.75">
      <c r="B73" s="37"/>
      <c r="C73" s="83"/>
      <c r="D73" s="84" t="s">
        <v>395</v>
      </c>
      <c r="E73" s="76"/>
      <c r="F73" s="76"/>
      <c r="G73" s="76"/>
      <c r="H73" s="76"/>
      <c r="I73" s="76"/>
      <c r="J73" s="123"/>
      <c r="K73" s="82"/>
      <c r="L73" s="37"/>
    </row>
    <row r="74" spans="2:12" ht="12.75">
      <c r="B74" s="37"/>
      <c r="C74" s="83">
        <v>6</v>
      </c>
      <c r="D74" s="84" t="s">
        <v>49</v>
      </c>
      <c r="E74" s="76"/>
      <c r="F74" s="76"/>
      <c r="G74" s="76"/>
      <c r="H74" s="76"/>
      <c r="I74" s="76"/>
      <c r="J74" s="197">
        <f>Aktivet!F30</f>
        <v>0</v>
      </c>
      <c r="K74" s="82"/>
      <c r="L74" s="37"/>
    </row>
    <row r="75" spans="2:12" ht="12.75">
      <c r="B75" s="87"/>
      <c r="C75" s="91" t="s">
        <v>4</v>
      </c>
      <c r="D75" s="92" t="s">
        <v>235</v>
      </c>
      <c r="E75" s="87"/>
      <c r="F75" s="87"/>
      <c r="G75" s="88"/>
      <c r="H75" s="87"/>
      <c r="I75" s="88"/>
      <c r="J75" s="124"/>
      <c r="K75" s="42"/>
      <c r="L75" s="42"/>
    </row>
    <row r="76" spans="2:12" ht="12.75">
      <c r="B76" s="87"/>
      <c r="C76" s="88"/>
      <c r="D76" s="93"/>
      <c r="E76" s="93"/>
      <c r="F76" s="87"/>
      <c r="G76" s="88"/>
      <c r="H76" s="87"/>
      <c r="I76" s="88"/>
      <c r="J76" s="124"/>
      <c r="K76" s="42"/>
      <c r="L76" s="42"/>
    </row>
    <row r="77" spans="2:12" ht="12.75">
      <c r="B77" s="87"/>
      <c r="C77" s="91">
        <v>7</v>
      </c>
      <c r="D77" s="94" t="s">
        <v>263</v>
      </c>
      <c r="E77" s="87"/>
      <c r="F77" s="87"/>
      <c r="G77" s="88"/>
      <c r="H77" s="87"/>
      <c r="I77" s="88"/>
      <c r="J77" s="192">
        <v>0</v>
      </c>
      <c r="K77" s="42"/>
      <c r="L77" s="42"/>
    </row>
    <row r="78" spans="2:12" ht="12.75">
      <c r="B78" s="87"/>
      <c r="C78" s="43">
        <v>8</v>
      </c>
      <c r="D78" s="47" t="s">
        <v>264</v>
      </c>
      <c r="E78" s="87"/>
      <c r="F78" s="87"/>
      <c r="G78" s="87"/>
      <c r="H78" s="87"/>
      <c r="I78" s="88"/>
      <c r="J78" s="193">
        <f>Aktivet!F40</f>
        <v>644349324.3794401</v>
      </c>
      <c r="K78" s="42"/>
      <c r="L78" s="42"/>
    </row>
    <row r="79" spans="2:12" ht="12.75">
      <c r="B79" s="87"/>
      <c r="C79" s="43"/>
      <c r="D79" s="95" t="s">
        <v>60</v>
      </c>
      <c r="E79" s="87"/>
      <c r="F79" s="87"/>
      <c r="G79" s="87"/>
      <c r="H79" s="87"/>
      <c r="I79" s="88"/>
      <c r="J79" s="193"/>
      <c r="K79" s="42"/>
      <c r="L79" s="42"/>
    </row>
    <row r="80" spans="2:12" ht="12.75">
      <c r="B80" s="87"/>
      <c r="C80" s="43"/>
      <c r="D80" s="95" t="s">
        <v>61</v>
      </c>
      <c r="E80" s="87"/>
      <c r="F80" s="87"/>
      <c r="G80" s="87"/>
      <c r="H80" s="87"/>
      <c r="I80" s="88"/>
      <c r="J80" s="193">
        <f>Aktivet!F42</f>
        <v>478929993.37944007</v>
      </c>
      <c r="K80" s="42"/>
      <c r="L80" s="42"/>
    </row>
    <row r="81" spans="2:12" ht="12.75">
      <c r="B81" s="87"/>
      <c r="C81" s="43"/>
      <c r="D81" s="95" t="s">
        <v>62</v>
      </c>
      <c r="E81" s="87"/>
      <c r="F81" s="87"/>
      <c r="G81" s="87"/>
      <c r="H81" s="87"/>
      <c r="I81" s="88"/>
      <c r="J81" s="193">
        <f>Aktivet!F43</f>
        <v>7895994</v>
      </c>
      <c r="K81" s="42"/>
      <c r="L81" s="42"/>
    </row>
    <row r="82" spans="2:12" ht="12.75">
      <c r="B82" s="87"/>
      <c r="C82" s="43"/>
      <c r="D82" s="95" t="s">
        <v>63</v>
      </c>
      <c r="E82" s="87"/>
      <c r="F82" s="87"/>
      <c r="G82" s="87"/>
      <c r="H82" s="87"/>
      <c r="I82" s="88"/>
      <c r="J82" s="193">
        <f>Aktivet!F45</f>
        <v>58167912</v>
      </c>
      <c r="K82" s="42"/>
      <c r="L82" s="42"/>
    </row>
    <row r="83" spans="2:12" ht="12.75">
      <c r="B83" s="87"/>
      <c r="C83" s="88"/>
      <c r="D83" s="87"/>
      <c r="E83" s="87"/>
      <c r="F83" s="87"/>
      <c r="G83" s="87"/>
      <c r="H83" s="87"/>
      <c r="I83" s="87"/>
      <c r="J83" s="124"/>
      <c r="K83" s="42"/>
      <c r="L83" s="42"/>
    </row>
    <row r="84" spans="2:12" ht="12.75">
      <c r="B84" s="87"/>
      <c r="C84" s="88"/>
      <c r="D84" s="87"/>
      <c r="E84" s="87" t="s">
        <v>236</v>
      </c>
      <c r="F84" s="87"/>
      <c r="G84" s="87"/>
      <c r="H84" s="87"/>
      <c r="I84" s="87"/>
      <c r="J84" s="125"/>
      <c r="K84" s="42"/>
      <c r="L84" s="42"/>
    </row>
    <row r="85" spans="2:12" ht="12.75">
      <c r="B85" s="87"/>
      <c r="C85" s="473" t="s">
        <v>2</v>
      </c>
      <c r="D85" s="473" t="s">
        <v>217</v>
      </c>
      <c r="E85" s="477" t="s">
        <v>237</v>
      </c>
      <c r="F85" s="477"/>
      <c r="G85" s="477"/>
      <c r="H85" s="477" t="s">
        <v>238</v>
      </c>
      <c r="I85" s="477"/>
      <c r="J85" s="477"/>
      <c r="K85" s="42"/>
      <c r="L85" s="42"/>
    </row>
    <row r="86" spans="2:12" ht="12.75">
      <c r="B86" s="87"/>
      <c r="C86" s="473"/>
      <c r="D86" s="473"/>
      <c r="E86" s="96" t="s">
        <v>239</v>
      </c>
      <c r="F86" s="96" t="s">
        <v>218</v>
      </c>
      <c r="G86" s="96" t="s">
        <v>240</v>
      </c>
      <c r="H86" s="96" t="s">
        <v>239</v>
      </c>
      <c r="I86" s="96" t="s">
        <v>218</v>
      </c>
      <c r="J86" s="126" t="s">
        <v>240</v>
      </c>
      <c r="K86" s="42"/>
      <c r="L86" s="42"/>
    </row>
    <row r="87" spans="2:12" ht="12.75">
      <c r="B87" s="87"/>
      <c r="C87" s="96"/>
      <c r="D87" s="162" t="s">
        <v>352</v>
      </c>
      <c r="E87" s="97">
        <f>aam!F10</f>
        <v>0</v>
      </c>
      <c r="F87" s="97">
        <f>aam!F25</f>
        <v>0</v>
      </c>
      <c r="G87" s="97">
        <f>E87-F87</f>
        <v>0</v>
      </c>
      <c r="H87" s="97">
        <f>aam!C10</f>
        <v>0</v>
      </c>
      <c r="I87" s="97">
        <f>aam!C25</f>
        <v>0</v>
      </c>
      <c r="J87" s="127">
        <f>aam!F39</f>
        <v>0</v>
      </c>
      <c r="K87" s="42"/>
      <c r="L87" s="42"/>
    </row>
    <row r="88" spans="2:12" ht="12.75">
      <c r="B88" s="87"/>
      <c r="C88" s="96"/>
      <c r="D88" s="162" t="s">
        <v>353</v>
      </c>
      <c r="E88" s="97">
        <f>aam!F11</f>
        <v>0</v>
      </c>
      <c r="F88" s="97">
        <f>aam!F26</f>
        <v>0</v>
      </c>
      <c r="G88" s="97">
        <f>E88-F88</f>
        <v>0</v>
      </c>
      <c r="H88" s="97">
        <f>aam!C11</f>
        <v>0</v>
      </c>
      <c r="I88" s="97">
        <f>aam!C26</f>
        <v>0</v>
      </c>
      <c r="J88" s="127">
        <f>aam!F40</f>
        <v>0</v>
      </c>
      <c r="K88" s="42"/>
      <c r="L88" s="42"/>
    </row>
    <row r="89" spans="2:12" ht="12.75">
      <c r="B89" s="87"/>
      <c r="C89" s="96"/>
      <c r="D89" s="162" t="s">
        <v>354</v>
      </c>
      <c r="E89" s="97">
        <f>aam!F12</f>
        <v>0</v>
      </c>
      <c r="F89" s="97">
        <f>aam!F27</f>
        <v>0</v>
      </c>
      <c r="G89" s="97">
        <f>E89-F89</f>
        <v>0</v>
      </c>
      <c r="H89" s="97">
        <f>aam!C12</f>
        <v>0</v>
      </c>
      <c r="I89" s="97">
        <f>aam!C27</f>
        <v>0</v>
      </c>
      <c r="J89" s="127">
        <f>aam!F41</f>
        <v>0</v>
      </c>
      <c r="K89" s="42"/>
      <c r="L89" s="42"/>
    </row>
    <row r="90" spans="2:12" ht="12.75">
      <c r="B90" s="87"/>
      <c r="C90" s="96"/>
      <c r="D90" s="162" t="s">
        <v>355</v>
      </c>
      <c r="E90" s="97">
        <f>aam!F13</f>
        <v>0</v>
      </c>
      <c r="F90" s="97">
        <f>aam!F28</f>
        <v>0</v>
      </c>
      <c r="G90" s="97">
        <f>E90-F90</f>
        <v>0</v>
      </c>
      <c r="H90" s="97">
        <f>aam!C13</f>
        <v>0</v>
      </c>
      <c r="I90" s="97">
        <f>aam!C28</f>
        <v>0</v>
      </c>
      <c r="J90" s="127">
        <f>aam!F42</f>
        <v>0</v>
      </c>
      <c r="K90" s="42"/>
      <c r="L90" s="42"/>
    </row>
    <row r="91" spans="2:12" ht="12.75">
      <c r="B91" s="87"/>
      <c r="C91" s="96"/>
      <c r="D91" s="162" t="s">
        <v>469</v>
      </c>
      <c r="E91" s="97">
        <f>aam!F14</f>
        <v>0</v>
      </c>
      <c r="F91" s="97">
        <f>aam!F29</f>
        <v>0</v>
      </c>
      <c r="G91" s="97">
        <f>E91-F91</f>
        <v>0</v>
      </c>
      <c r="H91" s="97">
        <f>aam!C14</f>
        <v>0</v>
      </c>
      <c r="I91" s="97">
        <f>aam!C29</f>
        <v>0</v>
      </c>
      <c r="J91" s="127">
        <f>aam!F43</f>
        <v>0</v>
      </c>
      <c r="K91" s="42"/>
      <c r="L91" s="42"/>
    </row>
    <row r="92" spans="2:12" ht="12.75">
      <c r="B92" s="86"/>
      <c r="C92" s="98"/>
      <c r="D92" s="98" t="s">
        <v>241</v>
      </c>
      <c r="E92" s="99">
        <f aca="true" t="shared" si="1" ref="E92:J92">SUM(E87:E91)</f>
        <v>0</v>
      </c>
      <c r="F92" s="99">
        <f t="shared" si="1"/>
        <v>0</v>
      </c>
      <c r="G92" s="99">
        <f t="shared" si="1"/>
        <v>0</v>
      </c>
      <c r="H92" s="99">
        <f t="shared" si="1"/>
        <v>0</v>
      </c>
      <c r="I92" s="99">
        <f t="shared" si="1"/>
        <v>0</v>
      </c>
      <c r="J92" s="99">
        <f t="shared" si="1"/>
        <v>0</v>
      </c>
      <c r="K92" s="77"/>
      <c r="L92" s="51"/>
    </row>
    <row r="93" spans="2:12" ht="12.75">
      <c r="B93" s="42"/>
      <c r="C93" s="46"/>
      <c r="D93" s="47"/>
      <c r="E93" s="47"/>
      <c r="F93" s="154"/>
      <c r="G93" s="154"/>
      <c r="H93" s="47"/>
      <c r="I93" s="46"/>
      <c r="J93" s="128"/>
      <c r="K93" s="155"/>
      <c r="L93" s="42"/>
    </row>
    <row r="94" spans="2:12" ht="12.75">
      <c r="B94" s="42"/>
      <c r="C94" s="46"/>
      <c r="D94" s="87" t="s">
        <v>269</v>
      </c>
      <c r="E94" s="89"/>
      <c r="F94" s="47"/>
      <c r="G94" s="47"/>
      <c r="H94" s="47"/>
      <c r="I94" s="46"/>
      <c r="J94" s="200">
        <f>aam!D10</f>
        <v>5607572</v>
      </c>
      <c r="K94" s="42"/>
      <c r="L94" s="42"/>
    </row>
    <row r="95" spans="2:12" ht="12.75">
      <c r="B95" s="42"/>
      <c r="C95" s="46"/>
      <c r="D95" s="87" t="s">
        <v>357</v>
      </c>
      <c r="E95" s="89"/>
      <c r="F95" s="47"/>
      <c r="G95" s="47"/>
      <c r="H95" s="47"/>
      <c r="I95" s="46"/>
      <c r="J95" s="201">
        <f>aam!F12</f>
        <v>0</v>
      </c>
      <c r="K95" s="42"/>
      <c r="L95" s="42"/>
    </row>
    <row r="96" spans="2:12" ht="12.75">
      <c r="B96" s="42"/>
      <c r="C96" s="46"/>
      <c r="D96" s="87" t="s">
        <v>340</v>
      </c>
      <c r="E96" s="89"/>
      <c r="F96" s="47"/>
      <c r="G96" s="47"/>
      <c r="H96" s="47"/>
      <c r="I96" s="46"/>
      <c r="J96" s="201">
        <f>aam!D25</f>
        <v>0</v>
      </c>
      <c r="K96" s="155"/>
      <c r="L96" s="42"/>
    </row>
    <row r="97" spans="2:14" ht="12.75">
      <c r="B97" s="42"/>
      <c r="C97" s="46"/>
      <c r="D97" s="87" t="s">
        <v>270</v>
      </c>
      <c r="E97" s="89"/>
      <c r="F97" s="47"/>
      <c r="G97" s="47"/>
      <c r="H97" s="47"/>
      <c r="I97" s="46"/>
      <c r="J97" s="201">
        <f>G92</f>
        <v>0</v>
      </c>
      <c r="K97" s="42"/>
      <c r="L97" s="42"/>
      <c r="N97" s="153"/>
    </row>
    <row r="98" spans="2:12" ht="12.75">
      <c r="B98" s="42"/>
      <c r="C98" s="46"/>
      <c r="D98" s="47"/>
      <c r="E98" s="115" t="s">
        <v>262</v>
      </c>
      <c r="F98" s="117"/>
      <c r="G98" s="117"/>
      <c r="H98" s="117"/>
      <c r="I98" s="46"/>
      <c r="J98" s="199"/>
      <c r="K98" s="42"/>
      <c r="L98" s="42"/>
    </row>
    <row r="99" spans="2:12" ht="12.75">
      <c r="B99" s="42"/>
      <c r="C99" s="46"/>
      <c r="D99" s="47"/>
      <c r="E99" s="89"/>
      <c r="F99" s="47"/>
      <c r="G99" s="47"/>
      <c r="H99" s="47"/>
      <c r="I99" s="46"/>
      <c r="J99" s="64"/>
      <c r="K99" s="42"/>
      <c r="L99" s="42"/>
    </row>
    <row r="100" spans="2:12" ht="12.75">
      <c r="B100" s="87"/>
      <c r="C100" s="91">
        <v>9</v>
      </c>
      <c r="D100" s="92" t="s">
        <v>265</v>
      </c>
      <c r="E100" s="87"/>
      <c r="F100" s="87"/>
      <c r="G100" s="87"/>
      <c r="H100" s="87"/>
      <c r="I100" s="87"/>
      <c r="J100" s="202">
        <v>0</v>
      </c>
      <c r="K100" s="42"/>
      <c r="L100" s="42"/>
    </row>
    <row r="101" spans="2:12" ht="12.75">
      <c r="B101" s="42"/>
      <c r="C101" s="91">
        <v>10</v>
      </c>
      <c r="D101" s="92" t="s">
        <v>266</v>
      </c>
      <c r="E101" s="42"/>
      <c r="F101" s="42"/>
      <c r="G101" s="42"/>
      <c r="H101" s="87"/>
      <c r="I101" s="42"/>
      <c r="J101" s="201">
        <f>Aktivet!F47</f>
        <v>0</v>
      </c>
      <c r="K101" s="42"/>
      <c r="L101" s="42"/>
    </row>
    <row r="102" spans="2:12" ht="12.75">
      <c r="B102" s="42"/>
      <c r="C102" s="91">
        <v>11</v>
      </c>
      <c r="D102" s="92" t="s">
        <v>267</v>
      </c>
      <c r="E102" s="42"/>
      <c r="F102" s="42"/>
      <c r="G102" s="42"/>
      <c r="H102" s="87"/>
      <c r="I102" s="42"/>
      <c r="J102" s="203"/>
      <c r="K102" s="42"/>
      <c r="L102" s="42"/>
    </row>
    <row r="103" spans="2:12" ht="15">
      <c r="B103" s="42"/>
      <c r="C103" s="91">
        <v>12</v>
      </c>
      <c r="D103" s="92" t="s">
        <v>268</v>
      </c>
      <c r="E103" s="42"/>
      <c r="F103" s="100"/>
      <c r="G103" s="100"/>
      <c r="H103" s="87"/>
      <c r="I103" s="42"/>
      <c r="J103" s="203"/>
      <c r="K103" s="42"/>
      <c r="L103" s="42"/>
    </row>
    <row r="104" spans="2:12" ht="15">
      <c r="B104" s="42"/>
      <c r="C104" s="43"/>
      <c r="D104" s="47"/>
      <c r="E104" s="100"/>
      <c r="F104" s="100"/>
      <c r="G104" s="100"/>
      <c r="H104" s="42"/>
      <c r="I104" s="46"/>
      <c r="J104" s="64"/>
      <c r="K104" s="42"/>
      <c r="L104" s="42"/>
    </row>
    <row r="105" spans="2:12" ht="12.75">
      <c r="B105" s="42"/>
      <c r="C105" s="91" t="s">
        <v>242</v>
      </c>
      <c r="D105" s="101" t="s">
        <v>294</v>
      </c>
      <c r="E105" s="44"/>
      <c r="F105" s="45"/>
      <c r="G105" s="45"/>
      <c r="H105" s="42"/>
      <c r="I105" s="46"/>
      <c r="J105" s="64"/>
      <c r="K105" s="42"/>
      <c r="L105" s="42"/>
    </row>
    <row r="106" spans="2:12" ht="12.75">
      <c r="B106" s="42"/>
      <c r="C106" s="91"/>
      <c r="D106" s="101"/>
      <c r="E106" s="44"/>
      <c r="F106" s="45"/>
      <c r="G106" s="45"/>
      <c r="H106" s="42"/>
      <c r="I106" s="46"/>
      <c r="J106" s="64"/>
      <c r="K106" s="42"/>
      <c r="L106" s="42"/>
    </row>
    <row r="107" spans="2:12" ht="12.75">
      <c r="B107" s="42"/>
      <c r="C107" s="102">
        <v>13</v>
      </c>
      <c r="D107" s="103" t="s">
        <v>74</v>
      </c>
      <c r="E107" s="44"/>
      <c r="F107" s="45"/>
      <c r="G107" s="45"/>
      <c r="H107" s="42"/>
      <c r="I107" s="46"/>
      <c r="J107" s="64"/>
      <c r="K107" s="42"/>
      <c r="L107" s="42"/>
    </row>
    <row r="108" spans="2:15" ht="12.75">
      <c r="B108" s="42"/>
      <c r="C108" s="43"/>
      <c r="D108" s="80" t="s">
        <v>75</v>
      </c>
      <c r="E108" s="44"/>
      <c r="F108" s="45"/>
      <c r="G108" s="45"/>
      <c r="H108" s="42"/>
      <c r="I108" s="46"/>
      <c r="J108" s="200">
        <f>SUM(J109:J117)+J124+J134</f>
        <v>2426126693.14352</v>
      </c>
      <c r="K108" s="42"/>
      <c r="L108" s="42"/>
      <c r="O108" s="153">
        <f>Pasivet!G6</f>
        <v>2417430761.14352</v>
      </c>
    </row>
    <row r="109" spans="2:12" ht="12.75">
      <c r="B109" s="42"/>
      <c r="C109" s="43"/>
      <c r="D109" s="80" t="s">
        <v>76</v>
      </c>
      <c r="E109" s="44"/>
      <c r="F109" s="45"/>
      <c r="G109" s="45"/>
      <c r="H109" s="42"/>
      <c r="I109" s="46"/>
      <c r="J109" s="201">
        <f>Pasivet!G8</f>
        <v>1946548447</v>
      </c>
      <c r="K109" s="42"/>
      <c r="L109" s="42"/>
    </row>
    <row r="110" spans="2:12" ht="12.75">
      <c r="B110" s="42"/>
      <c r="C110" s="43"/>
      <c r="D110" s="80"/>
      <c r="E110" s="44" t="s">
        <v>392</v>
      </c>
      <c r="F110" s="45"/>
      <c r="G110" s="45"/>
      <c r="H110" s="42"/>
      <c r="I110" s="46"/>
      <c r="J110" s="199"/>
      <c r="K110" s="42"/>
      <c r="L110" s="42"/>
    </row>
    <row r="111" spans="2:12" ht="12.75">
      <c r="B111" s="42"/>
      <c r="C111" s="43"/>
      <c r="D111" s="80"/>
      <c r="E111" s="44" t="s">
        <v>393</v>
      </c>
      <c r="F111" s="45"/>
      <c r="G111" s="45"/>
      <c r="H111" s="42"/>
      <c r="I111" s="46"/>
      <c r="J111" s="199"/>
      <c r="K111" s="42"/>
      <c r="L111" s="42"/>
    </row>
    <row r="112" spans="2:12" ht="12.75">
      <c r="B112" s="42"/>
      <c r="C112" s="43"/>
      <c r="D112" s="80" t="s">
        <v>77</v>
      </c>
      <c r="E112" s="44"/>
      <c r="F112" s="45"/>
      <c r="G112" s="45"/>
      <c r="H112" s="42"/>
      <c r="I112" s="46"/>
      <c r="J112" s="64"/>
      <c r="K112" s="42"/>
      <c r="L112" s="42"/>
    </row>
    <row r="113" spans="2:12" ht="12.75">
      <c r="B113" s="42"/>
      <c r="C113" s="43"/>
      <c r="D113" s="80" t="s">
        <v>78</v>
      </c>
      <c r="E113" s="44"/>
      <c r="F113" s="45"/>
      <c r="G113" s="45"/>
      <c r="H113" s="42"/>
      <c r="I113" s="46"/>
      <c r="J113" s="200">
        <f>Pasivet!G10</f>
        <v>468164465.14352</v>
      </c>
      <c r="K113" s="42"/>
      <c r="L113" s="42"/>
    </row>
    <row r="114" spans="2:12" ht="12.75">
      <c r="B114" s="42"/>
      <c r="C114" s="87"/>
      <c r="D114" s="80" t="s">
        <v>79</v>
      </c>
      <c r="E114" s="44"/>
      <c r="F114" s="45"/>
      <c r="G114" s="45"/>
      <c r="H114" s="42"/>
      <c r="I114" s="46"/>
      <c r="J114" s="203"/>
      <c r="K114" s="42"/>
      <c r="L114" s="42"/>
    </row>
    <row r="115" spans="2:12" ht="12.75">
      <c r="B115" s="42"/>
      <c r="C115" s="87"/>
      <c r="D115" s="80" t="s">
        <v>80</v>
      </c>
      <c r="E115" s="44"/>
      <c r="F115" s="45"/>
      <c r="G115" s="45"/>
      <c r="H115" s="42"/>
      <c r="I115" s="46"/>
      <c r="J115" s="64"/>
      <c r="K115" s="42"/>
      <c r="L115" s="42"/>
    </row>
    <row r="116" spans="2:12" ht="12.75">
      <c r="B116" s="42"/>
      <c r="C116" s="87"/>
      <c r="D116" s="80" t="s">
        <v>81</v>
      </c>
      <c r="E116" s="44"/>
      <c r="F116" s="45"/>
      <c r="G116" s="45"/>
      <c r="H116" s="42"/>
      <c r="I116" s="46"/>
      <c r="J116" s="64"/>
      <c r="K116" s="42"/>
      <c r="L116" s="42"/>
    </row>
    <row r="117" spans="2:12" ht="12.75">
      <c r="B117" s="42"/>
      <c r="C117" s="87"/>
      <c r="D117" s="80" t="s">
        <v>82</v>
      </c>
      <c r="E117" s="44"/>
      <c r="F117" s="45"/>
      <c r="G117" s="45"/>
      <c r="H117" s="42"/>
      <c r="I117" s="46"/>
      <c r="J117" s="202">
        <f>SUM(J118:J122)</f>
        <v>669107</v>
      </c>
      <c r="K117" s="42"/>
      <c r="L117" s="42"/>
    </row>
    <row r="118" spans="2:12" ht="12.75">
      <c r="B118" s="42"/>
      <c r="C118" s="75" t="s">
        <v>232</v>
      </c>
      <c r="D118" s="87" t="s">
        <v>122</v>
      </c>
      <c r="E118" s="44"/>
      <c r="F118" s="45"/>
      <c r="G118" s="45"/>
      <c r="H118" s="42"/>
      <c r="I118" s="46"/>
      <c r="J118" s="203">
        <v>0</v>
      </c>
      <c r="K118" s="42"/>
      <c r="L118" s="42"/>
    </row>
    <row r="119" spans="2:12" ht="12.75">
      <c r="B119" s="42"/>
      <c r="C119" s="75" t="s">
        <v>232</v>
      </c>
      <c r="D119" s="87" t="s">
        <v>295</v>
      </c>
      <c r="E119" s="44"/>
      <c r="F119" s="45"/>
      <c r="G119" s="45"/>
      <c r="H119" s="42"/>
      <c r="I119" s="46"/>
      <c r="J119" s="203"/>
      <c r="K119" s="42"/>
      <c r="L119" s="42"/>
    </row>
    <row r="120" spans="2:12" ht="12.75">
      <c r="B120" s="42"/>
      <c r="C120" s="75" t="s">
        <v>232</v>
      </c>
      <c r="D120" s="87" t="s">
        <v>296</v>
      </c>
      <c r="E120" s="44"/>
      <c r="F120" s="45"/>
      <c r="G120" s="45"/>
      <c r="H120" s="42"/>
      <c r="I120" s="46"/>
      <c r="J120" s="200">
        <f>Pasivet!G14</f>
        <v>669107</v>
      </c>
      <c r="K120" s="42"/>
      <c r="L120" s="42"/>
    </row>
    <row r="121" spans="2:12" ht="12.75">
      <c r="B121" s="42"/>
      <c r="C121" s="75" t="s">
        <v>232</v>
      </c>
      <c r="D121" s="87" t="s">
        <v>297</v>
      </c>
      <c r="E121" s="44"/>
      <c r="F121" s="45"/>
      <c r="G121" s="45"/>
      <c r="H121" s="42"/>
      <c r="I121" s="46"/>
      <c r="J121" s="64"/>
      <c r="K121" s="42"/>
      <c r="L121" s="42"/>
    </row>
    <row r="122" spans="2:12" ht="12.75">
      <c r="B122" s="42"/>
      <c r="C122" s="75" t="s">
        <v>232</v>
      </c>
      <c r="D122" s="87" t="s">
        <v>298</v>
      </c>
      <c r="E122" s="44"/>
      <c r="F122" s="45"/>
      <c r="G122" s="45"/>
      <c r="H122" s="42"/>
      <c r="I122" s="46"/>
      <c r="J122" s="200"/>
      <c r="K122" s="42"/>
      <c r="L122" s="42"/>
    </row>
    <row r="123" spans="2:12" ht="12.75">
      <c r="B123" s="42"/>
      <c r="C123" s="75"/>
      <c r="D123" s="80"/>
      <c r="E123" s="44"/>
      <c r="F123" s="45"/>
      <c r="G123" s="45"/>
      <c r="H123" s="42"/>
      <c r="I123" s="46"/>
      <c r="J123" s="64"/>
      <c r="K123" s="42"/>
      <c r="L123" s="42"/>
    </row>
    <row r="124" spans="2:15" ht="12.75">
      <c r="B124" s="42"/>
      <c r="C124" s="87"/>
      <c r="D124" s="80" t="s">
        <v>83</v>
      </c>
      <c r="E124" s="44"/>
      <c r="F124" s="45"/>
      <c r="G124" s="45"/>
      <c r="H124" s="42"/>
      <c r="I124" s="46"/>
      <c r="J124" s="204">
        <f>SUM(J125:J132)</f>
        <v>10744674</v>
      </c>
      <c r="K124" s="42"/>
      <c r="L124" s="42"/>
      <c r="O124" s="153">
        <f>Pasivet!G15</f>
        <v>0</v>
      </c>
    </row>
    <row r="125" spans="2:12" ht="12.75">
      <c r="B125" s="42"/>
      <c r="C125" s="75" t="s">
        <v>232</v>
      </c>
      <c r="D125" s="87" t="s">
        <v>299</v>
      </c>
      <c r="E125" s="44"/>
      <c r="F125" s="45"/>
      <c r="G125" s="45"/>
      <c r="H125" s="42"/>
      <c r="I125" s="46"/>
      <c r="J125" s="205"/>
      <c r="K125" s="42"/>
      <c r="L125" s="42"/>
    </row>
    <row r="126" spans="2:12" ht="12.75">
      <c r="B126" s="42"/>
      <c r="C126" s="75" t="s">
        <v>232</v>
      </c>
      <c r="D126" s="87" t="s">
        <v>300</v>
      </c>
      <c r="E126" s="44"/>
      <c r="F126" s="45"/>
      <c r="G126" s="45"/>
      <c r="H126" s="42"/>
      <c r="I126" s="46"/>
      <c r="J126" s="205"/>
      <c r="K126" s="42"/>
      <c r="L126" s="42"/>
    </row>
    <row r="127" spans="2:12" ht="12.75">
      <c r="B127" s="42"/>
      <c r="C127" s="75" t="s">
        <v>232</v>
      </c>
      <c r="D127" s="87" t="s">
        <v>301</v>
      </c>
      <c r="E127" s="44"/>
      <c r="F127" s="45"/>
      <c r="G127" s="45"/>
      <c r="H127" s="42"/>
      <c r="I127" s="46"/>
      <c r="J127" s="205"/>
      <c r="K127" s="42"/>
      <c r="L127" s="42"/>
    </row>
    <row r="128" spans="2:12" ht="12.75">
      <c r="B128" s="42"/>
      <c r="C128" s="75" t="s">
        <v>232</v>
      </c>
      <c r="D128" s="87" t="s">
        <v>234</v>
      </c>
      <c r="E128" s="44"/>
      <c r="F128" s="45"/>
      <c r="G128" s="45"/>
      <c r="H128" s="42"/>
      <c r="I128" s="46"/>
      <c r="J128" s="205"/>
      <c r="K128" s="42"/>
      <c r="L128" s="42"/>
    </row>
    <row r="129" spans="2:12" ht="12.75">
      <c r="B129" s="42"/>
      <c r="C129" s="75" t="s">
        <v>232</v>
      </c>
      <c r="D129" s="87" t="s">
        <v>302</v>
      </c>
      <c r="E129" s="44"/>
      <c r="F129" s="45"/>
      <c r="G129" s="45"/>
      <c r="H129" s="42"/>
      <c r="I129" s="46"/>
      <c r="J129" s="206">
        <f>-124036361+155389177-20608142</f>
        <v>10744674</v>
      </c>
      <c r="K129" s="42"/>
      <c r="L129" s="42"/>
    </row>
    <row r="130" spans="2:12" ht="12.75">
      <c r="B130" s="42"/>
      <c r="C130" s="75" t="s">
        <v>232</v>
      </c>
      <c r="D130" s="87" t="s">
        <v>303</v>
      </c>
      <c r="E130" s="44"/>
      <c r="F130" s="45"/>
      <c r="G130" s="45"/>
      <c r="H130" s="42"/>
      <c r="I130" s="46"/>
      <c r="J130" s="205"/>
      <c r="K130" s="42"/>
      <c r="L130" s="42"/>
    </row>
    <row r="131" spans="2:12" ht="12.75">
      <c r="B131" s="42"/>
      <c r="C131" s="75" t="s">
        <v>232</v>
      </c>
      <c r="D131" s="87" t="s">
        <v>304</v>
      </c>
      <c r="E131" s="44"/>
      <c r="F131" s="45"/>
      <c r="G131" s="45"/>
      <c r="H131" s="42"/>
      <c r="I131" s="46"/>
      <c r="J131" s="205"/>
      <c r="K131" s="42"/>
      <c r="L131" s="42"/>
    </row>
    <row r="132" spans="2:12" ht="12.75">
      <c r="B132" s="42"/>
      <c r="C132" s="75" t="s">
        <v>232</v>
      </c>
      <c r="D132" s="87" t="s">
        <v>305</v>
      </c>
      <c r="E132" s="44"/>
      <c r="F132" s="45"/>
      <c r="G132" s="45"/>
      <c r="H132" s="42"/>
      <c r="I132" s="46"/>
      <c r="J132" s="205"/>
      <c r="K132" s="42"/>
      <c r="L132" s="42"/>
    </row>
    <row r="133" spans="2:12" ht="12.75">
      <c r="B133" s="42"/>
      <c r="C133" s="75"/>
      <c r="D133" s="80"/>
      <c r="E133" s="44"/>
      <c r="F133" s="45"/>
      <c r="G133" s="45"/>
      <c r="H133" s="42"/>
      <c r="I133" s="46"/>
      <c r="J133" s="64"/>
      <c r="K133" s="42"/>
      <c r="L133" s="42"/>
    </row>
    <row r="134" spans="2:12" ht="12.75">
      <c r="B134" s="42"/>
      <c r="C134" s="87"/>
      <c r="D134" s="80" t="s">
        <v>91</v>
      </c>
      <c r="E134" s="44"/>
      <c r="F134" s="45"/>
      <c r="G134" s="45"/>
      <c r="H134" s="42"/>
      <c r="I134" s="46"/>
      <c r="J134" s="200">
        <f>Pasivet!G16</f>
        <v>0</v>
      </c>
      <c r="K134" s="42"/>
      <c r="L134" s="42"/>
    </row>
    <row r="135" spans="2:12" ht="12.75">
      <c r="B135" s="42"/>
      <c r="C135" s="75" t="s">
        <v>232</v>
      </c>
      <c r="D135" s="87" t="s">
        <v>358</v>
      </c>
      <c r="E135" s="44"/>
      <c r="F135" s="45"/>
      <c r="G135" s="45" t="s">
        <v>391</v>
      </c>
      <c r="H135" s="42"/>
      <c r="I135" s="46"/>
      <c r="J135" s="201">
        <f>Pasivet!G16</f>
        <v>0</v>
      </c>
      <c r="K135" s="42"/>
      <c r="L135" s="42"/>
    </row>
    <row r="136" spans="2:12" ht="12.75">
      <c r="B136" s="42"/>
      <c r="C136" s="75"/>
      <c r="D136" s="80"/>
      <c r="E136" s="44"/>
      <c r="F136" s="45"/>
      <c r="G136" s="45"/>
      <c r="H136" s="42"/>
      <c r="I136" s="46"/>
      <c r="J136" s="64"/>
      <c r="K136" s="42"/>
      <c r="L136" s="42"/>
    </row>
    <row r="137" spans="2:12" ht="12.75">
      <c r="B137" s="42"/>
      <c r="C137" s="102">
        <v>14</v>
      </c>
      <c r="D137" s="103" t="s">
        <v>84</v>
      </c>
      <c r="E137" s="44"/>
      <c r="F137" s="45"/>
      <c r="G137" s="45"/>
      <c r="H137" s="42"/>
      <c r="I137" s="46"/>
      <c r="J137" s="64">
        <v>0</v>
      </c>
      <c r="K137" s="42"/>
      <c r="L137" s="42"/>
    </row>
    <row r="138" spans="2:12" ht="12.75">
      <c r="B138" s="42"/>
      <c r="C138" s="102">
        <v>15</v>
      </c>
      <c r="D138" s="103" t="s">
        <v>85</v>
      </c>
      <c r="E138" s="44"/>
      <c r="F138" s="45"/>
      <c r="G138" s="45"/>
      <c r="H138" s="42"/>
      <c r="I138" s="46"/>
      <c r="J138" s="64">
        <v>0</v>
      </c>
      <c r="K138" s="42"/>
      <c r="L138" s="42"/>
    </row>
    <row r="139" spans="2:12" ht="12.75">
      <c r="B139" s="42"/>
      <c r="C139" s="102">
        <v>16</v>
      </c>
      <c r="D139" s="103" t="s">
        <v>86</v>
      </c>
      <c r="E139" s="44"/>
      <c r="F139" s="45"/>
      <c r="G139" s="45"/>
      <c r="H139" s="42"/>
      <c r="I139" s="46"/>
      <c r="J139" s="64">
        <v>0</v>
      </c>
      <c r="K139" s="42"/>
      <c r="L139" s="42"/>
    </row>
    <row r="140" spans="2:12" ht="12.75">
      <c r="B140" s="42"/>
      <c r="C140" s="102">
        <v>17</v>
      </c>
      <c r="D140" s="103" t="s">
        <v>89</v>
      </c>
      <c r="E140" s="44"/>
      <c r="F140" s="45"/>
      <c r="G140" s="45"/>
      <c r="H140" s="42"/>
      <c r="I140" s="46"/>
      <c r="J140" s="64">
        <v>0</v>
      </c>
      <c r="K140" s="42"/>
      <c r="L140" s="42"/>
    </row>
    <row r="141" spans="2:12" ht="12.75">
      <c r="B141" s="42"/>
      <c r="C141" s="102"/>
      <c r="D141" s="103"/>
      <c r="E141" s="44" t="s">
        <v>394</v>
      </c>
      <c r="F141" s="45"/>
      <c r="G141" s="45"/>
      <c r="H141" s="42"/>
      <c r="I141" s="196">
        <v>63487</v>
      </c>
      <c r="J141" s="200">
        <f>Pasivet!G23</f>
        <v>293969376.61</v>
      </c>
      <c r="K141" s="42"/>
      <c r="L141" s="42"/>
    </row>
    <row r="142" spans="2:12" ht="12.75">
      <c r="B142" s="42"/>
      <c r="C142" s="102"/>
      <c r="D142" s="103"/>
      <c r="E142" s="44"/>
      <c r="F142" s="45"/>
      <c r="G142" s="45"/>
      <c r="H142" s="42"/>
      <c r="I142" s="46"/>
      <c r="J142" s="64"/>
      <c r="K142" s="42"/>
      <c r="L142" s="42"/>
    </row>
    <row r="143" spans="2:12" ht="12.75">
      <c r="B143" s="42"/>
      <c r="C143" s="102">
        <v>18</v>
      </c>
      <c r="D143" s="103" t="s">
        <v>92</v>
      </c>
      <c r="E143" s="44"/>
      <c r="F143" s="45"/>
      <c r="G143" s="45"/>
      <c r="H143" s="42"/>
      <c r="I143" s="46"/>
      <c r="J143" s="202">
        <v>0</v>
      </c>
      <c r="K143" s="42"/>
      <c r="L143" s="42"/>
    </row>
    <row r="144" spans="2:12" ht="12.75">
      <c r="B144" s="42"/>
      <c r="C144" s="102">
        <v>19</v>
      </c>
      <c r="D144" s="103" t="s">
        <v>93</v>
      </c>
      <c r="E144" s="44"/>
      <c r="F144" s="45"/>
      <c r="G144" s="45"/>
      <c r="H144" s="42"/>
      <c r="I144" s="46"/>
      <c r="J144" s="202">
        <v>0</v>
      </c>
      <c r="K144" s="42"/>
      <c r="L144" s="42"/>
    </row>
    <row r="145" spans="2:12" ht="12.75">
      <c r="B145" s="42"/>
      <c r="C145" s="102">
        <v>20</v>
      </c>
      <c r="D145" s="103" t="s">
        <v>94</v>
      </c>
      <c r="E145" s="44"/>
      <c r="F145" s="45"/>
      <c r="G145" s="45"/>
      <c r="H145" s="42"/>
      <c r="I145" s="46"/>
      <c r="J145" s="202">
        <v>0</v>
      </c>
      <c r="K145" s="42"/>
      <c r="L145" s="42"/>
    </row>
    <row r="146" spans="2:12" ht="12.75">
      <c r="B146" s="42"/>
      <c r="C146" s="102">
        <v>21</v>
      </c>
      <c r="D146" s="103" t="s">
        <v>98</v>
      </c>
      <c r="E146" s="44"/>
      <c r="F146" s="45"/>
      <c r="G146" s="45"/>
      <c r="H146" s="42"/>
      <c r="I146" s="46"/>
      <c r="J146" s="202">
        <v>0</v>
      </c>
      <c r="K146" s="42"/>
      <c r="L146" s="42"/>
    </row>
    <row r="147" spans="2:12" ht="12.75">
      <c r="B147" s="42"/>
      <c r="C147" s="102">
        <v>22</v>
      </c>
      <c r="D147" s="103" t="s">
        <v>101</v>
      </c>
      <c r="E147" s="44"/>
      <c r="F147" s="45"/>
      <c r="G147" s="45"/>
      <c r="H147" s="42"/>
      <c r="I147" s="46"/>
      <c r="J147" s="202">
        <v>0</v>
      </c>
      <c r="K147" s="42"/>
      <c r="L147" s="42"/>
    </row>
    <row r="148" spans="2:12" ht="12.75">
      <c r="B148" s="42"/>
      <c r="C148" s="102">
        <v>23</v>
      </c>
      <c r="D148" s="103" t="s">
        <v>102</v>
      </c>
      <c r="E148" s="44"/>
      <c r="F148" s="45"/>
      <c r="G148" s="45"/>
      <c r="H148" s="42"/>
      <c r="I148" s="46"/>
      <c r="J148" s="202">
        <v>100000</v>
      </c>
      <c r="K148" s="42"/>
      <c r="L148" s="42"/>
    </row>
    <row r="149" spans="2:12" ht="12.75">
      <c r="B149" s="42"/>
      <c r="C149" s="102">
        <v>24</v>
      </c>
      <c r="D149" s="103" t="s">
        <v>103</v>
      </c>
      <c r="E149" s="44"/>
      <c r="F149" s="45"/>
      <c r="G149" s="45"/>
      <c r="H149" s="42"/>
      <c r="I149" s="46"/>
      <c r="J149" s="202">
        <v>0</v>
      </c>
      <c r="K149" s="42"/>
      <c r="L149" s="42"/>
    </row>
    <row r="150" spans="2:12" ht="12.75">
      <c r="B150" s="42"/>
      <c r="C150" s="102">
        <v>25</v>
      </c>
      <c r="D150" s="103" t="s">
        <v>104</v>
      </c>
      <c r="E150" s="44"/>
      <c r="F150" s="45"/>
      <c r="G150" s="45"/>
      <c r="H150" s="42"/>
      <c r="I150" s="46"/>
      <c r="J150" s="202">
        <v>0</v>
      </c>
      <c r="K150" s="42"/>
      <c r="L150" s="42"/>
    </row>
    <row r="151" spans="2:12" ht="12.75">
      <c r="B151" s="42"/>
      <c r="C151" s="102">
        <v>26</v>
      </c>
      <c r="D151" s="103" t="s">
        <v>105</v>
      </c>
      <c r="E151" s="44"/>
      <c r="F151" s="45"/>
      <c r="G151" s="45"/>
      <c r="H151" s="42"/>
      <c r="I151" s="46"/>
      <c r="J151" s="202">
        <v>0</v>
      </c>
      <c r="K151" s="42"/>
      <c r="L151" s="42"/>
    </row>
    <row r="152" spans="2:12" ht="12.75">
      <c r="B152" s="42"/>
      <c r="C152" s="43"/>
      <c r="D152" s="80" t="s">
        <v>106</v>
      </c>
      <c r="E152" s="44"/>
      <c r="F152" s="45"/>
      <c r="G152" s="45"/>
      <c r="H152" s="42"/>
      <c r="I152" s="46"/>
      <c r="J152" s="202">
        <v>0</v>
      </c>
      <c r="K152" s="42"/>
      <c r="L152" s="42"/>
    </row>
    <row r="153" spans="2:12" ht="12.75">
      <c r="B153" s="42"/>
      <c r="C153" s="43"/>
      <c r="D153" s="80" t="s">
        <v>107</v>
      </c>
      <c r="E153" s="44"/>
      <c r="F153" s="45"/>
      <c r="G153" s="45"/>
      <c r="H153" s="42"/>
      <c r="I153" s="46"/>
      <c r="J153" s="202">
        <v>0</v>
      </c>
      <c r="K153" s="42"/>
      <c r="L153" s="42"/>
    </row>
    <row r="154" spans="2:12" ht="12.75">
      <c r="B154" s="42"/>
      <c r="C154" s="43"/>
      <c r="D154" s="80" t="s">
        <v>105</v>
      </c>
      <c r="E154" s="44"/>
      <c r="F154" s="45"/>
      <c r="G154" s="45"/>
      <c r="H154" s="42"/>
      <c r="I154" s="46"/>
      <c r="J154" s="202">
        <v>0</v>
      </c>
      <c r="K154" s="42"/>
      <c r="L154" s="42"/>
    </row>
    <row r="155" spans="2:12" ht="12.75">
      <c r="B155" s="42"/>
      <c r="C155" s="102">
        <v>27</v>
      </c>
      <c r="D155" s="103" t="s">
        <v>108</v>
      </c>
      <c r="E155" s="44"/>
      <c r="F155" s="45"/>
      <c r="G155" s="45"/>
      <c r="H155" s="42"/>
      <c r="I155" s="46"/>
      <c r="J155" s="201">
        <f>Pasivet!G46</f>
        <v>-445764430</v>
      </c>
      <c r="K155" s="42"/>
      <c r="L155" s="42"/>
    </row>
    <row r="156" spans="2:12" ht="12.75">
      <c r="B156" s="42"/>
      <c r="C156" s="102">
        <v>28</v>
      </c>
      <c r="D156" s="103" t="s">
        <v>109</v>
      </c>
      <c r="E156" s="44"/>
      <c r="F156" s="45"/>
      <c r="G156" s="45"/>
      <c r="H156" s="42"/>
      <c r="I156" s="46"/>
      <c r="J156" s="201">
        <f>Pasivet!G47</f>
        <v>28835276.312836654</v>
      </c>
      <c r="K156" s="42"/>
      <c r="L156" s="42"/>
    </row>
    <row r="157" spans="2:12" ht="12.75">
      <c r="B157" s="42"/>
      <c r="C157" s="43"/>
      <c r="D157" s="44"/>
      <c r="E157" s="44"/>
      <c r="F157" s="45"/>
      <c r="G157" s="45"/>
      <c r="H157" s="42"/>
      <c r="I157" s="46"/>
      <c r="J157" s="64"/>
      <c r="K157" s="42"/>
      <c r="L157" s="42"/>
    </row>
    <row r="158" spans="2:12" ht="12.75">
      <c r="B158" s="42"/>
      <c r="C158" s="43"/>
      <c r="D158" s="44"/>
      <c r="E158" s="44"/>
      <c r="F158" s="45"/>
      <c r="G158" s="45"/>
      <c r="H158" s="42"/>
      <c r="I158" s="46"/>
      <c r="J158" s="64"/>
      <c r="K158" s="42"/>
      <c r="L158" s="42"/>
    </row>
    <row r="159" spans="2:12" ht="18">
      <c r="B159" s="42"/>
      <c r="C159" s="43"/>
      <c r="D159" s="48" t="s">
        <v>307</v>
      </c>
      <c r="E159" s="44"/>
      <c r="F159" s="45"/>
      <c r="G159" s="45"/>
      <c r="H159" s="42"/>
      <c r="I159" s="46"/>
      <c r="J159" s="64"/>
      <c r="K159" s="42"/>
      <c r="L159" s="42"/>
    </row>
    <row r="160" spans="2:12" ht="18">
      <c r="B160" s="42"/>
      <c r="C160" s="43"/>
      <c r="D160" s="48"/>
      <c r="E160" s="44"/>
      <c r="F160" s="45"/>
      <c r="G160" s="45"/>
      <c r="H160" s="42"/>
      <c r="I160" s="46"/>
      <c r="J160" s="64"/>
      <c r="K160" s="42"/>
      <c r="L160" s="42"/>
    </row>
    <row r="161" spans="2:15" ht="15">
      <c r="B161" s="42"/>
      <c r="C161" s="43"/>
      <c r="D161" s="55" t="s">
        <v>319</v>
      </c>
      <c r="E161" s="44"/>
      <c r="F161" s="45"/>
      <c r="G161" s="45"/>
      <c r="H161" s="42"/>
      <c r="I161" s="46"/>
      <c r="J161" s="199">
        <f>SUM(J162:J164)</f>
        <v>789376181</v>
      </c>
      <c r="K161" s="42"/>
      <c r="L161" s="42"/>
      <c r="O161" s="153">
        <f>PASH!H7</f>
        <v>3707166281</v>
      </c>
    </row>
    <row r="162" spans="2:12" ht="12.75">
      <c r="B162" s="42"/>
      <c r="C162" s="49" t="s">
        <v>244</v>
      </c>
      <c r="D162" s="44" t="s">
        <v>397</v>
      </c>
      <c r="E162" s="44"/>
      <c r="F162" s="45"/>
      <c r="G162" s="45"/>
      <c r="H162" s="42"/>
      <c r="I162" s="46"/>
      <c r="J162" s="200">
        <v>268709949</v>
      </c>
      <c r="K162" s="42"/>
      <c r="L162" s="42"/>
    </row>
    <row r="163" spans="2:12" ht="12.75">
      <c r="B163" s="42"/>
      <c r="C163" s="49" t="s">
        <v>244</v>
      </c>
      <c r="D163" s="44" t="s">
        <v>398</v>
      </c>
      <c r="E163" s="44"/>
      <c r="F163" s="45"/>
      <c r="G163" s="45"/>
      <c r="H163" s="42"/>
      <c r="I163" s="46"/>
      <c r="J163" s="200">
        <v>512325846</v>
      </c>
      <c r="K163" s="42"/>
      <c r="L163" s="42"/>
    </row>
    <row r="164" spans="2:12" ht="12.75">
      <c r="B164" s="42"/>
      <c r="C164" s="49" t="s">
        <v>244</v>
      </c>
      <c r="D164" s="44" t="s">
        <v>399</v>
      </c>
      <c r="E164" s="44"/>
      <c r="F164" s="45"/>
      <c r="G164" s="45"/>
      <c r="H164" s="42"/>
      <c r="I164" s="46"/>
      <c r="J164" s="200">
        <v>8340386</v>
      </c>
      <c r="K164" s="42"/>
      <c r="L164" s="42"/>
    </row>
    <row r="165" spans="2:12" ht="12.75">
      <c r="B165" s="42"/>
      <c r="C165" s="49"/>
      <c r="D165" s="44"/>
      <c r="E165" s="44"/>
      <c r="F165" s="45"/>
      <c r="G165" s="45"/>
      <c r="H165" s="42"/>
      <c r="I165" s="46"/>
      <c r="J165" s="199"/>
      <c r="K165" s="42"/>
      <c r="L165" s="42"/>
    </row>
    <row r="166" spans="2:12" ht="12.75">
      <c r="B166" s="42"/>
      <c r="C166" s="49"/>
      <c r="D166" s="44"/>
      <c r="E166" s="44"/>
      <c r="F166" s="45"/>
      <c r="G166" s="45"/>
      <c r="H166" s="42"/>
      <c r="I166" s="46"/>
      <c r="J166" s="199"/>
      <c r="K166" s="42"/>
      <c r="L166" s="42"/>
    </row>
    <row r="167" spans="2:12" ht="12.75">
      <c r="B167" s="42"/>
      <c r="C167" s="49" t="s">
        <v>244</v>
      </c>
      <c r="D167" s="135" t="s">
        <v>116</v>
      </c>
      <c r="E167" s="136"/>
      <c r="F167" s="136"/>
      <c r="G167" s="45"/>
      <c r="H167" s="42"/>
      <c r="I167" s="46"/>
      <c r="J167" s="200">
        <v>-50307973</v>
      </c>
      <c r="K167" s="42"/>
      <c r="L167" s="42"/>
    </row>
    <row r="168" spans="2:12" ht="12.75">
      <c r="B168" s="42"/>
      <c r="C168" s="49"/>
      <c r="D168" s="44"/>
      <c r="E168" s="44"/>
      <c r="F168" s="45"/>
      <c r="G168" s="45"/>
      <c r="H168" s="42"/>
      <c r="I168" s="46"/>
      <c r="J168" s="199"/>
      <c r="K168" s="42"/>
      <c r="L168" s="42"/>
    </row>
    <row r="169" spans="2:15" ht="15">
      <c r="B169" s="42"/>
      <c r="C169" s="49" t="s">
        <v>244</v>
      </c>
      <c r="D169" s="56" t="s">
        <v>322</v>
      </c>
      <c r="E169" s="51"/>
      <c r="F169" s="136"/>
      <c r="G169" s="20"/>
      <c r="H169" s="21"/>
      <c r="I169" s="42"/>
      <c r="J169" s="124">
        <f>SUM(J172:J187)+2</f>
        <v>2988512</v>
      </c>
      <c r="K169" s="87"/>
      <c r="L169" s="87"/>
      <c r="O169" s="153">
        <f>PASH!H11+PASH!H20</f>
        <v>-3496067748</v>
      </c>
    </row>
    <row r="170" spans="2:12" ht="12.75">
      <c r="B170" s="42"/>
      <c r="C170" s="49"/>
      <c r="D170" s="136"/>
      <c r="E170" s="4"/>
      <c r="F170" s="138"/>
      <c r="G170" s="20"/>
      <c r="H170" s="21"/>
      <c r="I170" s="42"/>
      <c r="J170" s="124"/>
      <c r="K170" s="87"/>
      <c r="L170" s="87"/>
    </row>
    <row r="171" spans="2:12" ht="12.75">
      <c r="B171" s="42"/>
      <c r="C171" s="49"/>
      <c r="D171" s="136"/>
      <c r="E171" s="4"/>
      <c r="F171" s="135" t="s">
        <v>119</v>
      </c>
      <c r="G171" s="136"/>
      <c r="H171" s="136"/>
      <c r="I171" s="42"/>
      <c r="J171" s="124">
        <f>SUM(I172:I175)</f>
        <v>697593093</v>
      </c>
      <c r="K171" s="87"/>
      <c r="L171" s="87"/>
    </row>
    <row r="172" spans="2:12" ht="12.75">
      <c r="B172" s="42"/>
      <c r="C172" s="49"/>
      <c r="D172" s="136"/>
      <c r="E172" s="4"/>
      <c r="F172" s="61" t="s">
        <v>401</v>
      </c>
      <c r="G172" s="20"/>
      <c r="H172" s="21"/>
      <c r="I172" s="207">
        <f>20251705+18401590</f>
        <v>38653295</v>
      </c>
      <c r="J172" s="124"/>
      <c r="K172" s="87"/>
      <c r="L172" s="87"/>
    </row>
    <row r="173" spans="2:12" ht="12.75">
      <c r="B173" s="42"/>
      <c r="C173" s="49"/>
      <c r="D173" s="136"/>
      <c r="E173" s="4"/>
      <c r="F173" s="61" t="s">
        <v>359</v>
      </c>
      <c r="G173" s="20"/>
      <c r="H173" s="21"/>
      <c r="I173" s="207">
        <v>39854515</v>
      </c>
      <c r="J173" s="124"/>
      <c r="K173" s="87"/>
      <c r="L173" s="87"/>
    </row>
    <row r="174" spans="2:12" ht="12.75">
      <c r="B174" s="42"/>
      <c r="C174" s="49"/>
      <c r="D174" s="136"/>
      <c r="E174" s="4"/>
      <c r="F174" s="61" t="s">
        <v>400</v>
      </c>
      <c r="G174" s="20"/>
      <c r="H174" s="21"/>
      <c r="I174" s="207">
        <v>587348080</v>
      </c>
      <c r="J174" s="124"/>
      <c r="K174" s="87"/>
      <c r="L174" s="87"/>
    </row>
    <row r="175" spans="2:12" ht="12.75">
      <c r="B175" s="42"/>
      <c r="C175" s="49"/>
      <c r="D175" s="136"/>
      <c r="E175" s="4"/>
      <c r="F175" s="61" t="s">
        <v>359</v>
      </c>
      <c r="G175" s="20"/>
      <c r="H175" s="21"/>
      <c r="I175" s="207">
        <v>31737203</v>
      </c>
      <c r="J175" s="124"/>
      <c r="K175" s="87"/>
      <c r="L175" s="87"/>
    </row>
    <row r="176" spans="2:12" ht="12.75">
      <c r="B176" s="42"/>
      <c r="C176" s="49"/>
      <c r="D176" s="136"/>
      <c r="E176" s="4"/>
      <c r="F176" s="61"/>
      <c r="G176" s="20"/>
      <c r="H176" s="21"/>
      <c r="I176" s="207"/>
      <c r="J176" s="124"/>
      <c r="K176" s="87"/>
      <c r="L176" s="87"/>
    </row>
    <row r="177" spans="2:15" ht="12.75">
      <c r="B177" s="42"/>
      <c r="C177" s="49"/>
      <c r="D177" s="136"/>
      <c r="E177" s="4"/>
      <c r="F177" s="135" t="s">
        <v>127</v>
      </c>
      <c r="G177" s="136"/>
      <c r="H177" s="136"/>
      <c r="I177" s="42"/>
      <c r="J177" s="124">
        <f>SUM(I178:I187)</f>
        <v>2988510</v>
      </c>
      <c r="K177" s="87"/>
      <c r="L177" s="87"/>
      <c r="O177" s="153">
        <f>PASH!H20</f>
        <v>-83758690</v>
      </c>
    </row>
    <row r="178" spans="2:12" ht="12.75">
      <c r="B178" s="42"/>
      <c r="C178" s="49"/>
      <c r="D178" s="136"/>
      <c r="E178" s="4">
        <v>3</v>
      </c>
      <c r="F178" s="138" t="s">
        <v>360</v>
      </c>
      <c r="G178" s="20"/>
      <c r="H178" s="21"/>
      <c r="I178" s="124">
        <v>1200000</v>
      </c>
      <c r="J178" s="124"/>
      <c r="K178" s="87"/>
      <c r="L178" s="87"/>
    </row>
    <row r="179" spans="2:12" ht="12.75">
      <c r="B179" s="42"/>
      <c r="C179" s="49"/>
      <c r="D179" s="136"/>
      <c r="E179" s="4">
        <f>E178+1</f>
        <v>4</v>
      </c>
      <c r="F179" s="138" t="s">
        <v>361</v>
      </c>
      <c r="G179" s="20"/>
      <c r="H179" s="21"/>
      <c r="I179" s="124">
        <v>247204</v>
      </c>
      <c r="J179" s="124"/>
      <c r="K179" s="87"/>
      <c r="L179" s="87"/>
    </row>
    <row r="180" spans="2:12" ht="12.75">
      <c r="B180" s="42"/>
      <c r="C180" s="49"/>
      <c r="D180" s="136"/>
      <c r="E180" s="4">
        <f aca="true" t="shared" si="2" ref="E180:E187">E179+1</f>
        <v>5</v>
      </c>
      <c r="F180" s="138" t="s">
        <v>362</v>
      </c>
      <c r="G180" s="20"/>
      <c r="H180" s="21"/>
      <c r="I180" s="124">
        <v>80000</v>
      </c>
      <c r="J180" s="124"/>
      <c r="K180" s="87"/>
      <c r="L180" s="87"/>
    </row>
    <row r="181" spans="2:12" ht="12.75">
      <c r="B181" s="42"/>
      <c r="C181" s="49"/>
      <c r="D181" s="136"/>
      <c r="E181" s="4">
        <f t="shared" si="2"/>
        <v>6</v>
      </c>
      <c r="F181" s="138" t="s">
        <v>363</v>
      </c>
      <c r="G181" s="20"/>
      <c r="H181" s="21"/>
      <c r="I181" s="124">
        <v>813540</v>
      </c>
      <c r="J181" s="124"/>
      <c r="K181" s="87"/>
      <c r="L181" s="87"/>
    </row>
    <row r="182" spans="2:12" ht="12.75">
      <c r="B182" s="42"/>
      <c r="C182" s="49"/>
      <c r="D182" s="136"/>
      <c r="E182" s="4">
        <f t="shared" si="2"/>
        <v>7</v>
      </c>
      <c r="F182" s="138" t="s">
        <v>402</v>
      </c>
      <c r="G182" s="20"/>
      <c r="H182" s="21"/>
      <c r="I182" s="124">
        <v>122201</v>
      </c>
      <c r="J182" s="124"/>
      <c r="K182" s="87"/>
      <c r="L182" s="87"/>
    </row>
    <row r="183" spans="2:12" ht="12.75">
      <c r="B183" s="42"/>
      <c r="C183" s="49"/>
      <c r="D183" s="136"/>
      <c r="E183" s="4">
        <f t="shared" si="2"/>
        <v>8</v>
      </c>
      <c r="F183" s="138" t="s">
        <v>364</v>
      </c>
      <c r="G183" s="20"/>
      <c r="H183" s="21"/>
      <c r="I183" s="124"/>
      <c r="J183" s="124"/>
      <c r="K183" s="87"/>
      <c r="L183" s="87"/>
    </row>
    <row r="184" spans="2:12" ht="12.75">
      <c r="B184" s="42"/>
      <c r="C184" s="49"/>
      <c r="D184" s="136"/>
      <c r="E184" s="4">
        <f t="shared" si="2"/>
        <v>9</v>
      </c>
      <c r="F184" s="138" t="s">
        <v>329</v>
      </c>
      <c r="G184" s="20"/>
      <c r="H184" s="21"/>
      <c r="I184" s="124">
        <v>63277</v>
      </c>
      <c r="J184" s="124"/>
      <c r="K184" s="87"/>
      <c r="L184" s="87"/>
    </row>
    <row r="185" spans="2:12" ht="12.75">
      <c r="B185" s="42"/>
      <c r="C185" s="49"/>
      <c r="D185" s="136"/>
      <c r="E185" s="4">
        <f t="shared" si="2"/>
        <v>10</v>
      </c>
      <c r="F185" s="138" t="s">
        <v>341</v>
      </c>
      <c r="G185" s="20"/>
      <c r="H185" s="21"/>
      <c r="I185" s="124">
        <v>170120</v>
      </c>
      <c r="J185" s="124"/>
      <c r="K185" s="87"/>
      <c r="L185" s="87"/>
    </row>
    <row r="186" spans="2:12" ht="12.75">
      <c r="B186" s="42"/>
      <c r="C186" s="49"/>
      <c r="D186" s="136"/>
      <c r="E186" s="4">
        <f t="shared" si="2"/>
        <v>11</v>
      </c>
      <c r="F186" s="138" t="s">
        <v>403</v>
      </c>
      <c r="G186" s="20"/>
      <c r="H186" s="21"/>
      <c r="I186" s="124">
        <v>9000</v>
      </c>
      <c r="J186" s="124"/>
      <c r="K186" s="87"/>
      <c r="L186" s="87"/>
    </row>
    <row r="187" spans="2:12" ht="12.75">
      <c r="B187" s="42"/>
      <c r="C187" s="49"/>
      <c r="D187" s="136"/>
      <c r="E187" s="4">
        <f t="shared" si="2"/>
        <v>12</v>
      </c>
      <c r="F187" s="138" t="s">
        <v>365</v>
      </c>
      <c r="G187" s="20"/>
      <c r="H187" s="21"/>
      <c r="I187" s="42">
        <v>283168</v>
      </c>
      <c r="J187" s="124"/>
      <c r="K187" s="87"/>
      <c r="L187" s="87"/>
    </row>
    <row r="188" spans="2:12" ht="12.75">
      <c r="B188" s="42"/>
      <c r="C188" s="49"/>
      <c r="D188" s="136"/>
      <c r="E188" s="4"/>
      <c r="F188" s="138"/>
      <c r="G188" s="20"/>
      <c r="H188" s="21"/>
      <c r="I188" s="42"/>
      <c r="J188" s="124"/>
      <c r="K188" s="87"/>
      <c r="L188" s="87"/>
    </row>
    <row r="189" spans="2:12" ht="12.75">
      <c r="B189" s="42"/>
      <c r="C189" s="49" t="s">
        <v>244</v>
      </c>
      <c r="D189" s="135" t="s">
        <v>121</v>
      </c>
      <c r="E189" s="136"/>
      <c r="F189" s="136"/>
      <c r="G189" s="20"/>
      <c r="H189" s="137"/>
      <c r="I189" s="42"/>
      <c r="J189" s="137">
        <f>J190+J191</f>
        <v>28412822</v>
      </c>
      <c r="K189" s="87"/>
      <c r="L189" s="87"/>
    </row>
    <row r="190" spans="2:12" ht="12.75">
      <c r="B190" s="42"/>
      <c r="C190" s="49"/>
      <c r="D190" s="136"/>
      <c r="E190" s="174">
        <v>1</v>
      </c>
      <c r="F190" s="174" t="s">
        <v>122</v>
      </c>
      <c r="G190" s="20"/>
      <c r="H190" s="172"/>
      <c r="I190" s="42"/>
      <c r="J190" s="172">
        <f>-PASH!H15</f>
        <v>24473946</v>
      </c>
      <c r="K190" s="87"/>
      <c r="L190" s="87"/>
    </row>
    <row r="191" spans="2:12" ht="12.75">
      <c r="B191" s="42"/>
      <c r="C191" s="49"/>
      <c r="D191" s="136"/>
      <c r="E191" s="174">
        <v>2</v>
      </c>
      <c r="F191" s="174" t="s">
        <v>123</v>
      </c>
      <c r="G191" s="42"/>
      <c r="H191" s="42"/>
      <c r="I191" s="42"/>
      <c r="J191" s="482">
        <f>-PASH!H16</f>
        <v>3938876</v>
      </c>
      <c r="K191" s="87"/>
      <c r="L191" s="87"/>
    </row>
    <row r="192" spans="2:12" ht="12.75">
      <c r="B192" s="42"/>
      <c r="C192" s="49"/>
      <c r="D192" s="136"/>
      <c r="E192" s="174"/>
      <c r="F192" s="174" t="s">
        <v>124</v>
      </c>
      <c r="G192" s="42"/>
      <c r="H192" s="42"/>
      <c r="I192" s="42"/>
      <c r="J192" s="482"/>
      <c r="K192" s="87"/>
      <c r="L192" s="87"/>
    </row>
    <row r="193" spans="2:12" ht="12.75">
      <c r="B193" s="42"/>
      <c r="C193" s="49"/>
      <c r="D193" s="135"/>
      <c r="E193" s="136"/>
      <c r="F193" s="136"/>
      <c r="G193" s="20"/>
      <c r="H193" s="137"/>
      <c r="I193" s="42"/>
      <c r="J193" s="124"/>
      <c r="K193" s="87"/>
      <c r="L193" s="87"/>
    </row>
    <row r="194" spans="2:12" ht="12.75">
      <c r="B194" s="42"/>
      <c r="C194" s="49" t="s">
        <v>244</v>
      </c>
      <c r="D194" s="135" t="s">
        <v>126</v>
      </c>
      <c r="E194" s="136"/>
      <c r="F194" s="136"/>
      <c r="G194" s="20"/>
      <c r="H194" s="137"/>
      <c r="I194" s="42"/>
      <c r="J194" s="137">
        <f>-PASH!H19</f>
        <v>9489011</v>
      </c>
      <c r="K194" s="87"/>
      <c r="L194" s="87"/>
    </row>
    <row r="195" spans="2:12" ht="12.75">
      <c r="B195" s="42"/>
      <c r="C195" s="49"/>
      <c r="D195" s="136"/>
      <c r="E195" s="4"/>
      <c r="F195" s="138"/>
      <c r="G195" s="20"/>
      <c r="H195" s="21"/>
      <c r="I195" s="42"/>
      <c r="J195" s="124"/>
      <c r="K195" s="87"/>
      <c r="L195" s="87"/>
    </row>
    <row r="196" spans="2:12" ht="12.75">
      <c r="B196" s="42"/>
      <c r="C196" s="49"/>
      <c r="D196" s="136"/>
      <c r="E196" s="4"/>
      <c r="F196" s="138"/>
      <c r="G196" s="20"/>
      <c r="H196" s="21"/>
      <c r="I196" s="42"/>
      <c r="J196" s="124"/>
      <c r="K196" s="87"/>
      <c r="L196" s="87"/>
    </row>
    <row r="197" spans="2:12" ht="12.75">
      <c r="B197" s="42"/>
      <c r="C197" s="49" t="s">
        <v>244</v>
      </c>
      <c r="D197" s="135" t="s">
        <v>137</v>
      </c>
      <c r="E197" s="136"/>
      <c r="F197" s="136"/>
      <c r="G197" s="20"/>
      <c r="H197" s="137"/>
      <c r="I197" s="42"/>
      <c r="J197" s="173">
        <f>SUM(J198:J202)</f>
        <v>-97607341</v>
      </c>
      <c r="K197" s="87"/>
      <c r="L197" s="87"/>
    </row>
    <row r="198" spans="2:12" ht="12.75">
      <c r="B198" s="42"/>
      <c r="C198" s="49"/>
      <c r="D198" s="136"/>
      <c r="E198" s="480">
        <v>1</v>
      </c>
      <c r="F198" s="138" t="s">
        <v>139</v>
      </c>
      <c r="G198" s="20"/>
      <c r="H198" s="21"/>
      <c r="I198" s="42"/>
      <c r="J198" s="481">
        <f>PASH!H33</f>
        <v>-126047924</v>
      </c>
      <c r="K198" s="87"/>
      <c r="L198" s="87"/>
    </row>
    <row r="199" spans="2:12" ht="12.75">
      <c r="B199" s="42"/>
      <c r="C199" s="49"/>
      <c r="D199" s="136"/>
      <c r="E199" s="480"/>
      <c r="F199" s="138" t="s">
        <v>140</v>
      </c>
      <c r="G199" s="20"/>
      <c r="H199" s="137"/>
      <c r="I199" s="42"/>
      <c r="J199" s="481"/>
      <c r="K199" s="87"/>
      <c r="L199" s="87"/>
    </row>
    <row r="200" spans="2:12" ht="12.75">
      <c r="B200" s="42"/>
      <c r="C200" s="49"/>
      <c r="D200" s="136"/>
      <c r="E200" s="20">
        <v>2</v>
      </c>
      <c r="F200" s="138" t="s">
        <v>138</v>
      </c>
      <c r="G200" s="20"/>
      <c r="H200" s="21"/>
      <c r="I200" s="42"/>
      <c r="J200" s="21">
        <f>PASH!H35</f>
        <v>28440583</v>
      </c>
      <c r="K200" s="87"/>
      <c r="L200" s="87"/>
    </row>
    <row r="201" spans="2:12" ht="12.75">
      <c r="B201" s="42"/>
      <c r="C201" s="49"/>
      <c r="D201" s="136"/>
      <c r="E201" s="4"/>
      <c r="F201" s="138" t="s">
        <v>375</v>
      </c>
      <c r="G201" s="20"/>
      <c r="H201" s="21"/>
      <c r="I201" s="42"/>
      <c r="J201" s="124"/>
      <c r="K201" s="87"/>
      <c r="L201" s="87"/>
    </row>
    <row r="202" spans="2:12" ht="12.75">
      <c r="B202" s="42"/>
      <c r="C202" s="49"/>
      <c r="D202" s="136"/>
      <c r="E202" s="20">
        <v>3</v>
      </c>
      <c r="F202" s="138" t="s">
        <v>404</v>
      </c>
      <c r="G202" s="20"/>
      <c r="H202" s="21"/>
      <c r="I202" s="42"/>
      <c r="J202" s="124">
        <f>PASH!H36</f>
        <v>0</v>
      </c>
      <c r="K202" s="87"/>
      <c r="L202" s="87"/>
    </row>
    <row r="203" spans="2:12" ht="12.75">
      <c r="B203" s="42"/>
      <c r="C203" s="49"/>
      <c r="D203" s="136"/>
      <c r="E203" s="4"/>
      <c r="F203" s="138"/>
      <c r="G203" s="20"/>
      <c r="H203" s="21"/>
      <c r="I203" s="42"/>
      <c r="J203" s="124"/>
      <c r="K203" s="87"/>
      <c r="L203" s="87"/>
    </row>
    <row r="204" spans="2:15" ht="12.75">
      <c r="B204" s="42"/>
      <c r="C204" s="52">
        <v>10</v>
      </c>
      <c r="D204" s="50" t="s">
        <v>243</v>
      </c>
      <c r="E204" s="51"/>
      <c r="F204" s="42"/>
      <c r="G204" s="42"/>
      <c r="H204" s="87"/>
      <c r="I204" s="42"/>
      <c r="J204" s="124">
        <f>PASH!H38</f>
        <v>-69598145</v>
      </c>
      <c r="K204" s="157"/>
      <c r="L204" s="87"/>
      <c r="O204" s="153">
        <f>PASH!H38</f>
        <v>-69598145</v>
      </c>
    </row>
    <row r="205" spans="2:12" ht="12.75">
      <c r="B205" s="87"/>
      <c r="C205" s="88"/>
      <c r="D205" s="87"/>
      <c r="E205" s="87"/>
      <c r="F205" s="87"/>
      <c r="G205" s="87"/>
      <c r="H205" s="87"/>
      <c r="I205" s="87"/>
      <c r="J205" s="124"/>
      <c r="K205" s="87"/>
      <c r="L205" s="87"/>
    </row>
    <row r="206" spans="2:12" ht="12.75">
      <c r="B206" s="87"/>
      <c r="C206" s="88"/>
      <c r="D206" s="104" t="s">
        <v>244</v>
      </c>
      <c r="E206" s="105" t="s">
        <v>245</v>
      </c>
      <c r="F206" s="87"/>
      <c r="G206" s="87"/>
      <c r="H206" s="87"/>
      <c r="I206" s="88"/>
      <c r="J206" s="124">
        <f>PASH!H38</f>
        <v>-69598145</v>
      </c>
      <c r="K206" s="87"/>
      <c r="L206" s="87"/>
    </row>
    <row r="207" spans="2:12" ht="12.75">
      <c r="B207" s="87"/>
      <c r="C207" s="88"/>
      <c r="D207" s="104" t="s">
        <v>244</v>
      </c>
      <c r="E207" s="87" t="s">
        <v>246</v>
      </c>
      <c r="F207" s="87"/>
      <c r="G207" s="87"/>
      <c r="H207" s="87"/>
      <c r="I207" s="88"/>
      <c r="J207" s="124">
        <f>I187-J198-J202</f>
        <v>126331092</v>
      </c>
      <c r="K207" s="87"/>
      <c r="L207" s="87"/>
    </row>
    <row r="208" spans="2:12" ht="12.75">
      <c r="B208" s="87"/>
      <c r="C208" s="88"/>
      <c r="D208" s="104" t="s">
        <v>244</v>
      </c>
      <c r="E208" s="87" t="s">
        <v>247</v>
      </c>
      <c r="F208" s="87"/>
      <c r="G208" s="87"/>
      <c r="H208" s="87"/>
      <c r="I208" s="88"/>
      <c r="J208" s="124">
        <f>SUM(J206:J207)</f>
        <v>56732947</v>
      </c>
      <c r="K208" s="87"/>
      <c r="L208" s="87"/>
    </row>
    <row r="209" spans="2:15" ht="12.75">
      <c r="B209" s="87"/>
      <c r="C209" s="88"/>
      <c r="D209" s="104" t="s">
        <v>244</v>
      </c>
      <c r="E209" s="63" t="s">
        <v>248</v>
      </c>
      <c r="F209" s="87"/>
      <c r="G209" s="87"/>
      <c r="H209" s="87"/>
      <c r="I209" s="88"/>
      <c r="J209" s="124">
        <f>J208*0.15</f>
        <v>8509942.049999999</v>
      </c>
      <c r="K209" s="87"/>
      <c r="L209" s="87"/>
      <c r="O209" s="153">
        <f>PASH!H41</f>
        <v>0</v>
      </c>
    </row>
    <row r="210" spans="2:12" ht="13.5">
      <c r="B210" s="87"/>
      <c r="C210" s="143"/>
      <c r="D210" s="144"/>
      <c r="E210" s="54"/>
      <c r="F210" s="54"/>
      <c r="G210" s="54"/>
      <c r="H210" s="54"/>
      <c r="I210" s="54"/>
      <c r="J210" s="145"/>
      <c r="K210" s="54"/>
      <c r="L210" s="87"/>
    </row>
    <row r="211" spans="2:12" ht="13.5">
      <c r="B211" s="87"/>
      <c r="C211" s="143"/>
      <c r="D211" s="144"/>
      <c r="E211" s="54"/>
      <c r="F211" s="54"/>
      <c r="G211" s="54"/>
      <c r="H211" s="54"/>
      <c r="I211" s="54"/>
      <c r="J211" s="145"/>
      <c r="K211" s="54"/>
      <c r="L211" s="87"/>
    </row>
    <row r="212" spans="2:12" ht="12.75">
      <c r="B212" s="87"/>
      <c r="C212" s="143"/>
      <c r="D212" s="479" t="s">
        <v>366</v>
      </c>
      <c r="E212" s="479"/>
      <c r="F212" s="479"/>
      <c r="G212" s="479"/>
      <c r="H212" s="479"/>
      <c r="I212" s="479"/>
      <c r="J212" s="479"/>
      <c r="K212" s="479"/>
      <c r="L212" s="87"/>
    </row>
    <row r="213" spans="2:12" ht="13.5">
      <c r="B213" s="87"/>
      <c r="C213" s="143"/>
      <c r="D213" s="175" t="s">
        <v>367</v>
      </c>
      <c r="E213" s="54"/>
      <c r="F213" s="54"/>
      <c r="G213" s="54"/>
      <c r="H213" s="54"/>
      <c r="I213" s="54"/>
      <c r="J213" s="208">
        <v>183168</v>
      </c>
      <c r="K213" s="54"/>
      <c r="L213" s="87"/>
    </row>
    <row r="214" spans="2:12" ht="13.5">
      <c r="B214" s="87"/>
      <c r="C214" s="143"/>
      <c r="D214" s="144" t="s">
        <v>405</v>
      </c>
      <c r="E214" s="54"/>
      <c r="F214" s="54"/>
      <c r="G214" s="54"/>
      <c r="H214" s="54"/>
      <c r="I214" s="54"/>
      <c r="J214" s="209">
        <f>-J198</f>
        <v>126047924</v>
      </c>
      <c r="K214" s="54"/>
      <c r="L214" s="87"/>
    </row>
    <row r="215" spans="2:12" ht="13.5">
      <c r="B215" s="87"/>
      <c r="C215" s="143"/>
      <c r="D215" s="144" t="s">
        <v>406</v>
      </c>
      <c r="E215" s="54"/>
      <c r="F215" s="54"/>
      <c r="G215" s="54"/>
      <c r="H215" s="54"/>
      <c r="I215" s="54"/>
      <c r="J215" s="209">
        <f>-J202</f>
        <v>0</v>
      </c>
      <c r="K215" s="54"/>
      <c r="L215" s="87"/>
    </row>
    <row r="216" spans="2:12" ht="13.5">
      <c r="B216" s="87"/>
      <c r="C216" s="143"/>
      <c r="D216" s="144"/>
      <c r="E216" s="54"/>
      <c r="F216" s="54"/>
      <c r="G216" s="54"/>
      <c r="H216" s="54"/>
      <c r="I216" s="54"/>
      <c r="J216" s="145"/>
      <c r="K216" s="54"/>
      <c r="L216" s="42"/>
    </row>
    <row r="217" spans="2:12" ht="13.5">
      <c r="B217" s="87"/>
      <c r="C217" s="143">
        <v>11</v>
      </c>
      <c r="D217" s="144" t="s">
        <v>429</v>
      </c>
      <c r="E217" s="54"/>
      <c r="F217" s="54"/>
      <c r="G217" s="54"/>
      <c r="H217" s="54"/>
      <c r="I217" s="54"/>
      <c r="J217" s="145"/>
      <c r="K217" s="54"/>
      <c r="L217" s="42"/>
    </row>
    <row r="218" spans="2:12" ht="13.5">
      <c r="B218" s="87"/>
      <c r="C218" s="143"/>
      <c r="D218" s="54" t="s">
        <v>430</v>
      </c>
      <c r="E218" s="61"/>
      <c r="F218" s="61"/>
      <c r="G218" s="54"/>
      <c r="H218" s="54"/>
      <c r="I218" s="54"/>
      <c r="J218" s="145"/>
      <c r="K218" s="54"/>
      <c r="L218" s="42"/>
    </row>
    <row r="219" spans="2:12" ht="13.5">
      <c r="B219" s="87"/>
      <c r="C219" s="143"/>
      <c r="D219" s="144"/>
      <c r="E219" s="54"/>
      <c r="F219" s="54"/>
      <c r="G219" s="54"/>
      <c r="H219" s="54"/>
      <c r="I219" s="54"/>
      <c r="J219" s="145"/>
      <c r="K219" s="54"/>
      <c r="L219" s="42"/>
    </row>
    <row r="220" spans="2:12" ht="13.5">
      <c r="B220" s="87"/>
      <c r="C220" s="143"/>
      <c r="D220" s="63"/>
      <c r="E220" s="63"/>
      <c r="F220" s="211" t="s">
        <v>409</v>
      </c>
      <c r="G220" s="211" t="s">
        <v>410</v>
      </c>
      <c r="H220" s="212" t="s">
        <v>411</v>
      </c>
      <c r="I220" s="213" t="s">
        <v>412</v>
      </c>
      <c r="J220" s="145"/>
      <c r="K220" s="54"/>
      <c r="L220" s="42"/>
    </row>
    <row r="221" spans="2:12" ht="13.5">
      <c r="B221" s="87"/>
      <c r="C221" s="143"/>
      <c r="D221" s="63"/>
      <c r="E221" s="63"/>
      <c r="F221" s="214"/>
      <c r="G221" s="214" t="s">
        <v>413</v>
      </c>
      <c r="H221" s="215" t="s">
        <v>414</v>
      </c>
      <c r="I221" s="216"/>
      <c r="J221" s="145"/>
      <c r="K221" s="54"/>
      <c r="L221" s="42"/>
    </row>
    <row r="222" spans="2:12" ht="17.25">
      <c r="B222" s="87"/>
      <c r="C222" s="143"/>
      <c r="D222" s="63"/>
      <c r="E222" s="63"/>
      <c r="F222" s="217" t="s">
        <v>415</v>
      </c>
      <c r="G222" s="224">
        <f>SUM(G209:G221)</f>
        <v>0</v>
      </c>
      <c r="H222" s="218">
        <v>12247229</v>
      </c>
      <c r="I222" s="218">
        <v>2449445.8</v>
      </c>
      <c r="J222" s="145"/>
      <c r="K222" s="54"/>
      <c r="L222" s="42"/>
    </row>
    <row r="223" spans="2:12" ht="17.25">
      <c r="B223" s="87"/>
      <c r="C223" s="143"/>
      <c r="D223" s="63"/>
      <c r="E223" s="63"/>
      <c r="F223" s="219" t="s">
        <v>416</v>
      </c>
      <c r="G223" s="224">
        <f aca="true" t="shared" si="3" ref="G223:G233">SUM(G210:G222)</f>
        <v>0</v>
      </c>
      <c r="H223" s="218">
        <v>9901553</v>
      </c>
      <c r="I223" s="218">
        <v>1980310.6</v>
      </c>
      <c r="J223" s="145"/>
      <c r="K223" s="54"/>
      <c r="L223" s="42"/>
    </row>
    <row r="224" spans="2:12" ht="17.25">
      <c r="B224" s="87"/>
      <c r="C224" s="143"/>
      <c r="D224" s="63"/>
      <c r="E224" s="63"/>
      <c r="F224" s="219" t="s">
        <v>417</v>
      </c>
      <c r="G224" s="224">
        <f t="shared" si="3"/>
        <v>0</v>
      </c>
      <c r="H224" s="218">
        <v>23201395</v>
      </c>
      <c r="I224" s="218">
        <v>4640279</v>
      </c>
      <c r="J224" s="145"/>
      <c r="K224" s="54"/>
      <c r="L224" s="42"/>
    </row>
    <row r="225" spans="2:12" ht="17.25">
      <c r="B225" s="87"/>
      <c r="C225" s="143"/>
      <c r="D225" s="63"/>
      <c r="E225" s="63"/>
      <c r="F225" s="219" t="s">
        <v>418</v>
      </c>
      <c r="G225" s="224">
        <f t="shared" si="3"/>
        <v>0</v>
      </c>
      <c r="H225" s="218">
        <v>25123567</v>
      </c>
      <c r="I225" s="218">
        <v>5024713.4</v>
      </c>
      <c r="J225" s="145"/>
      <c r="K225" s="54"/>
      <c r="L225" s="42"/>
    </row>
    <row r="226" spans="2:12" ht="17.25">
      <c r="B226" s="87"/>
      <c r="C226" s="143"/>
      <c r="D226" s="63"/>
      <c r="E226" s="63"/>
      <c r="F226" s="219" t="s">
        <v>419</v>
      </c>
      <c r="G226" s="224">
        <f t="shared" si="3"/>
        <v>0</v>
      </c>
      <c r="H226" s="218">
        <v>286859564</v>
      </c>
      <c r="I226" s="218">
        <v>57371912.8</v>
      </c>
      <c r="J226" s="145"/>
      <c r="K226" s="54"/>
      <c r="L226" s="42"/>
    </row>
    <row r="227" spans="2:12" ht="17.25">
      <c r="B227" s="87"/>
      <c r="C227" s="143"/>
      <c r="D227" s="63"/>
      <c r="E227" s="63"/>
      <c r="F227" s="219" t="s">
        <v>420</v>
      </c>
      <c r="G227" s="224">
        <f t="shared" si="3"/>
        <v>0</v>
      </c>
      <c r="H227" s="218">
        <v>206749233</v>
      </c>
      <c r="I227" s="218">
        <v>41349846.6</v>
      </c>
      <c r="J227" s="145"/>
      <c r="K227" s="54"/>
      <c r="L227" s="42"/>
    </row>
    <row r="228" spans="2:12" ht="17.25">
      <c r="B228" s="87"/>
      <c r="C228" s="143"/>
      <c r="D228" s="63"/>
      <c r="E228" s="63"/>
      <c r="F228" s="219" t="s">
        <v>421</v>
      </c>
      <c r="G228" s="224">
        <f t="shared" si="3"/>
        <v>0</v>
      </c>
      <c r="H228" s="218">
        <v>11191211</v>
      </c>
      <c r="I228" s="218">
        <v>2238242.2</v>
      </c>
      <c r="J228" s="145"/>
      <c r="K228" s="54"/>
      <c r="L228" s="42"/>
    </row>
    <row r="229" spans="2:12" ht="17.25">
      <c r="B229" s="87"/>
      <c r="C229" s="143"/>
      <c r="D229" s="63"/>
      <c r="E229" s="63"/>
      <c r="F229" s="219" t="s">
        <v>422</v>
      </c>
      <c r="G229" s="224">
        <f t="shared" si="3"/>
        <v>0</v>
      </c>
      <c r="H229" s="218">
        <v>13700592</v>
      </c>
      <c r="I229" s="218">
        <v>2740118.4</v>
      </c>
      <c r="J229" s="145"/>
      <c r="K229" s="54"/>
      <c r="L229" s="42"/>
    </row>
    <row r="230" spans="2:12" ht="17.25">
      <c r="B230" s="87"/>
      <c r="C230" s="143"/>
      <c r="D230" s="63"/>
      <c r="E230" s="63"/>
      <c r="F230" s="219" t="s">
        <v>423</v>
      </c>
      <c r="G230" s="224">
        <f t="shared" si="3"/>
        <v>0</v>
      </c>
      <c r="H230" s="218">
        <v>57771584</v>
      </c>
      <c r="I230" s="218">
        <v>11554316.8</v>
      </c>
      <c r="J230" s="145"/>
      <c r="K230" s="54"/>
      <c r="L230" s="42"/>
    </row>
    <row r="231" spans="2:12" ht="17.25">
      <c r="B231" s="87"/>
      <c r="C231" s="143"/>
      <c r="D231" s="63"/>
      <c r="E231" s="63"/>
      <c r="F231" s="219" t="s">
        <v>424</v>
      </c>
      <c r="G231" s="224">
        <f t="shared" si="3"/>
        <v>0</v>
      </c>
      <c r="H231" s="218">
        <v>35570680</v>
      </c>
      <c r="I231" s="218">
        <v>7114136</v>
      </c>
      <c r="J231" s="145"/>
      <c r="K231" s="54"/>
      <c r="L231" s="42"/>
    </row>
    <row r="232" spans="2:12" ht="17.25">
      <c r="B232" s="87"/>
      <c r="C232" s="143"/>
      <c r="D232" s="63"/>
      <c r="E232" s="63"/>
      <c r="F232" s="219" t="s">
        <v>425</v>
      </c>
      <c r="G232" s="224">
        <f t="shared" si="3"/>
        <v>0</v>
      </c>
      <c r="H232" s="218">
        <v>43943430.6</v>
      </c>
      <c r="I232" s="218">
        <v>8788686.12</v>
      </c>
      <c r="J232" s="145"/>
      <c r="K232" s="54"/>
      <c r="L232" s="42"/>
    </row>
    <row r="233" spans="2:12" ht="13.5">
      <c r="B233" s="87"/>
      <c r="C233" s="143"/>
      <c r="D233" s="63"/>
      <c r="E233" s="63"/>
      <c r="F233" s="219" t="s">
        <v>426</v>
      </c>
      <c r="G233" s="224">
        <f t="shared" si="3"/>
        <v>0</v>
      </c>
      <c r="H233" s="185">
        <v>63116145</v>
      </c>
      <c r="I233" s="221">
        <v>12623229</v>
      </c>
      <c r="J233" s="145"/>
      <c r="K233" s="54"/>
      <c r="L233" s="42"/>
    </row>
    <row r="234" spans="2:12" ht="13.5">
      <c r="B234" s="87"/>
      <c r="C234" s="143"/>
      <c r="D234" s="63"/>
      <c r="E234" s="63"/>
      <c r="F234" s="219"/>
      <c r="G234" s="220"/>
      <c r="H234" s="185"/>
      <c r="I234" s="222"/>
      <c r="J234" s="145"/>
      <c r="K234" s="54"/>
      <c r="L234" s="42"/>
    </row>
    <row r="235" spans="2:12" ht="13.5">
      <c r="B235" s="87"/>
      <c r="C235" s="143"/>
      <c r="D235" s="63"/>
      <c r="E235" s="63"/>
      <c r="F235" s="223" t="s">
        <v>427</v>
      </c>
      <c r="G235" s="224">
        <f>SUM(G222:G234)</f>
        <v>0</v>
      </c>
      <c r="H235" s="224">
        <f>SUM(H222:H234)</f>
        <v>789376183.6</v>
      </c>
      <c r="I235" s="224">
        <f>SUM(I222:I234)</f>
        <v>157875236.72</v>
      </c>
      <c r="J235" s="145"/>
      <c r="K235" s="54"/>
      <c r="L235" s="42"/>
    </row>
    <row r="236" spans="2:12" ht="13.5">
      <c r="B236" s="87"/>
      <c r="C236" s="143"/>
      <c r="D236" s="63"/>
      <c r="E236" s="63"/>
      <c r="F236" s="225" t="s">
        <v>327</v>
      </c>
      <c r="G236" s="224">
        <f>J216</f>
        <v>0</v>
      </c>
      <c r="H236" s="224">
        <f>J161</f>
        <v>789376181</v>
      </c>
      <c r="I236" s="224">
        <f>L216</f>
        <v>0</v>
      </c>
      <c r="J236" s="145"/>
      <c r="K236" s="54"/>
      <c r="L236" s="42"/>
    </row>
    <row r="237" spans="2:12" ht="13.5">
      <c r="B237" s="87"/>
      <c r="C237" s="143"/>
      <c r="D237" s="63"/>
      <c r="E237" s="63"/>
      <c r="F237" s="225" t="s">
        <v>428</v>
      </c>
      <c r="G237" s="226">
        <v>0</v>
      </c>
      <c r="H237" s="227">
        <f>H235-H236</f>
        <v>2.600000023841858</v>
      </c>
      <c r="I237" s="72"/>
      <c r="J237" s="145"/>
      <c r="K237" s="54"/>
      <c r="L237" s="42"/>
    </row>
    <row r="238" spans="2:12" ht="13.5">
      <c r="B238" s="87"/>
      <c r="C238" s="143"/>
      <c r="D238" s="144"/>
      <c r="E238" s="54"/>
      <c r="F238" s="54"/>
      <c r="G238" s="54"/>
      <c r="H238" s="54"/>
      <c r="I238" s="54"/>
      <c r="J238" s="145"/>
      <c r="K238" s="54"/>
      <c r="L238" s="42"/>
    </row>
    <row r="239" spans="2:12" ht="13.5">
      <c r="B239" s="87"/>
      <c r="C239" s="143"/>
      <c r="D239" s="54" t="s">
        <v>431</v>
      </c>
      <c r="E239" s="54"/>
      <c r="F239" s="54"/>
      <c r="G239" s="54"/>
      <c r="H239" s="54"/>
      <c r="I239" s="54"/>
      <c r="J239" s="145"/>
      <c r="K239" s="54"/>
      <c r="L239" s="42"/>
    </row>
    <row r="240" spans="2:12" ht="14.25" thickBot="1">
      <c r="B240" s="87"/>
      <c r="C240" s="143"/>
      <c r="D240" s="144"/>
      <c r="E240" s="54"/>
      <c r="F240" s="54"/>
      <c r="G240" s="54"/>
      <c r="H240" s="54"/>
      <c r="I240" s="54"/>
      <c r="J240" s="145"/>
      <c r="K240" s="54"/>
      <c r="L240" s="42"/>
    </row>
    <row r="241" spans="2:12" ht="13.5">
      <c r="B241" s="87"/>
      <c r="C241" s="143"/>
      <c r="D241" s="228" t="s">
        <v>432</v>
      </c>
      <c r="E241" s="229" t="s">
        <v>433</v>
      </c>
      <c r="F241" s="229" t="s">
        <v>433</v>
      </c>
      <c r="G241" s="229" t="s">
        <v>433</v>
      </c>
      <c r="H241" s="229" t="s">
        <v>433</v>
      </c>
      <c r="I241" s="229" t="s">
        <v>433</v>
      </c>
      <c r="J241" s="145"/>
      <c r="K241" s="54"/>
      <c r="L241" s="42"/>
    </row>
    <row r="242" spans="2:12" ht="13.5">
      <c r="B242" s="87"/>
      <c r="C242" s="143"/>
      <c r="D242" s="230" t="s">
        <v>434</v>
      </c>
      <c r="E242" s="231">
        <v>13</v>
      </c>
      <c r="F242" s="231">
        <v>14</v>
      </c>
      <c r="G242" s="231">
        <v>15</v>
      </c>
      <c r="H242" s="231">
        <v>16</v>
      </c>
      <c r="I242" s="231">
        <v>17</v>
      </c>
      <c r="J242" s="145"/>
      <c r="K242" s="54"/>
      <c r="L242" s="42"/>
    </row>
    <row r="243" spans="2:12" ht="13.5">
      <c r="B243" s="87"/>
      <c r="C243" s="143"/>
      <c r="D243" s="232"/>
      <c r="E243" s="233" t="s">
        <v>435</v>
      </c>
      <c r="F243" s="233" t="s">
        <v>436</v>
      </c>
      <c r="G243" s="233" t="s">
        <v>437</v>
      </c>
      <c r="H243" s="233" t="s">
        <v>438</v>
      </c>
      <c r="I243" s="233" t="s">
        <v>439</v>
      </c>
      <c r="J243" s="145"/>
      <c r="K243" s="54"/>
      <c r="L243" s="42"/>
    </row>
    <row r="244" spans="2:12" ht="13.5">
      <c r="B244" s="87"/>
      <c r="C244" s="143"/>
      <c r="D244" s="232"/>
      <c r="E244" s="233" t="s">
        <v>440</v>
      </c>
      <c r="F244" s="233"/>
      <c r="G244" s="233"/>
      <c r="H244" s="233"/>
      <c r="I244" s="233"/>
      <c r="J244" s="145"/>
      <c r="K244" s="54"/>
      <c r="L244" s="42"/>
    </row>
    <row r="245" spans="2:12" ht="13.5">
      <c r="B245" s="87"/>
      <c r="C245" s="143"/>
      <c r="D245" s="234" t="s">
        <v>441</v>
      </c>
      <c r="E245" s="235">
        <v>80000</v>
      </c>
      <c r="F245" s="235"/>
      <c r="G245" s="235">
        <v>0</v>
      </c>
      <c r="H245" s="235">
        <v>12646012</v>
      </c>
      <c r="I245" s="235">
        <v>2529202.4000000004</v>
      </c>
      <c r="J245" s="145"/>
      <c r="K245" s="54"/>
      <c r="L245" s="42"/>
    </row>
    <row r="246" spans="2:12" ht="13.5">
      <c r="B246" s="87"/>
      <c r="C246" s="143"/>
      <c r="D246" s="234" t="s">
        <v>442</v>
      </c>
      <c r="E246" s="235"/>
      <c r="F246" s="235">
        <v>433332</v>
      </c>
      <c r="G246" s="235">
        <v>86666.40000000001</v>
      </c>
      <c r="H246" s="235">
        <v>13642411</v>
      </c>
      <c r="I246" s="235">
        <v>2728482.2</v>
      </c>
      <c r="J246" s="145"/>
      <c r="K246" s="54"/>
      <c r="L246" s="42"/>
    </row>
    <row r="247" spans="2:12" ht="13.5">
      <c r="B247" s="87"/>
      <c r="C247" s="143"/>
      <c r="D247" s="234" t="s">
        <v>443</v>
      </c>
      <c r="E247" s="235">
        <v>200</v>
      </c>
      <c r="F247" s="235"/>
      <c r="G247" s="235">
        <v>0</v>
      </c>
      <c r="H247" s="235">
        <v>19486169</v>
      </c>
      <c r="I247" s="235">
        <v>3897233.8000000003</v>
      </c>
      <c r="J247" s="145"/>
      <c r="K247" s="54"/>
      <c r="L247" s="42"/>
    </row>
    <row r="248" spans="2:12" ht="13.5">
      <c r="B248" s="87"/>
      <c r="C248" s="143"/>
      <c r="D248" s="234" t="s">
        <v>444</v>
      </c>
      <c r="E248" s="235">
        <v>12600</v>
      </c>
      <c r="F248" s="235">
        <v>746041</v>
      </c>
      <c r="G248" s="235">
        <v>149208.2</v>
      </c>
      <c r="H248" s="235">
        <v>364086189</v>
      </c>
      <c r="I248" s="235">
        <v>72817237.8</v>
      </c>
      <c r="J248" s="145"/>
      <c r="K248" s="54"/>
      <c r="L248" s="42"/>
    </row>
    <row r="249" spans="2:12" ht="13.5">
      <c r="B249" s="87"/>
      <c r="C249" s="143"/>
      <c r="D249" s="234" t="s">
        <v>445</v>
      </c>
      <c r="E249" s="235">
        <v>42294</v>
      </c>
      <c r="F249" s="235"/>
      <c r="G249" s="235">
        <v>0</v>
      </c>
      <c r="H249" s="235">
        <v>2275302</v>
      </c>
      <c r="I249" s="235">
        <v>455060.4</v>
      </c>
      <c r="J249" s="145"/>
      <c r="K249" s="54"/>
      <c r="L249" s="42"/>
    </row>
    <row r="250" spans="2:12" ht="13.5">
      <c r="B250" s="87"/>
      <c r="C250" s="143"/>
      <c r="D250" s="234" t="s">
        <v>446</v>
      </c>
      <c r="E250" s="235"/>
      <c r="F250" s="235">
        <v>3837271</v>
      </c>
      <c r="G250" s="235">
        <v>767454.2000000001</v>
      </c>
      <c r="H250" s="235">
        <v>144887451</v>
      </c>
      <c r="I250" s="235">
        <v>28977490.200000003</v>
      </c>
      <c r="J250" s="145"/>
      <c r="K250" s="54"/>
      <c r="L250" s="42"/>
    </row>
    <row r="251" spans="2:12" ht="13.5">
      <c r="B251" s="87"/>
      <c r="C251" s="143"/>
      <c r="D251" s="234" t="s">
        <v>447</v>
      </c>
      <c r="E251" s="235"/>
      <c r="F251" s="235"/>
      <c r="G251" s="235">
        <v>0</v>
      </c>
      <c r="H251" s="235">
        <v>12711528</v>
      </c>
      <c r="I251" s="235">
        <v>2542305.6</v>
      </c>
      <c r="J251" s="145"/>
      <c r="K251" s="54"/>
      <c r="L251" s="42"/>
    </row>
    <row r="252" spans="2:12" ht="13.5">
      <c r="B252" s="87"/>
      <c r="C252" s="143"/>
      <c r="D252" s="234" t="s">
        <v>448</v>
      </c>
      <c r="E252" s="235">
        <v>15000</v>
      </c>
      <c r="F252" s="235">
        <v>766246</v>
      </c>
      <c r="G252" s="235">
        <v>153249.2</v>
      </c>
      <c r="H252" s="235">
        <v>26250955</v>
      </c>
      <c r="I252" s="235">
        <v>5250191</v>
      </c>
      <c r="J252" s="145"/>
      <c r="K252" s="54"/>
      <c r="L252" s="42"/>
    </row>
    <row r="253" spans="2:12" ht="13.5">
      <c r="B253" s="87"/>
      <c r="C253" s="143"/>
      <c r="D253" s="234" t="s">
        <v>449</v>
      </c>
      <c r="E253" s="235">
        <v>30000</v>
      </c>
      <c r="F253" s="235">
        <v>2573855</v>
      </c>
      <c r="G253" s="235">
        <v>514771</v>
      </c>
      <c r="H253" s="235">
        <v>1515448</v>
      </c>
      <c r="I253" s="235">
        <v>303089.60000000003</v>
      </c>
      <c r="J253" s="145"/>
      <c r="K253" s="54"/>
      <c r="L253" s="42"/>
    </row>
    <row r="254" spans="2:12" ht="13.5">
      <c r="B254" s="87"/>
      <c r="C254" s="143"/>
      <c r="D254" s="234" t="s">
        <v>450</v>
      </c>
      <c r="E254" s="235"/>
      <c r="F254" s="235">
        <v>2132113</v>
      </c>
      <c r="G254" s="235">
        <v>426422.60000000003</v>
      </c>
      <c r="H254" s="235">
        <v>2455137</v>
      </c>
      <c r="I254" s="235">
        <v>491027.4</v>
      </c>
      <c r="J254" s="145"/>
      <c r="K254" s="54"/>
      <c r="L254" s="42"/>
    </row>
    <row r="255" spans="2:12" ht="13.5">
      <c r="B255" s="87"/>
      <c r="C255" s="143"/>
      <c r="D255" s="234" t="s">
        <v>451</v>
      </c>
      <c r="E255" s="235"/>
      <c r="F255" s="235">
        <v>991859</v>
      </c>
      <c r="G255" s="235">
        <v>198371.80000000002</v>
      </c>
      <c r="H255" s="235">
        <v>8901888</v>
      </c>
      <c r="I255" s="235">
        <v>1780377.6</v>
      </c>
      <c r="J255" s="145"/>
      <c r="K255" s="54"/>
      <c r="L255" s="42"/>
    </row>
    <row r="256" spans="2:12" ht="13.5">
      <c r="B256" s="87"/>
      <c r="C256" s="143"/>
      <c r="D256" s="234" t="s">
        <v>452</v>
      </c>
      <c r="E256" s="235">
        <v>1215000</v>
      </c>
      <c r="F256" s="235">
        <v>949578</v>
      </c>
      <c r="G256" s="235">
        <v>189915.6</v>
      </c>
      <c r="H256" s="235">
        <v>8448910</v>
      </c>
      <c r="I256" s="235">
        <v>1689782</v>
      </c>
      <c r="J256" s="145"/>
      <c r="K256" s="54"/>
      <c r="L256" s="42"/>
    </row>
    <row r="257" spans="2:12" ht="13.5">
      <c r="B257" s="87"/>
      <c r="C257" s="143"/>
      <c r="D257" s="234" t="s">
        <v>453</v>
      </c>
      <c r="E257" s="235">
        <v>1395094</v>
      </c>
      <c r="F257" s="235">
        <v>12430295</v>
      </c>
      <c r="G257" s="235">
        <v>2486059</v>
      </c>
      <c r="H257" s="235">
        <v>617307400</v>
      </c>
      <c r="I257" s="235">
        <v>123461480</v>
      </c>
      <c r="J257" s="145"/>
      <c r="K257" s="54"/>
      <c r="L257" s="42"/>
    </row>
    <row r="258" spans="2:12" ht="13.5">
      <c r="B258" s="87"/>
      <c r="C258" s="143"/>
      <c r="D258" s="144"/>
      <c r="E258" s="54"/>
      <c r="F258" s="54"/>
      <c r="G258" s="54"/>
      <c r="H258" s="54"/>
      <c r="I258" s="54"/>
      <c r="J258" s="145"/>
      <c r="K258" s="54"/>
      <c r="L258" s="42"/>
    </row>
    <row r="259" spans="2:12" ht="13.5">
      <c r="B259" s="87"/>
      <c r="C259" s="143"/>
      <c r="D259" s="144"/>
      <c r="E259" s="54" t="s">
        <v>454</v>
      </c>
      <c r="F259" s="54"/>
      <c r="G259" s="54"/>
      <c r="H259" s="236">
        <f>E257+F257+H257</f>
        <v>631132789</v>
      </c>
      <c r="I259" s="54"/>
      <c r="J259" s="145"/>
      <c r="K259" s="54"/>
      <c r="L259" s="42"/>
    </row>
    <row r="260" spans="2:12" ht="13.5">
      <c r="B260" s="87"/>
      <c r="C260" s="143"/>
      <c r="D260" s="144"/>
      <c r="E260" s="54" t="s">
        <v>455</v>
      </c>
      <c r="F260" s="54"/>
      <c r="G260" s="54"/>
      <c r="H260" s="237">
        <f>-aam!D10</f>
        <v>-5607572</v>
      </c>
      <c r="I260" s="54"/>
      <c r="J260" s="145"/>
      <c r="K260" s="54"/>
      <c r="L260" s="42"/>
    </row>
    <row r="261" spans="2:12" ht="13.5">
      <c r="B261" s="87"/>
      <c r="C261" s="143"/>
      <c r="D261" s="144"/>
      <c r="E261" s="54" t="s">
        <v>456</v>
      </c>
      <c r="F261" s="54"/>
      <c r="G261" s="54"/>
      <c r="H261" s="54">
        <f>I173+I175</f>
        <v>71591718</v>
      </c>
      <c r="I261" s="54"/>
      <c r="J261" s="145"/>
      <c r="K261" s="54"/>
      <c r="L261" s="42"/>
    </row>
    <row r="262" spans="2:12" ht="13.5">
      <c r="B262" s="87"/>
      <c r="C262" s="143"/>
      <c r="D262" s="144"/>
      <c r="E262" s="54" t="s">
        <v>466</v>
      </c>
      <c r="F262" s="54"/>
      <c r="G262" s="54"/>
      <c r="H262" s="54">
        <v>-242900</v>
      </c>
      <c r="I262" s="54"/>
      <c r="J262" s="145"/>
      <c r="K262" s="54"/>
      <c r="L262" s="42"/>
    </row>
    <row r="263" spans="2:12" ht="13.5">
      <c r="B263" s="87"/>
      <c r="C263" s="143"/>
      <c r="D263" s="144"/>
      <c r="E263" s="54" t="s">
        <v>457</v>
      </c>
      <c r="F263" s="54"/>
      <c r="G263" s="54"/>
      <c r="H263" s="236">
        <f>SUM(H259:H262)</f>
        <v>696874035</v>
      </c>
      <c r="I263" s="54"/>
      <c r="J263" s="145"/>
      <c r="K263" s="54"/>
      <c r="L263" s="42"/>
    </row>
    <row r="264" spans="2:12" ht="13.5">
      <c r="B264" s="87"/>
      <c r="C264" s="143"/>
      <c r="D264" s="144"/>
      <c r="E264" s="54"/>
      <c r="F264" s="54"/>
      <c r="G264" s="54"/>
      <c r="H264" s="54"/>
      <c r="I264" s="54"/>
      <c r="J264" s="145"/>
      <c r="K264" s="54"/>
      <c r="L264" s="42"/>
    </row>
    <row r="265" spans="2:12" ht="13.5">
      <c r="B265" s="87"/>
      <c r="C265" s="143"/>
      <c r="D265" s="144"/>
      <c r="E265" s="54" t="s">
        <v>458</v>
      </c>
      <c r="F265" s="54" t="str">
        <f>F171</f>
        <v>Lënda e parë dhe materiale të konsumueshme </v>
      </c>
      <c r="G265" s="54"/>
      <c r="H265" s="54"/>
      <c r="I265" s="237">
        <f>J171</f>
        <v>697593093</v>
      </c>
      <c r="J265" s="145"/>
      <c r="K265" s="54"/>
      <c r="L265" s="42"/>
    </row>
    <row r="266" spans="2:12" ht="13.5">
      <c r="B266" s="87"/>
      <c r="C266" s="143"/>
      <c r="D266" s="144"/>
      <c r="E266" s="54"/>
      <c r="F266" s="54" t="s">
        <v>459</v>
      </c>
      <c r="G266" s="54"/>
      <c r="H266" s="54"/>
      <c r="I266" s="237">
        <f>J177</f>
        <v>2988510</v>
      </c>
      <c r="J266" s="145"/>
      <c r="K266" s="54"/>
      <c r="L266" s="42"/>
    </row>
    <row r="267" spans="2:12" ht="13.5">
      <c r="B267" s="87"/>
      <c r="C267" s="143"/>
      <c r="D267" s="144"/>
      <c r="E267" s="54"/>
      <c r="F267" s="54" t="s">
        <v>460</v>
      </c>
      <c r="G267" s="54"/>
      <c r="H267" s="54"/>
      <c r="I267" s="54"/>
      <c r="J267" s="145"/>
      <c r="K267" s="54"/>
      <c r="L267" s="42"/>
    </row>
    <row r="268" spans="2:12" ht="13.5">
      <c r="B268" s="87"/>
      <c r="C268" s="143"/>
      <c r="D268" s="144"/>
      <c r="E268" s="54"/>
      <c r="F268" s="54" t="s">
        <v>461</v>
      </c>
      <c r="G268" s="54"/>
      <c r="H268" s="54"/>
      <c r="I268" s="237">
        <f>-I184</f>
        <v>-63277</v>
      </c>
      <c r="J268" s="145"/>
      <c r="K268" s="54"/>
      <c r="L268" s="42"/>
    </row>
    <row r="269" spans="2:12" ht="13.5">
      <c r="B269" s="87"/>
      <c r="C269" s="143"/>
      <c r="D269" s="144"/>
      <c r="E269" s="54"/>
      <c r="F269" s="54" t="s">
        <v>462</v>
      </c>
      <c r="G269" s="54"/>
      <c r="H269" s="54"/>
      <c r="I269" s="237">
        <f>-I185</f>
        <v>-170120</v>
      </c>
      <c r="J269" s="145"/>
      <c r="K269" s="54"/>
      <c r="L269" s="42"/>
    </row>
    <row r="270" spans="2:12" ht="13.5">
      <c r="B270" s="87"/>
      <c r="C270" s="143"/>
      <c r="D270" s="144"/>
      <c r="E270" s="54"/>
      <c r="F270" s="54" t="s">
        <v>463</v>
      </c>
      <c r="G270" s="54"/>
      <c r="H270" s="54"/>
      <c r="I270" s="54">
        <f>-I187</f>
        <v>-283168</v>
      </c>
      <c r="J270" s="145"/>
      <c r="K270" s="54"/>
      <c r="L270" s="42"/>
    </row>
    <row r="271" spans="2:12" ht="13.5">
      <c r="B271" s="87"/>
      <c r="C271" s="143"/>
      <c r="D271" s="144"/>
      <c r="E271" s="54"/>
      <c r="F271" s="54"/>
      <c r="G271" s="54"/>
      <c r="H271" s="54"/>
      <c r="I271" s="54"/>
      <c r="J271" s="145"/>
      <c r="K271" s="54"/>
      <c r="L271" s="42"/>
    </row>
    <row r="272" spans="2:12" ht="13.5">
      <c r="B272" s="87"/>
      <c r="C272" s="143"/>
      <c r="D272" s="144"/>
      <c r="E272" s="54"/>
      <c r="F272" s="54" t="s">
        <v>464</v>
      </c>
      <c r="G272" s="54"/>
      <c r="H272" s="54"/>
      <c r="I272" s="237">
        <f>SUM(I265:I271)</f>
        <v>700065038</v>
      </c>
      <c r="J272" s="145"/>
      <c r="K272" s="54"/>
      <c r="L272" s="42"/>
    </row>
    <row r="273" spans="2:12" ht="13.5">
      <c r="B273" s="87"/>
      <c r="C273" s="143"/>
      <c r="D273" s="144"/>
      <c r="E273" s="54"/>
      <c r="F273" s="54" t="s">
        <v>465</v>
      </c>
      <c r="G273" s="54"/>
      <c r="H273" s="54"/>
      <c r="I273" s="236">
        <f>H263-I272</f>
        <v>-3191003</v>
      </c>
      <c r="J273" s="145"/>
      <c r="K273" s="54"/>
      <c r="L273" s="42"/>
    </row>
    <row r="274" spans="2:12" ht="13.5">
      <c r="B274" s="87"/>
      <c r="C274" s="143"/>
      <c r="D274" s="144"/>
      <c r="E274" s="54"/>
      <c r="F274" s="54"/>
      <c r="G274" s="54"/>
      <c r="H274" s="54"/>
      <c r="I274" s="54"/>
      <c r="J274" s="145"/>
      <c r="K274" s="54"/>
      <c r="L274" s="42"/>
    </row>
    <row r="275" spans="2:12" ht="13.5">
      <c r="B275" s="87"/>
      <c r="C275" s="143"/>
      <c r="D275" s="144"/>
      <c r="E275" s="54"/>
      <c r="F275" s="54"/>
      <c r="G275" s="54"/>
      <c r="H275" s="54"/>
      <c r="I275" s="54"/>
      <c r="J275" s="145"/>
      <c r="K275" s="54"/>
      <c r="L275" s="42"/>
    </row>
    <row r="276" spans="2:12" ht="18">
      <c r="B276" s="87"/>
      <c r="C276" s="88"/>
      <c r="D276" s="147" t="s">
        <v>308</v>
      </c>
      <c r="E276" s="54"/>
      <c r="F276" s="54"/>
      <c r="G276" s="54"/>
      <c r="H276" s="54"/>
      <c r="I276" s="54"/>
      <c r="J276" s="129"/>
      <c r="K276" s="54"/>
      <c r="L276" s="87"/>
    </row>
    <row r="277" spans="2:12" ht="13.5">
      <c r="B277" s="87"/>
      <c r="C277" s="49"/>
      <c r="D277" s="54"/>
      <c r="E277" s="54"/>
      <c r="F277" s="54"/>
      <c r="G277" s="54"/>
      <c r="H277" s="54"/>
      <c r="I277" s="54"/>
      <c r="J277" s="129"/>
      <c r="K277" s="54"/>
      <c r="L277" s="87"/>
    </row>
    <row r="278" spans="2:12" ht="13.5">
      <c r="B278" s="87"/>
      <c r="C278" s="49"/>
      <c r="D278" s="32" t="s">
        <v>309</v>
      </c>
      <c r="E278" s="54"/>
      <c r="F278" s="54"/>
      <c r="G278" s="54"/>
      <c r="H278" s="54"/>
      <c r="I278" s="54"/>
      <c r="J278" s="139">
        <f>Aktivet!G6</f>
        <v>7385584</v>
      </c>
      <c r="K278" s="54"/>
      <c r="L278" s="87"/>
    </row>
    <row r="279" spans="2:12" ht="13.5">
      <c r="B279" s="87"/>
      <c r="C279" s="49"/>
      <c r="D279" s="54"/>
      <c r="E279" s="54"/>
      <c r="F279" s="54"/>
      <c r="G279" s="54"/>
      <c r="H279" s="54"/>
      <c r="I279" s="54"/>
      <c r="J279" s="129"/>
      <c r="K279" s="54"/>
      <c r="L279" s="87"/>
    </row>
    <row r="280" spans="2:12" ht="13.5">
      <c r="B280" s="87"/>
      <c r="C280" s="49"/>
      <c r="D280" s="32" t="s">
        <v>310</v>
      </c>
      <c r="E280" s="54"/>
      <c r="F280" s="54"/>
      <c r="G280" s="54"/>
      <c r="H280" s="54"/>
      <c r="I280" s="54"/>
      <c r="J280" s="129"/>
      <c r="K280" s="54"/>
      <c r="L280" s="87"/>
    </row>
    <row r="281" spans="2:12" ht="13.5">
      <c r="B281" s="87"/>
      <c r="C281" s="49"/>
      <c r="D281" s="54"/>
      <c r="E281" s="54"/>
      <c r="F281" s="54"/>
      <c r="G281" s="54"/>
      <c r="H281" s="54"/>
      <c r="I281" s="54"/>
      <c r="J281" s="129"/>
      <c r="K281" s="54"/>
      <c r="L281" s="87"/>
    </row>
    <row r="282" spans="2:12" ht="13.5">
      <c r="B282" s="87"/>
      <c r="C282" s="49"/>
      <c r="D282" s="54"/>
      <c r="E282" s="32" t="s">
        <v>311</v>
      </c>
      <c r="F282" s="54"/>
      <c r="G282" s="54"/>
      <c r="H282" s="54"/>
      <c r="I282" s="54"/>
      <c r="J282" s="129"/>
      <c r="K282" s="54"/>
      <c r="L282" s="87"/>
    </row>
    <row r="283" spans="2:12" ht="13.5">
      <c r="B283" s="87"/>
      <c r="C283" s="49"/>
      <c r="D283" s="54"/>
      <c r="E283" s="54"/>
      <c r="F283" s="54"/>
      <c r="G283" s="54"/>
      <c r="H283" s="54"/>
      <c r="I283" s="54"/>
      <c r="J283" s="129"/>
      <c r="K283" s="54"/>
      <c r="L283" s="87"/>
    </row>
    <row r="284" spans="2:12" ht="13.5">
      <c r="B284" s="87"/>
      <c r="C284" s="49"/>
      <c r="D284" s="34" t="s">
        <v>332</v>
      </c>
      <c r="E284" s="35"/>
      <c r="F284" s="35"/>
      <c r="G284" s="35"/>
      <c r="H284" s="35"/>
      <c r="I284" s="150"/>
      <c r="J284" s="130"/>
      <c r="K284" s="54"/>
      <c r="L284" s="87"/>
    </row>
    <row r="285" spans="2:12" ht="13.5">
      <c r="B285" s="87"/>
      <c r="C285" s="49"/>
      <c r="D285" s="34" t="s">
        <v>312</v>
      </c>
      <c r="E285" s="35"/>
      <c r="F285" s="35"/>
      <c r="G285" s="35"/>
      <c r="H285" s="35"/>
      <c r="I285" s="150"/>
      <c r="J285" s="130">
        <f>'Fluksi '!D11</f>
        <v>0</v>
      </c>
      <c r="K285" s="54"/>
      <c r="L285" s="87"/>
    </row>
    <row r="286" spans="2:12" ht="13.5">
      <c r="B286" s="87"/>
      <c r="C286" s="49"/>
      <c r="D286" s="36" t="s">
        <v>306</v>
      </c>
      <c r="E286" s="35"/>
      <c r="F286" s="35"/>
      <c r="G286" s="35"/>
      <c r="H286" s="35"/>
      <c r="I286" s="150"/>
      <c r="J286" s="130"/>
      <c r="K286" s="54"/>
      <c r="L286" s="87"/>
    </row>
    <row r="287" spans="2:12" ht="13.5">
      <c r="B287" s="87"/>
      <c r="C287" s="49"/>
      <c r="D287" s="34" t="s">
        <v>313</v>
      </c>
      <c r="E287" s="35"/>
      <c r="F287" s="35"/>
      <c r="G287" s="35"/>
      <c r="H287" s="35"/>
      <c r="I287" s="150"/>
      <c r="J287" s="130">
        <f>'Fluksi '!D17</f>
        <v>132640016.75352001</v>
      </c>
      <c r="K287" s="54"/>
      <c r="L287" s="87"/>
    </row>
    <row r="288" spans="2:12" ht="13.5">
      <c r="B288" s="87"/>
      <c r="C288" s="49"/>
      <c r="D288" s="34" t="s">
        <v>368</v>
      </c>
      <c r="E288" s="35"/>
      <c r="F288" s="35"/>
      <c r="G288" s="35"/>
      <c r="H288" s="35"/>
      <c r="I288" s="150"/>
      <c r="J288" s="151">
        <f>'Fluksi '!D16</f>
        <v>159592598</v>
      </c>
      <c r="K288" s="54"/>
      <c r="L288" s="87"/>
    </row>
    <row r="289" spans="2:12" ht="13.5">
      <c r="B289" s="87"/>
      <c r="C289" s="49"/>
      <c r="D289" s="5" t="s">
        <v>168</v>
      </c>
      <c r="E289" s="35"/>
      <c r="F289" s="35"/>
      <c r="G289" s="35"/>
      <c r="H289" s="35"/>
      <c r="I289" s="150"/>
      <c r="J289" s="151">
        <f>'Fluksi '!D24</f>
        <v>0</v>
      </c>
      <c r="K289" s="54"/>
      <c r="L289" s="87"/>
    </row>
    <row r="290" spans="1:12" s="62" customFormat="1" ht="24.75" customHeight="1">
      <c r="A290" s="57"/>
      <c r="B290" s="86"/>
      <c r="C290" s="58"/>
      <c r="D290" s="36" t="s">
        <v>314</v>
      </c>
      <c r="E290" s="59"/>
      <c r="F290" s="59"/>
      <c r="G290" s="59"/>
      <c r="H290" s="59"/>
      <c r="I290" s="60"/>
      <c r="J290" s="131">
        <f>SUM(J284:J289)</f>
        <v>292232614.75352</v>
      </c>
      <c r="K290" s="106"/>
      <c r="L290" s="86"/>
    </row>
    <row r="291" spans="2:12" ht="13.5">
      <c r="B291" s="87"/>
      <c r="C291" s="49"/>
      <c r="D291" s="32"/>
      <c r="E291" s="32"/>
      <c r="F291" s="32"/>
      <c r="G291" s="32"/>
      <c r="H291" s="32"/>
      <c r="I291" s="33"/>
      <c r="J291" s="132"/>
      <c r="K291" s="54"/>
      <c r="L291" s="87"/>
    </row>
    <row r="292" spans="2:12" ht="13.5">
      <c r="B292" s="87"/>
      <c r="C292" s="49"/>
      <c r="D292" s="32"/>
      <c r="E292" s="32" t="s">
        <v>315</v>
      </c>
      <c r="F292" s="32"/>
      <c r="G292" s="32"/>
      <c r="H292" s="32"/>
      <c r="I292" s="33"/>
      <c r="J292" s="132"/>
      <c r="K292" s="54"/>
      <c r="L292" s="87"/>
    </row>
    <row r="293" spans="2:12" ht="13.5">
      <c r="B293" s="87"/>
      <c r="C293" s="49"/>
      <c r="D293" s="32"/>
      <c r="E293" s="32"/>
      <c r="F293" s="32"/>
      <c r="G293" s="32"/>
      <c r="H293" s="32"/>
      <c r="I293" s="33"/>
      <c r="J293" s="132"/>
      <c r="K293" s="54"/>
      <c r="L293" s="87"/>
    </row>
    <row r="294" spans="2:12" ht="13.5">
      <c r="B294" s="87"/>
      <c r="C294" s="49"/>
      <c r="D294" s="34" t="s">
        <v>342</v>
      </c>
      <c r="E294" s="35"/>
      <c r="F294" s="35"/>
      <c r="G294" s="35"/>
      <c r="H294" s="35"/>
      <c r="I294" s="150"/>
      <c r="J294" s="130">
        <f>PASH!H52</f>
        <v>-79014895</v>
      </c>
      <c r="K294" s="54"/>
      <c r="L294" s="87"/>
    </row>
    <row r="295" spans="2:12" ht="13.5">
      <c r="B295" s="87"/>
      <c r="C295" s="49"/>
      <c r="D295" s="36" t="s">
        <v>316</v>
      </c>
      <c r="E295" s="35"/>
      <c r="F295" s="35"/>
      <c r="G295" s="35"/>
      <c r="H295" s="35"/>
      <c r="I295" s="150"/>
      <c r="J295" s="151">
        <f>'Fluksi '!D15</f>
        <v>-311344955.3251798</v>
      </c>
      <c r="K295" s="54"/>
      <c r="L295" s="87"/>
    </row>
    <row r="296" spans="2:12" ht="13.5">
      <c r="B296" s="87"/>
      <c r="C296" s="49"/>
      <c r="D296" s="34" t="s">
        <v>313</v>
      </c>
      <c r="E296" s="35"/>
      <c r="F296" s="35"/>
      <c r="G296" s="35"/>
      <c r="H296" s="35"/>
      <c r="I296" s="150"/>
      <c r="J296" s="151"/>
      <c r="K296" s="54"/>
      <c r="L296" s="87"/>
    </row>
    <row r="297" spans="2:12" ht="13.5">
      <c r="B297" s="87"/>
      <c r="C297" s="49"/>
      <c r="D297" s="210" t="s">
        <v>180</v>
      </c>
      <c r="E297" s="35"/>
      <c r="F297" s="35"/>
      <c r="G297" s="35"/>
      <c r="H297" s="35"/>
      <c r="I297" s="150"/>
      <c r="J297" s="151">
        <f>'Fluksi '!D36</f>
        <v>0</v>
      </c>
      <c r="K297" s="54"/>
      <c r="L297" s="87"/>
    </row>
    <row r="298" spans="2:12" ht="13.5">
      <c r="B298" s="87"/>
      <c r="C298" s="49"/>
      <c r="D298" s="34" t="s">
        <v>317</v>
      </c>
      <c r="E298" s="35"/>
      <c r="F298" s="35"/>
      <c r="G298" s="35"/>
      <c r="H298" s="35"/>
      <c r="I298" s="150"/>
      <c r="J298" s="151">
        <f>'Fluksi '!D23</f>
        <v>-11257458.03242891</v>
      </c>
      <c r="K298" s="54"/>
      <c r="L298" s="87"/>
    </row>
    <row r="299" spans="2:12" ht="13.5">
      <c r="B299" s="87"/>
      <c r="C299" s="49"/>
      <c r="D299" s="34" t="s">
        <v>343</v>
      </c>
      <c r="E299" s="35"/>
      <c r="F299" s="35"/>
      <c r="G299" s="35"/>
      <c r="H299" s="35"/>
      <c r="I299" s="150"/>
      <c r="J299" s="151"/>
      <c r="K299" s="54"/>
      <c r="L299" s="87"/>
    </row>
    <row r="300" spans="2:12" ht="13.5">
      <c r="B300" s="87"/>
      <c r="C300" s="49"/>
      <c r="D300" s="34" t="s">
        <v>330</v>
      </c>
      <c r="E300" s="35"/>
      <c r="F300" s="35"/>
      <c r="G300" s="35"/>
      <c r="H300" s="35"/>
      <c r="I300" s="150"/>
      <c r="J300" s="151">
        <f>'Fluksi '!D39</f>
        <v>0</v>
      </c>
      <c r="K300" s="54"/>
      <c r="L300" s="87"/>
    </row>
    <row r="301" spans="2:12" ht="13.5">
      <c r="B301" s="87"/>
      <c r="C301" s="49"/>
      <c r="D301" s="34"/>
      <c r="E301" s="35"/>
      <c r="F301" s="35"/>
      <c r="G301" s="35"/>
      <c r="H301" s="35"/>
      <c r="I301" s="150"/>
      <c r="J301" s="151"/>
      <c r="K301" s="54"/>
      <c r="L301" s="87"/>
    </row>
    <row r="302" spans="1:12" s="62" customFormat="1" ht="20.25" customHeight="1">
      <c r="A302" s="57"/>
      <c r="B302" s="86"/>
      <c r="C302" s="58"/>
      <c r="D302" s="36" t="s">
        <v>318</v>
      </c>
      <c r="E302" s="59"/>
      <c r="F302" s="59"/>
      <c r="G302" s="59"/>
      <c r="H302" s="59"/>
      <c r="I302" s="60"/>
      <c r="J302" s="152">
        <f>SUM(J294:J301)</f>
        <v>-401617308.35760874</v>
      </c>
      <c r="K302" s="106"/>
      <c r="L302" s="86"/>
    </row>
    <row r="303" spans="2:12" ht="13.5">
      <c r="B303" s="87"/>
      <c r="C303" s="49"/>
      <c r="D303" s="32"/>
      <c r="E303" s="32"/>
      <c r="F303" s="32"/>
      <c r="G303" s="32"/>
      <c r="H303" s="32"/>
      <c r="I303" s="32"/>
      <c r="J303" s="133"/>
      <c r="K303" s="54"/>
      <c r="L303" s="87"/>
    </row>
    <row r="304" spans="2:12" ht="13.5">
      <c r="B304" s="87"/>
      <c r="C304" s="49"/>
      <c r="D304" s="472" t="s">
        <v>331</v>
      </c>
      <c r="E304" s="472"/>
      <c r="F304" s="472"/>
      <c r="G304" s="472"/>
      <c r="H304" s="472"/>
      <c r="I304" s="472"/>
      <c r="J304" s="132">
        <f>J278+J290+J302</f>
        <v>-101999109.60408872</v>
      </c>
      <c r="K304" s="54"/>
      <c r="L304" s="87"/>
    </row>
    <row r="305" spans="2:12" ht="13.5">
      <c r="B305" s="87"/>
      <c r="C305" s="49"/>
      <c r="D305" s="54"/>
      <c r="E305" s="54"/>
      <c r="F305" s="54"/>
      <c r="G305" s="54"/>
      <c r="H305" s="54"/>
      <c r="I305" s="54" t="s">
        <v>333</v>
      </c>
      <c r="J305" s="139">
        <f>Aktivet!F6</f>
        <v>5851061.894003741</v>
      </c>
      <c r="K305" s="54"/>
      <c r="L305" s="87"/>
    </row>
    <row r="306" spans="2:12" ht="13.5">
      <c r="B306" s="87"/>
      <c r="C306" s="88"/>
      <c r="D306" s="54"/>
      <c r="E306" s="54"/>
      <c r="F306" s="54"/>
      <c r="G306" s="54"/>
      <c r="H306" s="54"/>
      <c r="I306" s="54"/>
      <c r="J306" s="140">
        <f>J304-J305</f>
        <v>-107850171.49809247</v>
      </c>
      <c r="K306" s="54"/>
      <c r="L306" s="87"/>
    </row>
    <row r="307" spans="2:12" ht="18">
      <c r="B307" s="87"/>
      <c r="C307" s="88"/>
      <c r="D307" s="53" t="s">
        <v>321</v>
      </c>
      <c r="E307" s="54"/>
      <c r="F307" s="54"/>
      <c r="G307" s="54"/>
      <c r="H307" s="54"/>
      <c r="I307" s="54"/>
      <c r="J307" s="129"/>
      <c r="K307" s="54"/>
      <c r="L307" s="87"/>
    </row>
    <row r="308" spans="2:12" ht="13.5">
      <c r="B308" s="87"/>
      <c r="C308" s="49"/>
      <c r="D308" s="54"/>
      <c r="E308" s="54"/>
      <c r="F308" s="54"/>
      <c r="G308" s="54"/>
      <c r="H308" s="54"/>
      <c r="I308" s="54"/>
      <c r="J308" s="129"/>
      <c r="K308" s="54"/>
      <c r="L308" s="87"/>
    </row>
    <row r="309" spans="2:12" ht="13.5">
      <c r="B309" s="87"/>
      <c r="C309" s="49" t="s">
        <v>244</v>
      </c>
      <c r="D309" s="32" t="s">
        <v>334</v>
      </c>
      <c r="E309" s="32"/>
      <c r="F309" s="32"/>
      <c r="G309" s="32"/>
      <c r="H309" s="32"/>
      <c r="I309" s="32"/>
      <c r="J309" s="149">
        <f>Pasivet!H47</f>
        <v>-79014895</v>
      </c>
      <c r="K309" s="54"/>
      <c r="L309" s="87"/>
    </row>
    <row r="310" spans="2:12" ht="13.5">
      <c r="B310" s="87"/>
      <c r="C310" s="49" t="s">
        <v>244</v>
      </c>
      <c r="D310" s="32" t="s">
        <v>335</v>
      </c>
      <c r="E310" s="32"/>
      <c r="F310" s="32"/>
      <c r="G310" s="32"/>
      <c r="H310" s="32"/>
      <c r="I310" s="32"/>
      <c r="J310" s="149">
        <f>J300</f>
        <v>0</v>
      </c>
      <c r="K310" s="54"/>
      <c r="L310" s="87"/>
    </row>
    <row r="311" spans="2:12" ht="13.5">
      <c r="B311" s="87"/>
      <c r="C311" s="49" t="s">
        <v>244</v>
      </c>
      <c r="D311" s="32" t="s">
        <v>336</v>
      </c>
      <c r="E311" s="32"/>
      <c r="F311" s="32"/>
      <c r="G311" s="32"/>
      <c r="H311" s="32"/>
      <c r="I311" s="32"/>
      <c r="J311" s="149">
        <v>-2940365</v>
      </c>
      <c r="K311" s="54"/>
      <c r="L311" s="87"/>
    </row>
    <row r="312" spans="2:12" ht="13.5">
      <c r="B312" s="87"/>
      <c r="C312" s="49" t="s">
        <v>244</v>
      </c>
      <c r="D312" s="63" t="s">
        <v>323</v>
      </c>
      <c r="E312" s="54"/>
      <c r="F312" s="54"/>
      <c r="G312" s="54"/>
      <c r="H312" s="54"/>
      <c r="I312" s="54"/>
      <c r="J312" s="161"/>
      <c r="K312" s="54"/>
      <c r="L312" s="87"/>
    </row>
    <row r="313" spans="2:12" ht="13.5">
      <c r="B313" s="87"/>
      <c r="C313" s="49" t="s">
        <v>244</v>
      </c>
      <c r="D313" s="159" t="s">
        <v>346</v>
      </c>
      <c r="E313" s="160"/>
      <c r="F313" s="54"/>
      <c r="G313" s="54"/>
      <c r="H313" s="54"/>
      <c r="I313" s="54"/>
      <c r="J313" s="161">
        <f>Pasivet!G47</f>
        <v>28835276.312836654</v>
      </c>
      <c r="K313" s="54"/>
      <c r="L313" s="87"/>
    </row>
    <row r="314" spans="2:12" ht="13.5">
      <c r="B314" s="87"/>
      <c r="C314" s="49" t="s">
        <v>244</v>
      </c>
      <c r="D314" s="63" t="s">
        <v>407</v>
      </c>
      <c r="E314" s="32"/>
      <c r="F314" s="32"/>
      <c r="G314" s="32"/>
      <c r="H314" s="32"/>
      <c r="I314" s="32"/>
      <c r="J314" s="149">
        <f>Pasivet!G48-Pasivet!H48</f>
        <v>28835276.312836647</v>
      </c>
      <c r="K314" s="54"/>
      <c r="L314" s="87"/>
    </row>
    <row r="315" spans="2:12" ht="18">
      <c r="B315" s="87"/>
      <c r="C315" s="91"/>
      <c r="D315" s="107" t="s">
        <v>320</v>
      </c>
      <c r="E315" s="54"/>
      <c r="F315" s="54"/>
      <c r="G315" s="54"/>
      <c r="H315" s="54"/>
      <c r="I315" s="54"/>
      <c r="J315" s="156" t="s">
        <v>369</v>
      </c>
      <c r="K315" s="54"/>
      <c r="L315" s="87"/>
    </row>
    <row r="316" spans="2:12" ht="13.5">
      <c r="B316" s="87"/>
      <c r="C316" s="88"/>
      <c r="D316" s="54"/>
      <c r="E316" s="54"/>
      <c r="F316" s="54"/>
      <c r="G316" s="54"/>
      <c r="H316" s="54"/>
      <c r="I316" s="54"/>
      <c r="J316" s="129"/>
      <c r="K316" s="54"/>
      <c r="L316" s="87"/>
    </row>
    <row r="317" spans="2:12" ht="13.5">
      <c r="B317" s="87"/>
      <c r="C317" s="88"/>
      <c r="D317" s="54"/>
      <c r="E317" s="54"/>
      <c r="F317" s="54"/>
      <c r="G317" s="54"/>
      <c r="H317" s="54"/>
      <c r="I317" s="54"/>
      <c r="J317" s="129"/>
      <c r="K317" s="54"/>
      <c r="L317" s="87"/>
    </row>
    <row r="318" spans="2:12" ht="12.75">
      <c r="B318" s="87"/>
      <c r="C318" s="88"/>
      <c r="D318" s="87"/>
      <c r="E318" s="87"/>
      <c r="F318" s="87"/>
      <c r="G318" s="87"/>
      <c r="H318" s="87"/>
      <c r="I318" s="87"/>
      <c r="J318" s="125"/>
      <c r="K318" s="87"/>
      <c r="L318" s="87"/>
    </row>
    <row r="319" spans="2:12" ht="18">
      <c r="B319" s="469" t="s">
        <v>29</v>
      </c>
      <c r="C319" s="469"/>
      <c r="D319" s="107" t="s">
        <v>30</v>
      </c>
      <c r="E319" s="42"/>
      <c r="F319" s="42"/>
      <c r="G319" s="42"/>
      <c r="H319" s="42"/>
      <c r="I319" s="42"/>
      <c r="J319" s="64"/>
      <c r="K319" s="42"/>
      <c r="L319" s="42"/>
    </row>
    <row r="320" spans="2:12" ht="12.75">
      <c r="B320" s="42"/>
      <c r="C320" s="46"/>
      <c r="D320" s="42"/>
      <c r="E320" s="42"/>
      <c r="F320" s="42"/>
      <c r="G320" s="42"/>
      <c r="H320" s="42"/>
      <c r="I320" s="42"/>
      <c r="J320" s="64"/>
      <c r="K320" s="42"/>
      <c r="L320" s="42"/>
    </row>
    <row r="321" spans="2:12" ht="12.75">
      <c r="B321" s="42"/>
      <c r="C321" s="41"/>
      <c r="D321" s="42" t="s">
        <v>249</v>
      </c>
      <c r="E321" s="42"/>
      <c r="F321" s="42"/>
      <c r="G321" s="42"/>
      <c r="H321" s="42"/>
      <c r="I321" s="42"/>
      <c r="J321" s="64"/>
      <c r="K321" s="42"/>
      <c r="L321" s="42"/>
    </row>
    <row r="322" spans="2:12" ht="12.75">
      <c r="B322" s="42"/>
      <c r="C322" s="108" t="s">
        <v>250</v>
      </c>
      <c r="D322" s="42"/>
      <c r="E322" s="42"/>
      <c r="F322" s="42"/>
      <c r="G322" s="42"/>
      <c r="H322" s="42"/>
      <c r="I322" s="42"/>
      <c r="J322" s="64"/>
      <c r="K322" s="42"/>
      <c r="L322" s="42"/>
    </row>
    <row r="323" spans="2:12" ht="12.75">
      <c r="B323" s="42"/>
      <c r="C323" s="108"/>
      <c r="D323" s="42" t="s">
        <v>408</v>
      </c>
      <c r="E323" s="42"/>
      <c r="F323" s="42"/>
      <c r="G323" s="42"/>
      <c r="H323" s="42"/>
      <c r="I323" s="42"/>
      <c r="J323" s="64"/>
      <c r="K323" s="42"/>
      <c r="L323" s="42"/>
    </row>
    <row r="324" spans="2:12" ht="12.75">
      <c r="B324" s="42"/>
      <c r="C324" s="46"/>
      <c r="D324" s="42" t="s">
        <v>345</v>
      </c>
      <c r="E324" s="42"/>
      <c r="F324" s="42"/>
      <c r="G324" s="42"/>
      <c r="H324" s="42"/>
      <c r="I324" s="42"/>
      <c r="J324" s="64"/>
      <c r="K324" s="42"/>
      <c r="L324" s="42"/>
    </row>
    <row r="325" spans="2:12" ht="12.75">
      <c r="B325" s="42"/>
      <c r="C325" s="108" t="s">
        <v>344</v>
      </c>
      <c r="D325" s="42"/>
      <c r="E325" s="42"/>
      <c r="F325" s="42"/>
      <c r="G325" s="42"/>
      <c r="H325" s="42"/>
      <c r="I325" s="42"/>
      <c r="J325" s="64"/>
      <c r="K325" s="42"/>
      <c r="L325" s="42"/>
    </row>
    <row r="326" spans="2:12" ht="12.75">
      <c r="B326" s="42"/>
      <c r="C326" s="46"/>
      <c r="D326" s="42"/>
      <c r="E326" s="42"/>
      <c r="F326" s="42"/>
      <c r="G326" s="42"/>
      <c r="H326" s="42"/>
      <c r="I326" s="42"/>
      <c r="J326" s="64"/>
      <c r="K326" s="42"/>
      <c r="L326" s="42"/>
    </row>
    <row r="327" spans="2:12" ht="15">
      <c r="B327" s="470"/>
      <c r="C327" s="470"/>
      <c r="D327" s="470"/>
      <c r="E327" s="470"/>
      <c r="F327" s="42"/>
      <c r="G327" s="42"/>
      <c r="H327" s="470" t="s">
        <v>13</v>
      </c>
      <c r="I327" s="470"/>
      <c r="J327" s="470"/>
      <c r="K327" s="470"/>
      <c r="L327" s="42"/>
    </row>
    <row r="328" spans="2:12" ht="15">
      <c r="B328" s="471"/>
      <c r="C328" s="471"/>
      <c r="D328" s="471"/>
      <c r="E328" s="471"/>
      <c r="F328" s="42"/>
      <c r="G328" s="42"/>
      <c r="H328" s="471" t="s">
        <v>12</v>
      </c>
      <c r="I328" s="471"/>
      <c r="J328" s="471"/>
      <c r="K328" s="471"/>
      <c r="L328" s="42"/>
    </row>
    <row r="329" spans="2:12" ht="12.75">
      <c r="B329" s="87"/>
      <c r="C329" s="88"/>
      <c r="D329" s="87"/>
      <c r="E329" s="87"/>
      <c r="F329" s="87"/>
      <c r="G329" s="87"/>
      <c r="H329" s="87"/>
      <c r="I329" s="87"/>
      <c r="J329" s="125"/>
      <c r="K329" s="87"/>
      <c r="L329" s="87"/>
    </row>
    <row r="330" spans="2:12" ht="12.75">
      <c r="B330" s="37"/>
      <c r="C330" s="37"/>
      <c r="D330" s="37"/>
      <c r="E330" s="37"/>
      <c r="F330" s="37"/>
      <c r="G330" s="37"/>
      <c r="H330" s="37"/>
      <c r="I330" s="37"/>
      <c r="J330" s="118"/>
      <c r="K330" s="38"/>
      <c r="L330" s="37"/>
    </row>
    <row r="331" spans="2:12" ht="12.75">
      <c r="B331" s="37"/>
      <c r="C331" s="37"/>
      <c r="D331" s="37"/>
      <c r="E331" s="37"/>
      <c r="F331" s="37"/>
      <c r="G331" s="37"/>
      <c r="H331" s="37"/>
      <c r="I331" s="37"/>
      <c r="J331" s="118"/>
      <c r="K331" s="38"/>
      <c r="L331" s="37"/>
    </row>
    <row r="332" spans="2:12" ht="12.75">
      <c r="B332" s="37"/>
      <c r="C332" s="37"/>
      <c r="D332" s="37"/>
      <c r="E332" s="37"/>
      <c r="F332" s="37"/>
      <c r="G332" s="37"/>
      <c r="H332" s="37"/>
      <c r="I332" s="37"/>
      <c r="J332" s="118"/>
      <c r="K332" s="38"/>
      <c r="L332" s="63"/>
    </row>
    <row r="333" spans="2:12" ht="12.75">
      <c r="B333" s="37"/>
      <c r="C333" s="37"/>
      <c r="D333" s="37"/>
      <c r="E333" s="37"/>
      <c r="F333" s="37"/>
      <c r="G333" s="37"/>
      <c r="H333" s="37"/>
      <c r="I333" s="37"/>
      <c r="J333" s="118"/>
      <c r="K333" s="38"/>
      <c r="L333" s="63"/>
    </row>
    <row r="334" spans="2:12" ht="12.75">
      <c r="B334" s="37"/>
      <c r="C334" s="37"/>
      <c r="D334" s="37"/>
      <c r="E334" s="37"/>
      <c r="F334" s="37"/>
      <c r="G334" s="37"/>
      <c r="H334" s="37"/>
      <c r="I334" s="37"/>
      <c r="J334" s="118"/>
      <c r="K334" s="38"/>
      <c r="L334" s="63"/>
    </row>
    <row r="335" spans="2:12" ht="12.75">
      <c r="B335" s="37"/>
      <c r="C335" s="37"/>
      <c r="D335" s="37"/>
      <c r="E335" s="37"/>
      <c r="F335" s="37"/>
      <c r="G335" s="37"/>
      <c r="H335" s="37"/>
      <c r="I335" s="37"/>
      <c r="J335" s="118"/>
      <c r="K335" s="38"/>
      <c r="L335" s="63"/>
    </row>
    <row r="336" spans="2:12" ht="12.75">
      <c r="B336" s="37"/>
      <c r="C336" s="37"/>
      <c r="D336" s="37"/>
      <c r="E336" s="37"/>
      <c r="F336" s="37"/>
      <c r="G336" s="37"/>
      <c r="H336" s="37"/>
      <c r="I336" s="37"/>
      <c r="J336" s="118"/>
      <c r="K336" s="38"/>
      <c r="L336" s="63"/>
    </row>
    <row r="337" spans="2:12" ht="12.75">
      <c r="B337" s="37"/>
      <c r="C337" s="37"/>
      <c r="D337" s="37"/>
      <c r="E337" s="37"/>
      <c r="F337" s="37"/>
      <c r="G337" s="37"/>
      <c r="H337" s="37"/>
      <c r="I337" s="37"/>
      <c r="J337" s="118"/>
      <c r="K337" s="38"/>
      <c r="L337" s="63"/>
    </row>
    <row r="338" spans="2:12" ht="12.75">
      <c r="B338" s="37"/>
      <c r="C338" s="37"/>
      <c r="D338" s="37"/>
      <c r="E338" s="37"/>
      <c r="F338" s="37"/>
      <c r="G338" s="37"/>
      <c r="H338" s="37"/>
      <c r="I338" s="37"/>
      <c r="J338" s="118"/>
      <c r="K338" s="38"/>
      <c r="L338" s="63"/>
    </row>
    <row r="339" spans="2:12" ht="12.75">
      <c r="B339" s="37"/>
      <c r="C339" s="37"/>
      <c r="D339" s="37"/>
      <c r="E339" s="37"/>
      <c r="F339" s="37"/>
      <c r="G339" s="37"/>
      <c r="H339" s="37"/>
      <c r="I339" s="37"/>
      <c r="J339" s="118"/>
      <c r="K339" s="38"/>
      <c r="L339" s="63"/>
    </row>
  </sheetData>
  <sheetProtection/>
  <mergeCells count="40">
    <mergeCell ref="B3:C3"/>
    <mergeCell ref="C10:C11"/>
    <mergeCell ref="D10:E11"/>
    <mergeCell ref="F10:F11"/>
    <mergeCell ref="D14:E14"/>
    <mergeCell ref="D17:E17"/>
    <mergeCell ref="D16:E16"/>
    <mergeCell ref="G10:H11"/>
    <mergeCell ref="G13:H13"/>
    <mergeCell ref="D12:E12"/>
    <mergeCell ref="G12:H12"/>
    <mergeCell ref="D13:E13"/>
    <mergeCell ref="D19:E19"/>
    <mergeCell ref="G19:H19"/>
    <mergeCell ref="G16:H16"/>
    <mergeCell ref="D15:E15"/>
    <mergeCell ref="D18:E18"/>
    <mergeCell ref="G17:H17"/>
    <mergeCell ref="D212:K212"/>
    <mergeCell ref="E198:E199"/>
    <mergeCell ref="J198:J199"/>
    <mergeCell ref="J191:J192"/>
    <mergeCell ref="D25:H25"/>
    <mergeCell ref="D85:D86"/>
    <mergeCell ref="D27:H27"/>
    <mergeCell ref="D28:H28"/>
    <mergeCell ref="D20:J20"/>
    <mergeCell ref="C85:C86"/>
    <mergeCell ref="C23:C24"/>
    <mergeCell ref="D23:H24"/>
    <mergeCell ref="D26:H26"/>
    <mergeCell ref="D29:J29"/>
    <mergeCell ref="E85:G85"/>
    <mergeCell ref="H85:J85"/>
    <mergeCell ref="B319:C319"/>
    <mergeCell ref="B327:E327"/>
    <mergeCell ref="H327:K327"/>
    <mergeCell ref="B328:E328"/>
    <mergeCell ref="H328:K328"/>
    <mergeCell ref="D304:I304"/>
  </mergeCells>
  <printOptions horizontalCentered="1" verticalCentered="1"/>
  <pageMargins left="0.25" right="0" top="0" bottom="0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G9" sqref="G8:G9"/>
    </sheetView>
  </sheetViews>
  <sheetFormatPr defaultColWidth="9.140625" defaultRowHeight="12.75"/>
  <cols>
    <col min="1" max="1" width="5.140625" style="163" customWidth="1"/>
    <col min="2" max="2" width="19.421875" style="163" customWidth="1"/>
    <col min="3" max="3" width="8.7109375" style="163" customWidth="1"/>
    <col min="4" max="4" width="13.00390625" style="163" customWidth="1"/>
    <col min="5" max="5" width="12.421875" style="163" customWidth="1"/>
    <col min="6" max="6" width="12.00390625" style="163" customWidth="1"/>
    <col min="7" max="7" width="15.00390625" style="163" customWidth="1"/>
    <col min="8" max="8" width="16.421875" style="259" customWidth="1"/>
    <col min="9" max="9" width="16.421875" style="163" customWidth="1"/>
    <col min="10" max="10" width="10.8515625" style="163" bestFit="1" customWidth="1"/>
    <col min="11" max="12" width="9.140625" style="163" customWidth="1"/>
    <col min="13" max="13" width="12.28125" style="163" customWidth="1"/>
    <col min="14" max="16384" width="9.140625" style="163" customWidth="1"/>
  </cols>
  <sheetData>
    <row r="1" spans="1:9" ht="14.25">
      <c r="A1" s="254"/>
      <c r="B1" s="255" t="s">
        <v>479</v>
      </c>
      <c r="C1" s="256"/>
      <c r="D1" s="256"/>
      <c r="E1" s="257"/>
      <c r="F1" s="254"/>
      <c r="G1" s="254"/>
      <c r="H1" s="258"/>
      <c r="I1" s="254"/>
    </row>
    <row r="2" spans="1:9" ht="14.25">
      <c r="A2" s="254"/>
      <c r="B2" s="255" t="s">
        <v>480</v>
      </c>
      <c r="C2" s="256"/>
      <c r="D2" s="256"/>
      <c r="E2" s="257"/>
      <c r="F2" s="254"/>
      <c r="G2" s="254"/>
      <c r="H2" s="258"/>
      <c r="I2" s="254"/>
    </row>
    <row r="3" spans="2:7" ht="15.75">
      <c r="B3" s="486" t="s">
        <v>488</v>
      </c>
      <c r="C3" s="486"/>
      <c r="D3" s="486"/>
      <c r="E3" s="486"/>
      <c r="F3" s="486"/>
      <c r="G3" s="486"/>
    </row>
    <row r="4" ht="15.75" thickBot="1"/>
    <row r="5" spans="1:7" ht="15">
      <c r="A5" s="488" t="s">
        <v>2</v>
      </c>
      <c r="B5" s="490" t="s">
        <v>217</v>
      </c>
      <c r="C5" s="492" t="s">
        <v>481</v>
      </c>
      <c r="D5" s="260" t="s">
        <v>347</v>
      </c>
      <c r="E5" s="492" t="s">
        <v>348</v>
      </c>
      <c r="F5" s="492" t="s">
        <v>349</v>
      </c>
      <c r="G5" s="261" t="s">
        <v>347</v>
      </c>
    </row>
    <row r="6" spans="1:9" ht="15.75" thickBot="1">
      <c r="A6" s="489"/>
      <c r="B6" s="491"/>
      <c r="C6" s="493"/>
      <c r="D6" s="262">
        <v>42370</v>
      </c>
      <c r="E6" s="493"/>
      <c r="F6" s="493"/>
      <c r="G6" s="263">
        <v>42735</v>
      </c>
      <c r="I6" s="264"/>
    </row>
    <row r="7" spans="1:9" ht="15">
      <c r="A7" s="265">
        <v>1</v>
      </c>
      <c r="B7" s="266" t="s">
        <v>350</v>
      </c>
      <c r="C7" s="267"/>
      <c r="D7" s="268">
        <v>22604168</v>
      </c>
      <c r="E7" s="269"/>
      <c r="F7" s="269"/>
      <c r="G7" s="270">
        <f>D7+E7-F7</f>
        <v>22604168</v>
      </c>
      <c r="I7" s="264"/>
    </row>
    <row r="8" spans="1:9" ht="15">
      <c r="A8" s="271">
        <f aca="true" t="shared" si="0" ref="A8:A13">A7+1</f>
        <v>2</v>
      </c>
      <c r="B8" s="272" t="s">
        <v>351</v>
      </c>
      <c r="C8" s="273"/>
      <c r="D8" s="274">
        <v>133405900</v>
      </c>
      <c r="E8" s="275"/>
      <c r="F8" s="275"/>
      <c r="G8" s="276">
        <f>D8+E8-F8</f>
        <v>133405900</v>
      </c>
      <c r="I8" s="277"/>
    </row>
    <row r="9" spans="1:9" ht="15">
      <c r="A9" s="271">
        <f t="shared" si="0"/>
        <v>3</v>
      </c>
      <c r="B9" s="272" t="s">
        <v>482</v>
      </c>
      <c r="C9" s="273"/>
      <c r="D9" s="274">
        <v>1238373825</v>
      </c>
      <c r="E9" s="347">
        <v>12428057.37944</v>
      </c>
      <c r="F9" s="275"/>
      <c r="G9" s="276">
        <f aca="true" t="shared" si="1" ref="G9:G15">D9+E9-F9</f>
        <v>1250801882.37944</v>
      </c>
      <c r="I9" s="277"/>
    </row>
    <row r="10" spans="1:9" ht="15">
      <c r="A10" s="271">
        <f t="shared" si="0"/>
        <v>4</v>
      </c>
      <c r="B10" s="272" t="s">
        <v>353</v>
      </c>
      <c r="C10" s="273"/>
      <c r="D10" s="274">
        <v>5607572</v>
      </c>
      <c r="E10" s="275"/>
      <c r="F10" s="275"/>
      <c r="G10" s="276">
        <f t="shared" si="1"/>
        <v>5607572</v>
      </c>
      <c r="I10" s="277"/>
    </row>
    <row r="11" spans="1:9" ht="15">
      <c r="A11" s="271">
        <f t="shared" si="0"/>
        <v>5</v>
      </c>
      <c r="B11" s="272" t="s">
        <v>354</v>
      </c>
      <c r="C11" s="273"/>
      <c r="D11" s="274">
        <v>0</v>
      </c>
      <c r="E11" s="275"/>
      <c r="F11" s="275"/>
      <c r="G11" s="276">
        <f t="shared" si="1"/>
        <v>0</v>
      </c>
      <c r="I11" s="277"/>
    </row>
    <row r="12" spans="1:9" ht="15">
      <c r="A12" s="271">
        <f t="shared" si="0"/>
        <v>6</v>
      </c>
      <c r="B12" s="272" t="s">
        <v>355</v>
      </c>
      <c r="C12" s="273"/>
      <c r="D12" s="274">
        <v>12181312</v>
      </c>
      <c r="E12" s="275"/>
      <c r="F12" s="275"/>
      <c r="G12" s="276">
        <f t="shared" si="1"/>
        <v>12181312</v>
      </c>
      <c r="I12" s="277"/>
    </row>
    <row r="13" spans="1:9" ht="15">
      <c r="A13" s="271">
        <f t="shared" si="0"/>
        <v>7</v>
      </c>
      <c r="B13" s="272" t="s">
        <v>469</v>
      </c>
      <c r="C13" s="273"/>
      <c r="D13" s="278">
        <v>57425709</v>
      </c>
      <c r="E13" s="346">
        <v>711369</v>
      </c>
      <c r="F13" s="275"/>
      <c r="G13" s="276">
        <f t="shared" si="1"/>
        <v>58137078</v>
      </c>
      <c r="I13" s="264"/>
    </row>
    <row r="14" spans="1:9" ht="15">
      <c r="A14" s="271"/>
      <c r="B14" s="225"/>
      <c r="C14" s="273"/>
      <c r="D14" s="275">
        <v>0</v>
      </c>
      <c r="E14" s="275"/>
      <c r="F14" s="275"/>
      <c r="G14" s="276">
        <f t="shared" si="1"/>
        <v>0</v>
      </c>
      <c r="I14" s="264"/>
    </row>
    <row r="15" spans="1:9" ht="15.75" thickBot="1">
      <c r="A15" s="279"/>
      <c r="B15" s="280"/>
      <c r="C15" s="281"/>
      <c r="D15" s="282">
        <v>0</v>
      </c>
      <c r="E15" s="282"/>
      <c r="F15" s="282"/>
      <c r="G15" s="276">
        <f t="shared" si="1"/>
        <v>0</v>
      </c>
      <c r="I15" s="264"/>
    </row>
    <row r="16" spans="1:10" ht="15.75" thickBot="1">
      <c r="A16" s="283"/>
      <c r="B16" s="284" t="s">
        <v>356</v>
      </c>
      <c r="C16" s="285"/>
      <c r="D16" s="286">
        <v>1469598486</v>
      </c>
      <c r="E16" s="286">
        <f>SUM(E7:E15)</f>
        <v>13139426.37944</v>
      </c>
      <c r="F16" s="286">
        <f>SUM(F7:F15)</f>
        <v>0</v>
      </c>
      <c r="G16" s="286">
        <f>SUM(G7:G15)</f>
        <v>1482737912.37944</v>
      </c>
      <c r="I16" s="287"/>
      <c r="J16" s="287"/>
    </row>
    <row r="17" spans="2:9" ht="15.75">
      <c r="B17" s="486" t="s">
        <v>489</v>
      </c>
      <c r="C17" s="486"/>
      <c r="D17" s="486"/>
      <c r="E17" s="486"/>
      <c r="F17" s="486"/>
      <c r="G17" s="486"/>
      <c r="I17" s="287"/>
    </row>
    <row r="18" ht="15.75" thickBot="1"/>
    <row r="19" spans="1:7" ht="15">
      <c r="A19" s="488" t="s">
        <v>2</v>
      </c>
      <c r="B19" s="490" t="s">
        <v>217</v>
      </c>
      <c r="C19" s="492" t="s">
        <v>481</v>
      </c>
      <c r="D19" s="260" t="s">
        <v>347</v>
      </c>
      <c r="E19" s="492" t="s">
        <v>348</v>
      </c>
      <c r="F19" s="492" t="s">
        <v>349</v>
      </c>
      <c r="G19" s="261" t="s">
        <v>347</v>
      </c>
    </row>
    <row r="20" spans="1:7" ht="15.75" thickBot="1">
      <c r="A20" s="489"/>
      <c r="B20" s="491"/>
      <c r="C20" s="493"/>
      <c r="D20" s="262">
        <v>42370</v>
      </c>
      <c r="E20" s="493"/>
      <c r="F20" s="493"/>
      <c r="G20" s="263">
        <v>42735</v>
      </c>
    </row>
    <row r="21" spans="1:7" ht="15">
      <c r="A21" s="265">
        <v>1</v>
      </c>
      <c r="B21" s="288" t="s">
        <v>350</v>
      </c>
      <c r="C21" s="289"/>
      <c r="D21" s="290">
        <v>0</v>
      </c>
      <c r="E21" s="291">
        <v>0</v>
      </c>
      <c r="F21" s="290"/>
      <c r="G21" s="270">
        <f>D21+E21</f>
        <v>0</v>
      </c>
    </row>
    <row r="22" spans="1:7" ht="15">
      <c r="A22" s="271">
        <f aca="true" t="shared" si="2" ref="A22:A27">A21+1</f>
        <v>2</v>
      </c>
      <c r="B22" s="272" t="s">
        <v>351</v>
      </c>
      <c r="C22" s="273"/>
      <c r="D22" s="278">
        <v>57597189.122693434</v>
      </c>
      <c r="E22" s="292"/>
      <c r="F22" s="275"/>
      <c r="G22" s="276">
        <f>D22+E22</f>
        <v>57597189.122693434</v>
      </c>
    </row>
    <row r="23" spans="1:7" ht="15">
      <c r="A23" s="271">
        <f t="shared" si="2"/>
        <v>3</v>
      </c>
      <c r="B23" s="272" t="s">
        <v>482</v>
      </c>
      <c r="C23" s="273"/>
      <c r="D23" s="278">
        <v>767881488.2472273</v>
      </c>
      <c r="E23" s="293">
        <f>D37*0.4/100</f>
        <v>1881969.3470110907</v>
      </c>
      <c r="F23" s="275"/>
      <c r="G23" s="276">
        <f aca="true" t="shared" si="3" ref="G23:G29">D23+E23</f>
        <v>769763457.5942384</v>
      </c>
    </row>
    <row r="24" spans="1:7" ht="15">
      <c r="A24" s="271">
        <f t="shared" si="2"/>
        <v>4</v>
      </c>
      <c r="B24" s="272" t="s">
        <v>353</v>
      </c>
      <c r="C24" s="273"/>
      <c r="D24" s="278">
        <v>4665026.105166666</v>
      </c>
      <c r="E24" s="293"/>
      <c r="F24" s="275"/>
      <c r="G24" s="276">
        <f t="shared" si="3"/>
        <v>4665026.105166666</v>
      </c>
    </row>
    <row r="25" spans="1:7" ht="15">
      <c r="A25" s="271">
        <f t="shared" si="2"/>
        <v>5</v>
      </c>
      <c r="B25" s="272" t="s">
        <v>354</v>
      </c>
      <c r="C25" s="273"/>
      <c r="D25" s="278">
        <v>0</v>
      </c>
      <c r="E25" s="293"/>
      <c r="F25" s="275"/>
      <c r="G25" s="276">
        <f t="shared" si="3"/>
        <v>0</v>
      </c>
    </row>
    <row r="26" spans="1:7" ht="15">
      <c r="A26" s="271">
        <f t="shared" si="2"/>
        <v>6</v>
      </c>
      <c r="B26" s="272" t="s">
        <v>355</v>
      </c>
      <c r="C26" s="273"/>
      <c r="D26" s="278">
        <v>6362915.62</v>
      </c>
      <c r="E26" s="293"/>
      <c r="F26" s="275"/>
      <c r="G26" s="276">
        <f t="shared" si="3"/>
        <v>6362915.62</v>
      </c>
    </row>
    <row r="27" spans="1:7" ht="15">
      <c r="A27" s="271">
        <f t="shared" si="2"/>
        <v>7</v>
      </c>
      <c r="B27" s="272" t="s">
        <v>469</v>
      </c>
      <c r="C27" s="273"/>
      <c r="D27" s="275">
        <v>0</v>
      </c>
      <c r="E27" s="293"/>
      <c r="F27" s="275"/>
      <c r="G27" s="276">
        <f t="shared" si="3"/>
        <v>0</v>
      </c>
    </row>
    <row r="28" spans="1:7" ht="15">
      <c r="A28" s="271"/>
      <c r="B28" s="225"/>
      <c r="C28" s="273"/>
      <c r="D28" s="275">
        <v>0</v>
      </c>
      <c r="E28" s="293"/>
      <c r="F28" s="275"/>
      <c r="G28" s="276">
        <f t="shared" si="3"/>
        <v>0</v>
      </c>
    </row>
    <row r="29" spans="1:7" ht="15.75" thickBot="1">
      <c r="A29" s="279"/>
      <c r="B29" s="280"/>
      <c r="C29" s="281"/>
      <c r="D29" s="282">
        <v>0</v>
      </c>
      <c r="E29" s="293"/>
      <c r="F29" s="282"/>
      <c r="G29" s="276">
        <f t="shared" si="3"/>
        <v>0</v>
      </c>
    </row>
    <row r="30" spans="1:10" ht="15.75" thickBot="1">
      <c r="A30" s="294"/>
      <c r="B30" s="295" t="s">
        <v>356</v>
      </c>
      <c r="C30" s="296"/>
      <c r="D30" s="297">
        <v>836506619.0950874</v>
      </c>
      <c r="E30" s="297">
        <f>SUM(E21:E29)</f>
        <v>1881969.3470110907</v>
      </c>
      <c r="F30" s="297">
        <f>SUM(F21:F29)</f>
        <v>0</v>
      </c>
      <c r="G30" s="297">
        <f>SUM(G21:G29)</f>
        <v>838388588.4420985</v>
      </c>
      <c r="I30" s="287"/>
      <c r="J30" s="287"/>
    </row>
    <row r="31" spans="2:7" ht="15.75">
      <c r="B31" s="486" t="s">
        <v>490</v>
      </c>
      <c r="C31" s="486"/>
      <c r="D31" s="486"/>
      <c r="E31" s="486"/>
      <c r="F31" s="486"/>
      <c r="G31" s="486"/>
    </row>
    <row r="32" ht="15.75" thickBot="1"/>
    <row r="33" spans="1:7" ht="15">
      <c r="A33" s="488" t="s">
        <v>2</v>
      </c>
      <c r="B33" s="490" t="s">
        <v>217</v>
      </c>
      <c r="C33" s="492" t="s">
        <v>481</v>
      </c>
      <c r="D33" s="260" t="s">
        <v>347</v>
      </c>
      <c r="E33" s="492" t="s">
        <v>348</v>
      </c>
      <c r="F33" s="492" t="s">
        <v>349</v>
      </c>
      <c r="G33" s="261" t="s">
        <v>347</v>
      </c>
    </row>
    <row r="34" spans="1:7" ht="15.75" thickBot="1">
      <c r="A34" s="489"/>
      <c r="B34" s="491"/>
      <c r="C34" s="493"/>
      <c r="D34" s="262">
        <v>42370</v>
      </c>
      <c r="E34" s="493"/>
      <c r="F34" s="493"/>
      <c r="G34" s="263">
        <v>42735</v>
      </c>
    </row>
    <row r="35" spans="1:7" ht="15">
      <c r="A35" s="298">
        <v>1</v>
      </c>
      <c r="B35" s="266" t="s">
        <v>350</v>
      </c>
      <c r="C35" s="299"/>
      <c r="D35" s="300">
        <v>22604168</v>
      </c>
      <c r="E35" s="301">
        <f>E7+E21</f>
        <v>0</v>
      </c>
      <c r="F35" s="300">
        <f>E7</f>
        <v>0</v>
      </c>
      <c r="G35" s="302">
        <f>D35+E35-F35</f>
        <v>22604168</v>
      </c>
    </row>
    <row r="36" spans="1:14" ht="15">
      <c r="A36" s="271">
        <v>2</v>
      </c>
      <c r="B36" s="272" t="s">
        <v>351</v>
      </c>
      <c r="C36" s="273"/>
      <c r="D36" s="300">
        <v>75808710.87730655</v>
      </c>
      <c r="E36" s="301">
        <f aca="true" t="shared" si="4" ref="E36:E43">E8-E22</f>
        <v>0</v>
      </c>
      <c r="F36" s="300">
        <f>E8</f>
        <v>0</v>
      </c>
      <c r="G36" s="302">
        <f aca="true" t="shared" si="5" ref="G36:G43">D36+E36-F36</f>
        <v>75808710.87730655</v>
      </c>
      <c r="M36" s="264"/>
      <c r="N36" s="264"/>
    </row>
    <row r="37" spans="1:14" ht="15">
      <c r="A37" s="271">
        <v>3</v>
      </c>
      <c r="B37" s="272" t="s">
        <v>482</v>
      </c>
      <c r="C37" s="273"/>
      <c r="D37" s="300">
        <v>470492336.7527727</v>
      </c>
      <c r="E37" s="301">
        <f t="shared" si="4"/>
        <v>10546088.03242891</v>
      </c>
      <c r="F37" s="300">
        <f>F9</f>
        <v>0</v>
      </c>
      <c r="G37" s="302">
        <f t="shared" si="5"/>
        <v>481038424.7852016</v>
      </c>
      <c r="M37" s="264"/>
      <c r="N37" s="264"/>
    </row>
    <row r="38" spans="1:14" ht="15">
      <c r="A38" s="271">
        <f>A37+1</f>
        <v>4</v>
      </c>
      <c r="B38" s="272" t="s">
        <v>353</v>
      </c>
      <c r="C38" s="273"/>
      <c r="D38" s="300">
        <v>942545.8948333334</v>
      </c>
      <c r="E38" s="301">
        <f t="shared" si="4"/>
        <v>0</v>
      </c>
      <c r="F38" s="300">
        <f aca="true" t="shared" si="6" ref="F38:F43">F10</f>
        <v>0</v>
      </c>
      <c r="G38" s="302">
        <f t="shared" si="5"/>
        <v>942545.8948333334</v>
      </c>
      <c r="M38" s="264"/>
      <c r="N38" s="264"/>
    </row>
    <row r="39" spans="1:14" ht="15">
      <c r="A39" s="271">
        <f>A38+1</f>
        <v>5</v>
      </c>
      <c r="B39" s="272" t="s">
        <v>354</v>
      </c>
      <c r="C39" s="273"/>
      <c r="D39" s="300">
        <v>0</v>
      </c>
      <c r="E39" s="301">
        <f t="shared" si="4"/>
        <v>0</v>
      </c>
      <c r="F39" s="300">
        <f t="shared" si="6"/>
        <v>0</v>
      </c>
      <c r="G39" s="302">
        <f t="shared" si="5"/>
        <v>0</v>
      </c>
      <c r="M39" s="264"/>
      <c r="N39" s="264"/>
    </row>
    <row r="40" spans="1:14" ht="15">
      <c r="A40" s="271">
        <f>A39+1</f>
        <v>6</v>
      </c>
      <c r="B40" s="272" t="s">
        <v>355</v>
      </c>
      <c r="C40" s="273"/>
      <c r="D40" s="300">
        <v>5818396.38</v>
      </c>
      <c r="E40" s="301">
        <f t="shared" si="4"/>
        <v>0</v>
      </c>
      <c r="F40" s="300">
        <f t="shared" si="6"/>
        <v>0</v>
      </c>
      <c r="G40" s="302">
        <f t="shared" si="5"/>
        <v>5818396.38</v>
      </c>
      <c r="M40" s="264"/>
      <c r="N40" s="264"/>
    </row>
    <row r="41" spans="1:14" ht="15">
      <c r="A41" s="271">
        <f>A40+1</f>
        <v>7</v>
      </c>
      <c r="B41" s="272" t="s">
        <v>469</v>
      </c>
      <c r="C41" s="273"/>
      <c r="D41" s="300">
        <v>57425709</v>
      </c>
      <c r="E41" s="301">
        <f t="shared" si="4"/>
        <v>711369</v>
      </c>
      <c r="F41" s="300">
        <f t="shared" si="6"/>
        <v>0</v>
      </c>
      <c r="G41" s="302">
        <f t="shared" si="5"/>
        <v>58137078</v>
      </c>
      <c r="M41" s="264"/>
      <c r="N41" s="264"/>
    </row>
    <row r="42" spans="1:14" ht="15">
      <c r="A42" s="271"/>
      <c r="B42" s="225"/>
      <c r="C42" s="273"/>
      <c r="D42" s="300">
        <v>0</v>
      </c>
      <c r="E42" s="301">
        <f t="shared" si="4"/>
        <v>0</v>
      </c>
      <c r="F42" s="300">
        <f t="shared" si="6"/>
        <v>0</v>
      </c>
      <c r="G42" s="302">
        <f t="shared" si="5"/>
        <v>0</v>
      </c>
      <c r="M42" s="264"/>
      <c r="N42" s="264"/>
    </row>
    <row r="43" spans="1:14" ht="15.75" thickBot="1">
      <c r="A43" s="271"/>
      <c r="B43" s="303"/>
      <c r="C43" s="304"/>
      <c r="D43" s="300">
        <v>0</v>
      </c>
      <c r="E43" s="301">
        <f t="shared" si="4"/>
        <v>0</v>
      </c>
      <c r="F43" s="300">
        <f t="shared" si="6"/>
        <v>0</v>
      </c>
      <c r="G43" s="302">
        <f t="shared" si="5"/>
        <v>0</v>
      </c>
      <c r="M43" s="264"/>
      <c r="N43" s="264"/>
    </row>
    <row r="44" spans="1:14" ht="15.75" thickBot="1">
      <c r="A44" s="283"/>
      <c r="B44" s="284" t="s">
        <v>356</v>
      </c>
      <c r="C44" s="285"/>
      <c r="D44" s="286">
        <v>633091866.9049126</v>
      </c>
      <c r="E44" s="286">
        <f>SUM(E35:E43)</f>
        <v>11257457.03242891</v>
      </c>
      <c r="F44" s="286">
        <f>SUM(F35:F43)</f>
        <v>0</v>
      </c>
      <c r="G44" s="286">
        <f>SUM(G35:G43)</f>
        <v>644349323.9373415</v>
      </c>
      <c r="I44" s="305"/>
      <c r="J44" s="287"/>
      <c r="M44" s="306"/>
      <c r="N44" s="264"/>
    </row>
    <row r="45" spans="4:14" ht="15.75">
      <c r="D45" s="287"/>
      <c r="E45" s="494" t="s">
        <v>376</v>
      </c>
      <c r="F45" s="494"/>
      <c r="G45" s="494"/>
      <c r="M45" s="264"/>
      <c r="N45" s="264"/>
    </row>
    <row r="46" spans="4:7" ht="15">
      <c r="D46" s="287"/>
      <c r="E46" s="487" t="s">
        <v>483</v>
      </c>
      <c r="F46" s="487"/>
      <c r="G46" s="487"/>
    </row>
    <row r="47" spans="4:7" ht="15">
      <c r="D47" s="307"/>
      <c r="G47" s="287"/>
    </row>
    <row r="48" spans="4:7" ht="15">
      <c r="D48" s="287"/>
      <c r="E48" s="287"/>
      <c r="F48" s="287"/>
      <c r="G48" s="287"/>
    </row>
    <row r="49" spans="5:7" ht="15">
      <c r="E49" s="163" t="s">
        <v>484</v>
      </c>
      <c r="G49" s="287"/>
    </row>
    <row r="50" ht="15">
      <c r="G50" s="259"/>
    </row>
    <row r="51" spans="4:7" ht="15">
      <c r="D51" s="307"/>
      <c r="G51" s="287"/>
    </row>
    <row r="52" ht="15">
      <c r="D52" s="307"/>
    </row>
    <row r="53" ht="15">
      <c r="D53" s="307"/>
    </row>
    <row r="54" ht="15">
      <c r="D54" s="307"/>
    </row>
    <row r="55" ht="15">
      <c r="D55" s="307"/>
    </row>
    <row r="56" ht="15">
      <c r="D56" s="307"/>
    </row>
    <row r="57" ht="15">
      <c r="D57" s="307"/>
    </row>
    <row r="58" ht="15">
      <c r="D58" s="307"/>
    </row>
    <row r="59" ht="15">
      <c r="D59" s="307">
        <v>0</v>
      </c>
    </row>
  </sheetData>
  <sheetProtection/>
  <mergeCells count="20">
    <mergeCell ref="B3:G3"/>
    <mergeCell ref="A5:A6"/>
    <mergeCell ref="B5:B6"/>
    <mergeCell ref="C5:C6"/>
    <mergeCell ref="E5:E6"/>
    <mergeCell ref="F5:F6"/>
    <mergeCell ref="B17:G17"/>
    <mergeCell ref="A19:A20"/>
    <mergeCell ref="B19:B20"/>
    <mergeCell ref="C19:C20"/>
    <mergeCell ref="E19:E20"/>
    <mergeCell ref="F19:F20"/>
    <mergeCell ref="B31:G31"/>
    <mergeCell ref="E46:G46"/>
    <mergeCell ref="A33:A34"/>
    <mergeCell ref="B33:B34"/>
    <mergeCell ref="C33:C34"/>
    <mergeCell ref="E33:E34"/>
    <mergeCell ref="F33:F34"/>
    <mergeCell ref="E45:G4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9.140625" style="165" customWidth="1"/>
    <col min="2" max="2" width="9.140625" style="163" customWidth="1"/>
    <col min="3" max="3" width="9.140625" style="164" customWidth="1"/>
    <col min="4" max="16384" width="9.140625" style="163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2017-03-30T08:38:18Z</cp:lastPrinted>
  <dcterms:created xsi:type="dcterms:W3CDTF">2002-02-16T18:16:52Z</dcterms:created>
  <dcterms:modified xsi:type="dcterms:W3CDTF">2018-11-27T21:15:46Z</dcterms:modified>
  <cp:category/>
  <cp:version/>
  <cp:contentType/>
  <cp:contentStatus/>
</cp:coreProperties>
</file>