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8475" windowHeight="5640" tabRatio="947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aktivet sips udhez" sheetId="16" state="hidden" r:id="rId7"/>
    <sheet name="inv auto" sheetId="21" state="hidden" r:id="rId8"/>
    <sheet name="inv mall" sheetId="22" state="hidden" r:id="rId9"/>
    <sheet name="inv asete" sheetId="25" state="hidden" r:id="rId10"/>
    <sheet name="Bilanci Alpha" sheetId="11" state="hidden" r:id="rId11"/>
    <sheet name="Ardh shpenz alpha" sheetId="12" state="hidden" r:id="rId12"/>
    <sheet name="tjera" sheetId="6" state="hidden" r:id="rId13"/>
    <sheet name="fdp" sheetId="23" state="hidden" r:id="rId14"/>
  </sheets>
  <calcPr calcId="144525"/>
</workbook>
</file>

<file path=xl/calcChain.xml><?xml version="1.0" encoding="utf-8"?>
<calcChain xmlns="http://schemas.openxmlformats.org/spreadsheetml/2006/main">
  <c r="M23" i="21" l="1"/>
  <c r="J23" i="21"/>
  <c r="E10" i="25"/>
  <c r="H19" i="13"/>
  <c r="H12" i="13"/>
  <c r="H7" i="13"/>
  <c r="D43" i="11"/>
  <c r="D105" i="11"/>
  <c r="C71" i="12"/>
  <c r="C170" i="6"/>
  <c r="C166" i="6"/>
  <c r="C162" i="6"/>
  <c r="C161" i="6"/>
  <c r="C159" i="6"/>
  <c r="C158" i="6"/>
  <c r="C165" i="6"/>
  <c r="C152" i="6"/>
  <c r="C155" i="6"/>
  <c r="C147" i="6"/>
  <c r="C127" i="6"/>
  <c r="C121" i="6"/>
  <c r="C120" i="6"/>
  <c r="C110" i="6"/>
  <c r="C106" i="6"/>
  <c r="C109" i="6"/>
  <c r="C100" i="6"/>
  <c r="C99" i="6"/>
  <c r="C89" i="6"/>
  <c r="C87" i="6"/>
  <c r="C88" i="6"/>
  <c r="C90" i="6"/>
  <c r="C81" i="6"/>
  <c r="C80" i="6"/>
  <c r="C43" i="6"/>
  <c r="C75" i="6"/>
  <c r="C65" i="6"/>
  <c r="C69" i="6"/>
  <c r="C60" i="6"/>
  <c r="C52" i="6"/>
  <c r="C45" i="6"/>
  <c r="C44" i="6"/>
  <c r="C40" i="6"/>
  <c r="C35" i="6"/>
  <c r="C34" i="6"/>
  <c r="C30" i="6"/>
  <c r="C20" i="6"/>
  <c r="C12" i="6"/>
  <c r="C19" i="6"/>
  <c r="C29" i="6"/>
  <c r="C38" i="6"/>
  <c r="C53" i="6"/>
  <c r="C57" i="6"/>
  <c r="C63" i="6"/>
  <c r="C73" i="6"/>
  <c r="C79" i="6"/>
  <c r="C86" i="6"/>
  <c r="C8" i="6"/>
  <c r="C7" i="6"/>
  <c r="C6" i="6"/>
  <c r="F166" i="22"/>
  <c r="C147" i="22"/>
  <c r="F118" i="22"/>
  <c r="F70" i="22"/>
  <c r="C51" i="22"/>
  <c r="C99" i="22"/>
  <c r="F14" i="22"/>
  <c r="F13" i="22"/>
  <c r="F12" i="22"/>
  <c r="F28" i="22"/>
  <c r="D37" i="3"/>
  <c r="D35" i="3"/>
  <c r="D39" i="3"/>
  <c r="D11" i="3"/>
  <c r="D21" i="2"/>
  <c r="D13" i="2"/>
  <c r="C148" i="6"/>
  <c r="D9" i="2"/>
  <c r="D69" i="1"/>
  <c r="D68" i="1"/>
  <c r="D67" i="1"/>
  <c r="D66" i="1"/>
  <c r="D65" i="1"/>
  <c r="D64" i="1"/>
  <c r="D61" i="1"/>
  <c r="D50" i="1"/>
  <c r="D48" i="1"/>
  <c r="D47" i="1"/>
  <c r="C70" i="6"/>
  <c r="D46" i="1"/>
  <c r="C41" i="6"/>
  <c r="D45" i="1"/>
  <c r="C39" i="6"/>
  <c r="D43" i="1"/>
  <c r="D27" i="1"/>
  <c r="D26" i="1"/>
  <c r="D21" i="1"/>
  <c r="D19" i="1"/>
  <c r="D18" i="1"/>
  <c r="D13" i="1"/>
  <c r="D15" i="3"/>
  <c r="D12" i="1"/>
  <c r="D16" i="1"/>
  <c r="D98" i="11"/>
  <c r="D89" i="11"/>
  <c r="D112" i="11"/>
  <c r="D77" i="11"/>
  <c r="D48" i="11"/>
  <c r="D8" i="1"/>
  <c r="D38" i="11"/>
  <c r="D20" i="1"/>
  <c r="C13" i="6"/>
  <c r="D32" i="11"/>
  <c r="D23" i="11"/>
  <c r="D18" i="11"/>
  <c r="D10" i="11"/>
  <c r="C91" i="12"/>
  <c r="C83" i="12"/>
  <c r="D15" i="2"/>
  <c r="D10" i="3"/>
  <c r="C79" i="12"/>
  <c r="C74" i="12"/>
  <c r="D14" i="2"/>
  <c r="C124" i="6"/>
  <c r="C70" i="12"/>
  <c r="D12" i="2"/>
  <c r="C62" i="12"/>
  <c r="C17" i="12"/>
  <c r="C179" i="6"/>
  <c r="C12" i="12"/>
  <c r="D8" i="2"/>
  <c r="L80" i="23"/>
  <c r="M88" i="23"/>
  <c r="I88" i="23"/>
  <c r="H88" i="23"/>
  <c r="C88" i="23"/>
  <c r="B88" i="23"/>
  <c r="N87" i="23"/>
  <c r="L87" i="23"/>
  <c r="J87" i="23"/>
  <c r="D87" i="23"/>
  <c r="N86" i="23"/>
  <c r="L86" i="23"/>
  <c r="J86" i="23"/>
  <c r="O86" i="23"/>
  <c r="D86" i="23"/>
  <c r="N85" i="23"/>
  <c r="L85" i="23"/>
  <c r="J85" i="23"/>
  <c r="D85" i="23"/>
  <c r="N84" i="23"/>
  <c r="L84" i="23"/>
  <c r="J84" i="23"/>
  <c r="D84" i="23"/>
  <c r="N83" i="23"/>
  <c r="L83" i="23"/>
  <c r="J83" i="23"/>
  <c r="D83" i="23"/>
  <c r="N82" i="23"/>
  <c r="L82" i="23"/>
  <c r="J82" i="23"/>
  <c r="D82" i="23"/>
  <c r="N81" i="23"/>
  <c r="L81" i="23"/>
  <c r="J81" i="23"/>
  <c r="D81" i="23"/>
  <c r="N80" i="23"/>
  <c r="K88" i="23"/>
  <c r="J80" i="23"/>
  <c r="D80" i="23"/>
  <c r="N79" i="23"/>
  <c r="L79" i="23"/>
  <c r="J79" i="23"/>
  <c r="D79" i="23"/>
  <c r="N78" i="23"/>
  <c r="L78" i="23"/>
  <c r="J78" i="23"/>
  <c r="D78" i="23"/>
  <c r="N77" i="23"/>
  <c r="L77" i="23"/>
  <c r="D77" i="23"/>
  <c r="N76" i="23"/>
  <c r="L76" i="23"/>
  <c r="D76" i="23"/>
  <c r="F185" i="6"/>
  <c r="G185" i="6"/>
  <c r="E180" i="6"/>
  <c r="E179" i="6"/>
  <c r="E181" i="6"/>
  <c r="E183" i="6"/>
  <c r="D180" i="6"/>
  <c r="D179" i="6"/>
  <c r="D181" i="6"/>
  <c r="D183" i="6"/>
  <c r="D147" i="6"/>
  <c r="E128" i="6"/>
  <c r="E127" i="6"/>
  <c r="D127" i="6"/>
  <c r="E100" i="6"/>
  <c r="E65" i="6"/>
  <c r="D65" i="6"/>
  <c r="E52" i="6"/>
  <c r="D52" i="6"/>
  <c r="E12" i="16"/>
  <c r="E28" i="16"/>
  <c r="E27" i="16"/>
  <c r="D28" i="16"/>
  <c r="D27" i="16"/>
  <c r="D12" i="16"/>
  <c r="I13" i="14"/>
  <c r="D11" i="16"/>
  <c r="E12" i="12"/>
  <c r="F12" i="12"/>
  <c r="G12" i="12"/>
  <c r="H8" i="2"/>
  <c r="G103" i="6"/>
  <c r="E105" i="11"/>
  <c r="E20" i="11"/>
  <c r="E9" i="25"/>
  <c r="D73" i="12"/>
  <c r="E7" i="25"/>
  <c r="F31" i="11"/>
  <c r="F105" i="11"/>
  <c r="F20" i="11"/>
  <c r="E103" i="12"/>
  <c r="E73" i="12"/>
  <c r="E71" i="12"/>
  <c r="G49" i="11"/>
  <c r="F32" i="11"/>
  <c r="G32" i="11"/>
  <c r="F6" i="25"/>
  <c r="F8" i="25"/>
  <c r="F10" i="25"/>
  <c r="F11" i="25"/>
  <c r="F12" i="25"/>
  <c r="F13" i="25"/>
  <c r="F14" i="25"/>
  <c r="F15" i="25"/>
  <c r="F73" i="12"/>
  <c r="G66" i="12"/>
  <c r="G90" i="12"/>
  <c r="G98" i="12"/>
  <c r="G99" i="12"/>
  <c r="G102" i="12"/>
  <c r="D70" i="12"/>
  <c r="E70" i="12"/>
  <c r="F70" i="12"/>
  <c r="F71" i="12"/>
  <c r="E17" i="12"/>
  <c r="F17" i="12"/>
  <c r="K57" i="23"/>
  <c r="K56" i="23"/>
  <c r="J55" i="23"/>
  <c r="J56" i="23"/>
  <c r="J57" i="23"/>
  <c r="J58" i="23"/>
  <c r="J59" i="23"/>
  <c r="J60" i="23"/>
  <c r="J61" i="23"/>
  <c r="J62" i="23"/>
  <c r="J63" i="23"/>
  <c r="J54" i="23"/>
  <c r="D100" i="6"/>
  <c r="D170" i="6"/>
  <c r="D161" i="6"/>
  <c r="D159" i="6"/>
  <c r="D158" i="6"/>
  <c r="D152" i="6"/>
  <c r="D155" i="6"/>
  <c r="D121" i="6"/>
  <c r="D120" i="6"/>
  <c r="D99" i="6"/>
  <c r="D102" i="6"/>
  <c r="D89" i="6"/>
  <c r="D87" i="6"/>
  <c r="D88" i="6"/>
  <c r="D90" i="6"/>
  <c r="D81" i="6"/>
  <c r="D80" i="6"/>
  <c r="D82" i="6"/>
  <c r="D75" i="6"/>
  <c r="D60" i="6"/>
  <c r="D45" i="6"/>
  <c r="D44" i="6"/>
  <c r="D69" i="6"/>
  <c r="D30" i="6"/>
  <c r="D34" i="6"/>
  <c r="D12" i="6"/>
  <c r="D19" i="6"/>
  <c r="D29" i="6"/>
  <c r="D38" i="6"/>
  <c r="D53" i="6"/>
  <c r="D57" i="6"/>
  <c r="D63" i="6"/>
  <c r="D73" i="6"/>
  <c r="D79" i="6"/>
  <c r="D86" i="6"/>
  <c r="D8" i="6"/>
  <c r="D7" i="6"/>
  <c r="D6" i="6"/>
  <c r="D162" i="6"/>
  <c r="D165" i="6"/>
  <c r="D62" i="12"/>
  <c r="E62" i="12"/>
  <c r="D74" i="12"/>
  <c r="D12" i="12"/>
  <c r="D17" i="12"/>
  <c r="I64" i="23"/>
  <c r="E35" i="3"/>
  <c r="E14" i="2"/>
  <c r="D124" i="6"/>
  <c r="E12" i="2"/>
  <c r="D116" i="6"/>
  <c r="E9" i="2"/>
  <c r="D106" i="6"/>
  <c r="D109" i="6"/>
  <c r="E68" i="1"/>
  <c r="E67" i="1"/>
  <c r="E66" i="1"/>
  <c r="E65" i="1"/>
  <c r="E64" i="1"/>
  <c r="E61" i="1"/>
  <c r="E50" i="1"/>
  <c r="E48" i="1"/>
  <c r="E47" i="1"/>
  <c r="D70" i="6"/>
  <c r="E46" i="1"/>
  <c r="D41" i="6"/>
  <c r="E45" i="1"/>
  <c r="D39" i="6"/>
  <c r="E43" i="1"/>
  <c r="D40" i="6"/>
  <c r="E27" i="1"/>
  <c r="E26" i="1"/>
  <c r="D35" i="6"/>
  <c r="E21" i="1"/>
  <c r="E19" i="1"/>
  <c r="E18" i="1"/>
  <c r="E13" i="1"/>
  <c r="D21" i="6"/>
  <c r="E12" i="1"/>
  <c r="D20" i="6"/>
  <c r="E16" i="1"/>
  <c r="D91" i="12"/>
  <c r="E21" i="2"/>
  <c r="D166" i="6"/>
  <c r="D83" i="12"/>
  <c r="E15" i="2"/>
  <c r="D79" i="12"/>
  <c r="D34" i="12"/>
  <c r="D43" i="12"/>
  <c r="E8" i="2"/>
  <c r="D103" i="6"/>
  <c r="E98" i="11"/>
  <c r="E89" i="11"/>
  <c r="E48" i="11"/>
  <c r="E8" i="1"/>
  <c r="E38" i="11"/>
  <c r="M64" i="23"/>
  <c r="K64" i="23"/>
  <c r="C64" i="23"/>
  <c r="B64" i="23"/>
  <c r="N63" i="23"/>
  <c r="L63" i="23"/>
  <c r="H64" i="23"/>
  <c r="H66" i="23"/>
  <c r="D63" i="23"/>
  <c r="N62" i="23"/>
  <c r="L62" i="23"/>
  <c r="D62" i="23"/>
  <c r="N61" i="23"/>
  <c r="L61" i="23"/>
  <c r="D61" i="23"/>
  <c r="N60" i="23"/>
  <c r="L60" i="23"/>
  <c r="D60" i="23"/>
  <c r="N59" i="23"/>
  <c r="L59" i="23"/>
  <c r="O59" i="23"/>
  <c r="D59" i="23"/>
  <c r="N58" i="23"/>
  <c r="L58" i="23"/>
  <c r="D58" i="23"/>
  <c r="N57" i="23"/>
  <c r="L57" i="23"/>
  <c r="O57" i="23"/>
  <c r="D57" i="23"/>
  <c r="N56" i="23"/>
  <c r="O56" i="23"/>
  <c r="D56" i="23"/>
  <c r="N55" i="23"/>
  <c r="L55" i="23"/>
  <c r="D55" i="23"/>
  <c r="N54" i="23"/>
  <c r="L54" i="23"/>
  <c r="D54" i="23"/>
  <c r="N53" i="23"/>
  <c r="L53" i="23"/>
  <c r="D53" i="23"/>
  <c r="N52" i="23"/>
  <c r="L52" i="23"/>
  <c r="O52" i="23"/>
  <c r="D52" i="23"/>
  <c r="E147" i="6"/>
  <c r="F43" i="1"/>
  <c r="E40" i="6"/>
  <c r="E74" i="12"/>
  <c r="E170" i="6"/>
  <c r="E162" i="6"/>
  <c r="E161" i="6"/>
  <c r="E159" i="6"/>
  <c r="E158" i="6"/>
  <c r="E152" i="6"/>
  <c r="E155" i="6"/>
  <c r="E121" i="6"/>
  <c r="E120" i="6"/>
  <c r="E99" i="6"/>
  <c r="E102" i="6"/>
  <c r="E89" i="6"/>
  <c r="E87" i="6"/>
  <c r="E88" i="6"/>
  <c r="E81" i="6"/>
  <c r="E44" i="6"/>
  <c r="E80" i="6"/>
  <c r="E75" i="6"/>
  <c r="E60" i="6"/>
  <c r="E45" i="6"/>
  <c r="E43" i="6"/>
  <c r="E30" i="6"/>
  <c r="E34" i="6"/>
  <c r="E12" i="6"/>
  <c r="E19" i="6"/>
  <c r="E29" i="6"/>
  <c r="E38" i="6"/>
  <c r="E53" i="6"/>
  <c r="E57" i="6"/>
  <c r="E63" i="6"/>
  <c r="E73" i="6"/>
  <c r="E79" i="6"/>
  <c r="E86" i="6"/>
  <c r="E8" i="6"/>
  <c r="E7" i="6"/>
  <c r="E6" i="6"/>
  <c r="F35" i="3"/>
  <c r="F14" i="2"/>
  <c r="E124" i="6"/>
  <c r="F12" i="2"/>
  <c r="E116" i="6"/>
  <c r="F9" i="2"/>
  <c r="E110" i="6"/>
  <c r="F68" i="1"/>
  <c r="F67" i="1"/>
  <c r="F66" i="1"/>
  <c r="F65" i="1"/>
  <c r="F64" i="1"/>
  <c r="F61" i="1"/>
  <c r="F50" i="1"/>
  <c r="F48" i="1"/>
  <c r="F47" i="1"/>
  <c r="E70" i="6"/>
  <c r="F46" i="1"/>
  <c r="E41" i="6"/>
  <c r="F45" i="1"/>
  <c r="E39" i="6"/>
  <c r="F27" i="1"/>
  <c r="E11" i="3"/>
  <c r="F26" i="1"/>
  <c r="E35" i="6"/>
  <c r="F21" i="1"/>
  <c r="F20" i="1"/>
  <c r="E13" i="6"/>
  <c r="F19" i="1"/>
  <c r="F18" i="1"/>
  <c r="F13" i="1"/>
  <c r="E21" i="6"/>
  <c r="F12" i="1"/>
  <c r="E20" i="6"/>
  <c r="F98" i="11"/>
  <c r="F89" i="11"/>
  <c r="F48" i="11"/>
  <c r="F8" i="1"/>
  <c r="F38" i="11"/>
  <c r="E91" i="12"/>
  <c r="F21" i="2"/>
  <c r="E166" i="6"/>
  <c r="E83" i="12"/>
  <c r="F15" i="2"/>
  <c r="E79" i="12"/>
  <c r="F13" i="2"/>
  <c r="E148" i="6"/>
  <c r="E34" i="12"/>
  <c r="E43" i="12"/>
  <c r="F8" i="2"/>
  <c r="H38" i="23"/>
  <c r="H39" i="23"/>
  <c r="M39" i="23"/>
  <c r="K39" i="23"/>
  <c r="C39" i="23"/>
  <c r="B39" i="23"/>
  <c r="H45" i="23"/>
  <c r="N38" i="23"/>
  <c r="L38" i="23"/>
  <c r="D38" i="23"/>
  <c r="N37" i="23"/>
  <c r="L37" i="23"/>
  <c r="D37" i="23"/>
  <c r="N36" i="23"/>
  <c r="L36" i="23"/>
  <c r="D36" i="23"/>
  <c r="N35" i="23"/>
  <c r="L35" i="23"/>
  <c r="D35" i="23"/>
  <c r="N34" i="23"/>
  <c r="L34" i="23"/>
  <c r="D34" i="23"/>
  <c r="N33" i="23"/>
  <c r="L33" i="23"/>
  <c r="D33" i="23"/>
  <c r="N32" i="23"/>
  <c r="L32" i="23"/>
  <c r="D32" i="23"/>
  <c r="N31" i="23"/>
  <c r="L31" i="23"/>
  <c r="D31" i="23"/>
  <c r="N30" i="23"/>
  <c r="L30" i="23"/>
  <c r="D30" i="23"/>
  <c r="N29" i="23"/>
  <c r="L29" i="23"/>
  <c r="D29" i="23"/>
  <c r="N28" i="23"/>
  <c r="L28" i="23"/>
  <c r="D28" i="23"/>
  <c r="N27" i="23"/>
  <c r="L27" i="23"/>
  <c r="D27" i="23"/>
  <c r="F4" i="25"/>
  <c r="F141" i="6"/>
  <c r="F137" i="6"/>
  <c r="F30" i="6"/>
  <c r="G30" i="6"/>
  <c r="F34" i="6"/>
  <c r="G34" i="6"/>
  <c r="F45" i="6"/>
  <c r="G45" i="6"/>
  <c r="F60" i="6"/>
  <c r="G60" i="6"/>
  <c r="G98" i="11"/>
  <c r="G89" i="11"/>
  <c r="G74" i="12"/>
  <c r="F170" i="6"/>
  <c r="F161" i="6"/>
  <c r="F159" i="6"/>
  <c r="F158" i="6"/>
  <c r="F152" i="6"/>
  <c r="F155" i="6"/>
  <c r="F121" i="6"/>
  <c r="F120" i="6"/>
  <c r="F99" i="6"/>
  <c r="F102" i="6"/>
  <c r="F89" i="6"/>
  <c r="F81" i="6"/>
  <c r="F44" i="6"/>
  <c r="F80" i="6"/>
  <c r="F43" i="6"/>
  <c r="F75" i="6"/>
  <c r="F12" i="6"/>
  <c r="F19" i="6"/>
  <c r="F29" i="6"/>
  <c r="F38" i="6"/>
  <c r="F53" i="6"/>
  <c r="F57" i="6"/>
  <c r="F63" i="6"/>
  <c r="F73" i="6"/>
  <c r="F79" i="6"/>
  <c r="F86" i="6"/>
  <c r="F8" i="6"/>
  <c r="F6" i="6"/>
  <c r="G35" i="3"/>
  <c r="G12" i="2"/>
  <c r="F116" i="6"/>
  <c r="G9" i="2"/>
  <c r="F110" i="6"/>
  <c r="G68" i="1"/>
  <c r="G67" i="1"/>
  <c r="G66" i="1"/>
  <c r="G65" i="1"/>
  <c r="G64" i="1"/>
  <c r="G61" i="1"/>
  <c r="G50" i="1"/>
  <c r="G48" i="1"/>
  <c r="G46" i="1"/>
  <c r="F41" i="6"/>
  <c r="F67" i="6"/>
  <c r="F69" i="6"/>
  <c r="G43" i="1"/>
  <c r="F40" i="6"/>
  <c r="G27" i="1"/>
  <c r="F11" i="3"/>
  <c r="G26" i="1"/>
  <c r="F35" i="6"/>
  <c r="G21" i="1"/>
  <c r="G20" i="1"/>
  <c r="F13" i="6"/>
  <c r="G19" i="1"/>
  <c r="G18" i="1"/>
  <c r="G23" i="1"/>
  <c r="G47" i="1"/>
  <c r="F42" i="6"/>
  <c r="G45" i="1"/>
  <c r="F39" i="6"/>
  <c r="F7" i="6"/>
  <c r="G48" i="11"/>
  <c r="G8" i="1"/>
  <c r="F87" i="6"/>
  <c r="F88" i="6"/>
  <c r="F90" i="6"/>
  <c r="G12" i="1"/>
  <c r="G38" i="11"/>
  <c r="G18" i="11"/>
  <c r="G33" i="1"/>
  <c r="G36" i="1"/>
  <c r="F162" i="6"/>
  <c r="F91" i="12"/>
  <c r="G21" i="2"/>
  <c r="F166" i="6"/>
  <c r="F83" i="12"/>
  <c r="G15" i="2"/>
  <c r="F79" i="12"/>
  <c r="F74" i="12"/>
  <c r="G13" i="2"/>
  <c r="F148" i="6"/>
  <c r="F34" i="12"/>
  <c r="F43" i="12"/>
  <c r="G8" i="2"/>
  <c r="H98" i="11"/>
  <c r="H89" i="11"/>
  <c r="G91" i="12"/>
  <c r="G17" i="12"/>
  <c r="G34" i="12"/>
  <c r="G43" i="12"/>
  <c r="L4" i="23"/>
  <c r="N6" i="23"/>
  <c r="N7" i="23"/>
  <c r="N8" i="23"/>
  <c r="N9" i="23"/>
  <c r="N10" i="23"/>
  <c r="N11" i="23"/>
  <c r="N12" i="23"/>
  <c r="N13" i="23"/>
  <c r="N14" i="23"/>
  <c r="N15" i="23"/>
  <c r="N5" i="23"/>
  <c r="L6" i="23"/>
  <c r="L7" i="23"/>
  <c r="O7" i="23"/>
  <c r="L8" i="23"/>
  <c r="L9" i="23"/>
  <c r="O9" i="23"/>
  <c r="L10" i="23"/>
  <c r="L11" i="23"/>
  <c r="O11" i="23"/>
  <c r="L12" i="23"/>
  <c r="L13" i="23"/>
  <c r="O13" i="23"/>
  <c r="L14" i="23"/>
  <c r="L15" i="23"/>
  <c r="O15" i="23"/>
  <c r="L5" i="23"/>
  <c r="N4" i="23"/>
  <c r="O4" i="23"/>
  <c r="H16" i="23"/>
  <c r="K16" i="23"/>
  <c r="M16" i="23"/>
  <c r="C16" i="23"/>
  <c r="B16" i="23"/>
  <c r="D15" i="23"/>
  <c r="D14" i="23"/>
  <c r="D13" i="23"/>
  <c r="D12" i="23"/>
  <c r="D11" i="23"/>
  <c r="D10" i="23"/>
  <c r="D9" i="23"/>
  <c r="D8" i="23"/>
  <c r="D7" i="23"/>
  <c r="D6" i="23"/>
  <c r="D5" i="23"/>
  <c r="D4" i="23"/>
  <c r="D16" i="23"/>
  <c r="G170" i="6"/>
  <c r="G162" i="6"/>
  <c r="G161" i="6"/>
  <c r="G159" i="6"/>
  <c r="G158" i="6"/>
  <c r="G152" i="6"/>
  <c r="G155" i="6"/>
  <c r="G147" i="6"/>
  <c r="G121" i="6"/>
  <c r="G120" i="6"/>
  <c r="G99" i="6"/>
  <c r="G102" i="6"/>
  <c r="G89" i="6"/>
  <c r="G87" i="6"/>
  <c r="G88" i="6"/>
  <c r="G81" i="6"/>
  <c r="G44" i="6"/>
  <c r="G80" i="6"/>
  <c r="G43" i="6"/>
  <c r="G75" i="6"/>
  <c r="G12" i="6"/>
  <c r="G19" i="6"/>
  <c r="G29" i="6"/>
  <c r="G38" i="6"/>
  <c r="G53" i="6"/>
  <c r="G57" i="6"/>
  <c r="G63" i="6"/>
  <c r="G73" i="6"/>
  <c r="G79" i="6"/>
  <c r="G86" i="6"/>
  <c r="G8" i="6"/>
  <c r="G7" i="6"/>
  <c r="G6" i="6"/>
  <c r="G39" i="16"/>
  <c r="G23" i="16"/>
  <c r="D39" i="16"/>
  <c r="D23" i="16"/>
  <c r="H48" i="11"/>
  <c r="H38" i="11"/>
  <c r="H31" i="11"/>
  <c r="H18" i="11"/>
  <c r="H10" i="11"/>
  <c r="G83" i="12"/>
  <c r="H15" i="2"/>
  <c r="G79" i="12"/>
  <c r="H35" i="3"/>
  <c r="H14" i="2"/>
  <c r="G124" i="6"/>
  <c r="H13" i="2"/>
  <c r="G148" i="6"/>
  <c r="H12" i="2"/>
  <c r="G116" i="6"/>
  <c r="H9" i="2"/>
  <c r="G110" i="6"/>
  <c r="H69" i="1"/>
  <c r="H68" i="1"/>
  <c r="H67" i="1"/>
  <c r="H66" i="1"/>
  <c r="H65" i="1"/>
  <c r="H64" i="1"/>
  <c r="H61" i="1"/>
  <c r="H50" i="1"/>
  <c r="H48" i="1"/>
  <c r="H47" i="1"/>
  <c r="G42" i="6"/>
  <c r="H46" i="1"/>
  <c r="G41" i="6"/>
  <c r="G67" i="6"/>
  <c r="G69" i="6"/>
  <c r="H45" i="1"/>
  <c r="G39" i="6"/>
  <c r="H43" i="1"/>
  <c r="G40" i="6"/>
  <c r="H55" i="1"/>
  <c r="H27" i="1"/>
  <c r="G11" i="3"/>
  <c r="H26" i="1"/>
  <c r="G35" i="6"/>
  <c r="H21" i="1"/>
  <c r="H20" i="1"/>
  <c r="G13" i="6"/>
  <c r="H19" i="1"/>
  <c r="H23" i="1"/>
  <c r="H18" i="1"/>
  <c r="G17" i="3"/>
  <c r="H13" i="1"/>
  <c r="G21" i="6"/>
  <c r="H12" i="1"/>
  <c r="G20" i="6"/>
  <c r="H16" i="1"/>
  <c r="H8" i="1"/>
  <c r="G10" i="6"/>
  <c r="K15" i="13"/>
  <c r="I35" i="3"/>
  <c r="I25" i="2"/>
  <c r="I21" i="2"/>
  <c r="I15" i="2"/>
  <c r="I10" i="3"/>
  <c r="I14" i="2"/>
  <c r="I13" i="2"/>
  <c r="I12" i="2"/>
  <c r="I9" i="2"/>
  <c r="I8" i="2"/>
  <c r="I16" i="2"/>
  <c r="I23" i="2"/>
  <c r="I70" i="1"/>
  <c r="I69" i="1"/>
  <c r="I68" i="1"/>
  <c r="I67" i="1"/>
  <c r="I66" i="1"/>
  <c r="I65" i="1"/>
  <c r="I64" i="1"/>
  <c r="I71" i="1"/>
  <c r="I61" i="1"/>
  <c r="I50" i="1"/>
  <c r="I48" i="1"/>
  <c r="I47" i="1"/>
  <c r="I46" i="1"/>
  <c r="I45" i="1"/>
  <c r="I43" i="1"/>
  <c r="I55" i="1"/>
  <c r="I33" i="1"/>
  <c r="I36" i="1"/>
  <c r="I27" i="1"/>
  <c r="I26" i="1"/>
  <c r="I21" i="1"/>
  <c r="I20" i="1"/>
  <c r="I19" i="1"/>
  <c r="I18" i="1"/>
  <c r="I23" i="1"/>
  <c r="I13" i="1"/>
  <c r="I12" i="1"/>
  <c r="I16" i="1"/>
  <c r="I29" i="1"/>
  <c r="I38" i="1"/>
  <c r="I8" i="1"/>
  <c r="I10" i="1"/>
  <c r="I21" i="13"/>
  <c r="I20" i="13"/>
  <c r="I22" i="13"/>
  <c r="K22" i="13"/>
  <c r="K20" i="13"/>
  <c r="K21" i="13"/>
  <c r="D23" i="13"/>
  <c r="E23" i="13"/>
  <c r="K13" i="13"/>
  <c r="I13" i="13"/>
  <c r="J35" i="3"/>
  <c r="J25" i="2"/>
  <c r="J21" i="2"/>
  <c r="J15" i="2"/>
  <c r="J14" i="2"/>
  <c r="J13" i="2"/>
  <c r="J12" i="2"/>
  <c r="J9" i="2"/>
  <c r="J8" i="2"/>
  <c r="J16" i="2"/>
  <c r="J23" i="2"/>
  <c r="J70" i="1"/>
  <c r="J69" i="1"/>
  <c r="J68" i="1"/>
  <c r="J67" i="1"/>
  <c r="J66" i="1"/>
  <c r="J65" i="1"/>
  <c r="J64" i="1"/>
  <c r="J71" i="1"/>
  <c r="J73" i="1"/>
  <c r="J61" i="1"/>
  <c r="J50" i="1"/>
  <c r="J48" i="1"/>
  <c r="J47" i="1"/>
  <c r="J46" i="1"/>
  <c r="J45" i="1"/>
  <c r="J43" i="1"/>
  <c r="J55" i="1"/>
  <c r="J33" i="1"/>
  <c r="J36" i="1"/>
  <c r="J27" i="1"/>
  <c r="I11" i="3"/>
  <c r="J26" i="1"/>
  <c r="J21" i="1"/>
  <c r="J20" i="1"/>
  <c r="J19" i="1"/>
  <c r="J18" i="1"/>
  <c r="I17" i="3"/>
  <c r="J23" i="1"/>
  <c r="J13" i="1"/>
  <c r="J12" i="1"/>
  <c r="J16" i="1"/>
  <c r="J8" i="1"/>
  <c r="J10" i="1"/>
  <c r="F42" i="16"/>
  <c r="F44" i="16"/>
  <c r="F43" i="16"/>
  <c r="F49" i="16"/>
  <c r="D42" i="16"/>
  <c r="G48" i="16"/>
  <c r="G47" i="16"/>
  <c r="G46" i="16"/>
  <c r="G45" i="16"/>
  <c r="G41" i="16"/>
  <c r="G40" i="16"/>
  <c r="F33" i="16"/>
  <c r="D33" i="16"/>
  <c r="G32" i="16"/>
  <c r="G31" i="16"/>
  <c r="G30" i="16"/>
  <c r="G27" i="16"/>
  <c r="G25" i="16"/>
  <c r="G24" i="16"/>
  <c r="F17" i="16"/>
  <c r="G16" i="16"/>
  <c r="G15" i="16"/>
  <c r="G14" i="16"/>
  <c r="G13" i="16"/>
  <c r="G10" i="16"/>
  <c r="G9" i="16"/>
  <c r="G8" i="16"/>
  <c r="K35" i="3"/>
  <c r="K25" i="2"/>
  <c r="K21" i="2"/>
  <c r="K15" i="2"/>
  <c r="K10" i="3"/>
  <c r="K14" i="2"/>
  <c r="K13" i="2"/>
  <c r="K12" i="2"/>
  <c r="K9" i="2"/>
  <c r="K8" i="2"/>
  <c r="K16" i="2"/>
  <c r="K23" i="2"/>
  <c r="K70" i="1"/>
  <c r="K69" i="1"/>
  <c r="K68" i="1"/>
  <c r="K67" i="1"/>
  <c r="K66" i="1"/>
  <c r="K65" i="1"/>
  <c r="K64" i="1"/>
  <c r="K71" i="1"/>
  <c r="K61" i="1"/>
  <c r="K50" i="1"/>
  <c r="K48" i="1"/>
  <c r="K47" i="1"/>
  <c r="K46" i="1"/>
  <c r="K45" i="1"/>
  <c r="K43" i="1"/>
  <c r="K55" i="1"/>
  <c r="K33" i="1"/>
  <c r="K36" i="1"/>
  <c r="K27" i="1"/>
  <c r="J11" i="3"/>
  <c r="K26" i="1"/>
  <c r="K21" i="1"/>
  <c r="K20" i="1"/>
  <c r="K19" i="1"/>
  <c r="K18" i="1"/>
  <c r="K23" i="1"/>
  <c r="K13" i="1"/>
  <c r="K12" i="1"/>
  <c r="K16" i="1"/>
  <c r="K29" i="1"/>
  <c r="K38" i="1"/>
  <c r="K79" i="1"/>
  <c r="K8" i="1"/>
  <c r="K10" i="1"/>
  <c r="H28" i="14"/>
  <c r="F16" i="13"/>
  <c r="F23" i="13"/>
  <c r="C16" i="13"/>
  <c r="C23" i="13"/>
  <c r="L15" i="2"/>
  <c r="L10" i="3"/>
  <c r="L70" i="1"/>
  <c r="L8" i="2"/>
  <c r="L9" i="2"/>
  <c r="L12" i="2"/>
  <c r="L13" i="2"/>
  <c r="L14" i="2"/>
  <c r="L21" i="2"/>
  <c r="L48" i="1"/>
  <c r="L43" i="1"/>
  <c r="L50" i="1"/>
  <c r="L47" i="1"/>
  <c r="L46" i="1"/>
  <c r="L45" i="1"/>
  <c r="L26" i="1"/>
  <c r="L27" i="1"/>
  <c r="K11" i="3"/>
  <c r="L13" i="1"/>
  <c r="L12" i="1"/>
  <c r="L16" i="1"/>
  <c r="L20" i="1"/>
  <c r="M70" i="1"/>
  <c r="M66" i="1"/>
  <c r="M67" i="1"/>
  <c r="M64" i="1"/>
  <c r="M8" i="1"/>
  <c r="M44" i="3"/>
  <c r="L43" i="3"/>
  <c r="L35" i="3"/>
  <c r="L64" i="1"/>
  <c r="L65" i="1"/>
  <c r="L66" i="1"/>
  <c r="L67" i="1"/>
  <c r="L68" i="1"/>
  <c r="L69" i="1"/>
  <c r="M65" i="1"/>
  <c r="M68" i="1"/>
  <c r="M69" i="1"/>
  <c r="M27" i="1"/>
  <c r="L11" i="3"/>
  <c r="M12" i="1"/>
  <c r="M13" i="1"/>
  <c r="M26" i="1"/>
  <c r="M18" i="1"/>
  <c r="M19" i="1"/>
  <c r="M20" i="1"/>
  <c r="M21" i="1"/>
  <c r="L17" i="3"/>
  <c r="L21" i="1"/>
  <c r="L19" i="1"/>
  <c r="L18" i="1"/>
  <c r="K17" i="3"/>
  <c r="M43" i="1"/>
  <c r="M45" i="1"/>
  <c r="M46" i="1"/>
  <c r="M47" i="1"/>
  <c r="M48" i="1"/>
  <c r="M50" i="1"/>
  <c r="L25" i="2"/>
  <c r="L33" i="1"/>
  <c r="L36" i="1"/>
  <c r="M33" i="1"/>
  <c r="O12" i="1"/>
  <c r="M15" i="3"/>
  <c r="O13" i="1"/>
  <c r="O26" i="1"/>
  <c r="L71" i="1"/>
  <c r="L61" i="1"/>
  <c r="L55" i="1"/>
  <c r="L23" i="1"/>
  <c r="L8" i="1"/>
  <c r="L10" i="1"/>
  <c r="L29" i="1"/>
  <c r="Q8" i="1"/>
  <c r="O43" i="3"/>
  <c r="O57" i="1"/>
  <c r="M35" i="3"/>
  <c r="M39" i="3"/>
  <c r="Q57" i="1"/>
  <c r="O35" i="3"/>
  <c r="O39" i="3"/>
  <c r="O15" i="2"/>
  <c r="O33" i="1"/>
  <c r="Q33" i="1"/>
  <c r="Q36" i="1"/>
  <c r="O25" i="2"/>
  <c r="O43" i="1"/>
  <c r="Q43" i="1"/>
  <c r="O45" i="1"/>
  <c r="Q45" i="1"/>
  <c r="O46" i="1"/>
  <c r="Q46" i="1"/>
  <c r="O47" i="1"/>
  <c r="Q47" i="1"/>
  <c r="O48" i="1"/>
  <c r="Q48" i="1"/>
  <c r="O50" i="1"/>
  <c r="Q50" i="1"/>
  <c r="O18" i="3"/>
  <c r="Q18" i="1"/>
  <c r="Q19" i="1"/>
  <c r="O17" i="3"/>
  <c r="Q20" i="1"/>
  <c r="Q21" i="1"/>
  <c r="O21" i="1"/>
  <c r="O20" i="1"/>
  <c r="O19" i="1"/>
  <c r="O18" i="1"/>
  <c r="M17" i="3"/>
  <c r="Q12" i="1"/>
  <c r="Q13" i="1"/>
  <c r="Q26" i="1"/>
  <c r="O15" i="3"/>
  <c r="Q70" i="1"/>
  <c r="Q69" i="1"/>
  <c r="Q68" i="1"/>
  <c r="Q67" i="1"/>
  <c r="Q66" i="1"/>
  <c r="Q27" i="1"/>
  <c r="O11" i="3"/>
  <c r="Q71" i="1"/>
  <c r="Q61" i="1"/>
  <c r="Q55" i="1"/>
  <c r="Q73" i="1"/>
  <c r="Q23" i="1"/>
  <c r="Q10" i="1"/>
  <c r="O27" i="1"/>
  <c r="M12" i="3"/>
  <c r="O8" i="2"/>
  <c r="O16" i="2"/>
  <c r="O23" i="2"/>
  <c r="O9" i="2"/>
  <c r="O12" i="2"/>
  <c r="O13" i="2"/>
  <c r="O14" i="2"/>
  <c r="O21" i="2"/>
  <c r="O10" i="3"/>
  <c r="O8" i="1"/>
  <c r="O44" i="3"/>
  <c r="M43" i="3"/>
  <c r="O66" i="1"/>
  <c r="M37" i="3"/>
  <c r="O67" i="1"/>
  <c r="O68" i="1"/>
  <c r="O69" i="1"/>
  <c r="O70" i="1"/>
  <c r="M8" i="2"/>
  <c r="M9" i="2"/>
  <c r="M12" i="2"/>
  <c r="M13" i="2"/>
  <c r="M14" i="2"/>
  <c r="M15" i="2"/>
  <c r="M10" i="3"/>
  <c r="M16" i="2"/>
  <c r="M21" i="2"/>
  <c r="M23" i="2"/>
  <c r="M25" i="2"/>
  <c r="M18" i="3"/>
  <c r="F28" i="14"/>
  <c r="G28" i="14"/>
  <c r="K28" i="14"/>
  <c r="F29" i="14"/>
  <c r="F30" i="14"/>
  <c r="G29" i="14"/>
  <c r="I29" i="14"/>
  <c r="J29" i="14"/>
  <c r="K29" i="14"/>
  <c r="K30" i="14"/>
  <c r="G30" i="14"/>
  <c r="L26" i="14"/>
  <c r="L25" i="14"/>
  <c r="L24" i="14"/>
  <c r="L22" i="14"/>
  <c r="L21" i="14"/>
  <c r="L19" i="14"/>
  <c r="L18" i="14"/>
  <c r="L14" i="14"/>
  <c r="L13" i="14"/>
  <c r="O61" i="1"/>
  <c r="O55" i="1"/>
  <c r="O16" i="1"/>
  <c r="O36" i="1"/>
  <c r="M71" i="1"/>
  <c r="M61" i="1"/>
  <c r="M55" i="1"/>
  <c r="M73" i="1"/>
  <c r="M23" i="1"/>
  <c r="M16" i="1"/>
  <c r="M29" i="1"/>
  <c r="M38" i="1"/>
  <c r="M10" i="1"/>
  <c r="M36" i="1"/>
  <c r="L73" i="1"/>
  <c r="L16" i="2"/>
  <c r="L23" i="2"/>
  <c r="K37" i="3"/>
  <c r="K18" i="3"/>
  <c r="K39" i="3"/>
  <c r="K15" i="3"/>
  <c r="K26" i="3"/>
  <c r="K31" i="3"/>
  <c r="K73" i="1"/>
  <c r="E42" i="16"/>
  <c r="G26" i="16"/>
  <c r="G42" i="16"/>
  <c r="H29" i="14"/>
  <c r="J17" i="3"/>
  <c r="J15" i="3"/>
  <c r="J18" i="3"/>
  <c r="J26" i="3"/>
  <c r="J31" i="3"/>
  <c r="J10" i="3"/>
  <c r="J29" i="1"/>
  <c r="J38" i="1"/>
  <c r="L29" i="14"/>
  <c r="H30" i="14"/>
  <c r="E33" i="16"/>
  <c r="G28" i="16"/>
  <c r="G33" i="16"/>
  <c r="J37" i="3"/>
  <c r="J39" i="3"/>
  <c r="I18" i="3"/>
  <c r="I15" i="3"/>
  <c r="H58" i="11"/>
  <c r="H31" i="3"/>
  <c r="H10" i="3"/>
  <c r="I26" i="3"/>
  <c r="I31" i="3"/>
  <c r="I37" i="3"/>
  <c r="I39" i="3"/>
  <c r="G154" i="6"/>
  <c r="H39" i="3"/>
  <c r="G23" i="6"/>
  <c r="H18" i="23"/>
  <c r="F154" i="6"/>
  <c r="H21" i="2"/>
  <c r="G166" i="6"/>
  <c r="G106" i="6"/>
  <c r="G109" i="6"/>
  <c r="G113" i="6"/>
  <c r="G115" i="6"/>
  <c r="G43" i="3"/>
  <c r="F106" i="6"/>
  <c r="F109" i="6"/>
  <c r="F113" i="6"/>
  <c r="F115" i="6"/>
  <c r="F20" i="6"/>
  <c r="G55" i="1"/>
  <c r="G13" i="1"/>
  <c r="F21" i="6"/>
  <c r="F23" i="6"/>
  <c r="F103" i="6"/>
  <c r="G10" i="3"/>
  <c r="G14" i="2"/>
  <c r="F124" i="6"/>
  <c r="G16" i="1"/>
  <c r="G16" i="2"/>
  <c r="G23" i="2"/>
  <c r="O27" i="23"/>
  <c r="E154" i="6"/>
  <c r="F15" i="3"/>
  <c r="E69" i="6"/>
  <c r="E103" i="6"/>
  <c r="J28" i="14"/>
  <c r="J30" i="14"/>
  <c r="I28" i="14"/>
  <c r="L17" i="14"/>
  <c r="E43" i="16"/>
  <c r="E17" i="16"/>
  <c r="E44" i="16"/>
  <c r="E106" i="6"/>
  <c r="E109" i="6"/>
  <c r="E113" i="6"/>
  <c r="E115" i="6"/>
  <c r="D154" i="6"/>
  <c r="E15" i="3"/>
  <c r="E10" i="3"/>
  <c r="E13" i="2"/>
  <c r="D148" i="6"/>
  <c r="G82" i="6"/>
  <c r="G9" i="6"/>
  <c r="G47" i="6"/>
  <c r="F147" i="6"/>
  <c r="G123" i="6"/>
  <c r="G165" i="6"/>
  <c r="F165" i="6"/>
  <c r="E165" i="6"/>
  <c r="D43" i="6"/>
  <c r="G90" i="6"/>
  <c r="E90" i="6"/>
  <c r="E123" i="6"/>
  <c r="F82" i="6"/>
  <c r="E82" i="6"/>
  <c r="F123" i="6"/>
  <c r="E9" i="6"/>
  <c r="D23" i="6"/>
  <c r="D9" i="6"/>
  <c r="D123" i="6"/>
  <c r="E49" i="16"/>
  <c r="I30" i="14"/>
  <c r="H23" i="2"/>
  <c r="H8" i="3"/>
  <c r="H19" i="3"/>
  <c r="H23" i="3"/>
  <c r="H16" i="2"/>
  <c r="D10" i="6"/>
  <c r="E10" i="1"/>
  <c r="E55" i="1"/>
  <c r="D66" i="12"/>
  <c r="D90" i="12"/>
  <c r="D98" i="12"/>
  <c r="D99" i="12"/>
  <c r="D102" i="12"/>
  <c r="F55" i="1"/>
  <c r="F10" i="1"/>
  <c r="E10" i="6"/>
  <c r="F16" i="1"/>
  <c r="F10" i="3"/>
  <c r="F16" i="2"/>
  <c r="F23" i="2"/>
  <c r="E66" i="12"/>
  <c r="E90" i="12"/>
  <c r="E98" i="12"/>
  <c r="E99" i="12"/>
  <c r="E102" i="12"/>
  <c r="G31" i="11"/>
  <c r="F9" i="6"/>
  <c r="G10" i="1"/>
  <c r="F10" i="6"/>
  <c r="G29" i="1"/>
  <c r="G10" i="11"/>
  <c r="F16" i="25"/>
  <c r="F18" i="25"/>
  <c r="F66" i="12"/>
  <c r="F90" i="12"/>
  <c r="F98" i="12"/>
  <c r="F99" i="12"/>
  <c r="F102" i="12"/>
  <c r="O63" i="23"/>
  <c r="R63" i="23"/>
  <c r="O62" i="23"/>
  <c r="R62" i="23"/>
  <c r="O61" i="23"/>
  <c r="R61" i="23"/>
  <c r="O14" i="23"/>
  <c r="O12" i="23"/>
  <c r="O10" i="23"/>
  <c r="O8" i="23"/>
  <c r="O6" i="23"/>
  <c r="N39" i="23"/>
  <c r="L64" i="23"/>
  <c r="D64" i="23"/>
  <c r="O29" i="23"/>
  <c r="O31" i="23"/>
  <c r="O33" i="23"/>
  <c r="O35" i="23"/>
  <c r="O37" i="23"/>
  <c r="D39" i="23"/>
  <c r="O28" i="23"/>
  <c r="O30" i="23"/>
  <c r="O32" i="23"/>
  <c r="O34" i="23"/>
  <c r="O36" i="23"/>
  <c r="O38" i="23"/>
  <c r="B41" i="23"/>
  <c r="E53" i="23"/>
  <c r="E54" i="23"/>
  <c r="E55" i="23"/>
  <c r="E56" i="23"/>
  <c r="E57" i="23"/>
  <c r="E58" i="23"/>
  <c r="E59" i="23"/>
  <c r="E60" i="23"/>
  <c r="E61" i="23"/>
  <c r="E62" i="23"/>
  <c r="E63" i="23"/>
  <c r="N64" i="23"/>
  <c r="M8" i="3"/>
  <c r="M19" i="3"/>
  <c r="M23" i="3"/>
  <c r="M27" i="2"/>
  <c r="G103" i="12"/>
  <c r="G104" i="12"/>
  <c r="H25" i="2"/>
  <c r="O10" i="1"/>
  <c r="O29" i="1"/>
  <c r="O38" i="1"/>
  <c r="O23" i="1"/>
  <c r="O71" i="1"/>
  <c r="O73" i="1"/>
  <c r="O79" i="1"/>
  <c r="Q16" i="1"/>
  <c r="Q29" i="1"/>
  <c r="Q38" i="1"/>
  <c r="L37" i="3"/>
  <c r="L39" i="3"/>
  <c r="L15" i="3"/>
  <c r="F23" i="11"/>
  <c r="F18" i="11"/>
  <c r="F10" i="11"/>
  <c r="H33" i="1"/>
  <c r="F23" i="1"/>
  <c r="D110" i="6"/>
  <c r="D113" i="6"/>
  <c r="D115" i="6"/>
  <c r="D103" i="12"/>
  <c r="D104" i="12"/>
  <c r="E25" i="2"/>
  <c r="E18" i="3"/>
  <c r="G58" i="11"/>
  <c r="E104" i="12"/>
  <c r="F25" i="2"/>
  <c r="F18" i="3"/>
  <c r="F104" i="12"/>
  <c r="G25" i="2"/>
  <c r="F58" i="11"/>
  <c r="G107" i="12"/>
  <c r="H78" i="11"/>
  <c r="H70" i="1"/>
  <c r="H71" i="1"/>
  <c r="H73" i="1"/>
  <c r="H36" i="1"/>
  <c r="G26" i="3"/>
  <c r="G31" i="3"/>
  <c r="D107" i="12"/>
  <c r="E78" i="11"/>
  <c r="E70" i="1"/>
  <c r="I19" i="13"/>
  <c r="K19" i="13"/>
  <c r="E107" i="12"/>
  <c r="F78" i="11"/>
  <c r="F70" i="1"/>
  <c r="F107" i="12"/>
  <c r="G78" i="11"/>
  <c r="G70" i="1"/>
  <c r="G18" i="3"/>
  <c r="G77" i="11"/>
  <c r="G69" i="1"/>
  <c r="G37" i="3"/>
  <c r="G39" i="3"/>
  <c r="C154" i="6"/>
  <c r="D33" i="1"/>
  <c r="C123" i="6"/>
  <c r="C113" i="6"/>
  <c r="C115" i="6"/>
  <c r="C116" i="6"/>
  <c r="C66" i="12"/>
  <c r="C90" i="12"/>
  <c r="C98" i="12"/>
  <c r="C180" i="6"/>
  <c r="C181" i="6"/>
  <c r="C183" i="6"/>
  <c r="D16" i="2"/>
  <c r="D23" i="2"/>
  <c r="C103" i="6"/>
  <c r="C34" i="12"/>
  <c r="C43" i="12"/>
  <c r="C102" i="6"/>
  <c r="L39" i="23"/>
  <c r="N41" i="23"/>
  <c r="B18" i="23"/>
  <c r="O5" i="23"/>
  <c r="O16" i="23"/>
  <c r="O39" i="23"/>
  <c r="D69" i="23"/>
  <c r="H41" i="23"/>
  <c r="C112" i="6"/>
  <c r="C119" i="6"/>
  <c r="C135" i="6"/>
  <c r="C151" i="6"/>
  <c r="C157" i="6"/>
  <c r="C168" i="6"/>
  <c r="C98" i="6"/>
  <c r="C105" i="6"/>
  <c r="C82" i="6"/>
  <c r="E32" i="11"/>
  <c r="E31" i="11"/>
  <c r="E58" i="11"/>
  <c r="E119" i="11"/>
  <c r="D31" i="11"/>
  <c r="D23" i="1"/>
  <c r="H41" i="3"/>
  <c r="G8" i="3"/>
  <c r="G27" i="2"/>
  <c r="F169" i="6"/>
  <c r="F171" i="6"/>
  <c r="F173" i="6"/>
  <c r="G169" i="6"/>
  <c r="G171" i="6"/>
  <c r="G173" i="6"/>
  <c r="G175" i="6"/>
  <c r="G112" i="6"/>
  <c r="G119" i="6"/>
  <c r="G135" i="6"/>
  <c r="G151" i="6"/>
  <c r="G157" i="6"/>
  <c r="G168" i="6"/>
  <c r="G98" i="6"/>
  <c r="G105" i="6"/>
  <c r="E112" i="6"/>
  <c r="E119" i="6"/>
  <c r="E135" i="6"/>
  <c r="E151" i="6"/>
  <c r="E157" i="6"/>
  <c r="E168" i="6"/>
  <c r="E98" i="6"/>
  <c r="E105" i="6"/>
  <c r="F98" i="6"/>
  <c r="F105" i="6"/>
  <c r="F112" i="6"/>
  <c r="F119" i="6"/>
  <c r="F135" i="6"/>
  <c r="F151" i="6"/>
  <c r="F157" i="6"/>
  <c r="F168" i="6"/>
  <c r="D112" i="6"/>
  <c r="D119" i="6"/>
  <c r="D135" i="6"/>
  <c r="D151" i="6"/>
  <c r="D157" i="6"/>
  <c r="D168" i="6"/>
  <c r="D98" i="6"/>
  <c r="D105" i="6"/>
  <c r="H79" i="1"/>
  <c r="F29" i="1"/>
  <c r="G15" i="3"/>
  <c r="H10" i="1"/>
  <c r="H29" i="1"/>
  <c r="H38" i="1"/>
  <c r="F17" i="3"/>
  <c r="G38" i="1"/>
  <c r="F47" i="6"/>
  <c r="E23" i="6"/>
  <c r="E17" i="3"/>
  <c r="M79" i="1"/>
  <c r="Q79" i="1"/>
  <c r="L38" i="1"/>
  <c r="L79" i="1"/>
  <c r="I73" i="1"/>
  <c r="I79" i="1"/>
  <c r="D44" i="16"/>
  <c r="G12" i="16"/>
  <c r="J79" i="1"/>
  <c r="O26" i="3"/>
  <c r="O31" i="3"/>
  <c r="E42" i="6"/>
  <c r="E47" i="6"/>
  <c r="D42" i="6"/>
  <c r="D47" i="6"/>
  <c r="G71" i="1"/>
  <c r="G73" i="1"/>
  <c r="G79" i="1"/>
  <c r="F77" i="11"/>
  <c r="H68" i="11"/>
  <c r="H67" i="11"/>
  <c r="H112" i="11"/>
  <c r="H119" i="11"/>
  <c r="F33" i="1"/>
  <c r="F36" i="1"/>
  <c r="F38" i="1"/>
  <c r="L28" i="14"/>
  <c r="L30" i="14"/>
  <c r="L26" i="3"/>
  <c r="L31" i="3"/>
  <c r="L18" i="3"/>
  <c r="I12" i="13"/>
  <c r="K12" i="13"/>
  <c r="F26" i="3"/>
  <c r="F31" i="3"/>
  <c r="G19" i="3"/>
  <c r="G23" i="3"/>
  <c r="G41" i="3"/>
  <c r="G44" i="3"/>
  <c r="F43" i="3"/>
  <c r="F27" i="2"/>
  <c r="F8" i="3"/>
  <c r="F19" i="3"/>
  <c r="F23" i="3"/>
  <c r="E169" i="6"/>
  <c r="L27" i="2"/>
  <c r="L8" i="3"/>
  <c r="L19" i="3"/>
  <c r="L23" i="3"/>
  <c r="L41" i="3"/>
  <c r="L44" i="3"/>
  <c r="K43" i="3"/>
  <c r="O8" i="3"/>
  <c r="O19" i="3"/>
  <c r="O23" i="3"/>
  <c r="O27" i="2"/>
  <c r="K8" i="3"/>
  <c r="K19" i="3"/>
  <c r="K23" i="3"/>
  <c r="K41" i="3"/>
  <c r="K27" i="2"/>
  <c r="D187" i="6"/>
  <c r="D185" i="6"/>
  <c r="E187" i="6"/>
  <c r="E185" i="6"/>
  <c r="G68" i="11"/>
  <c r="G67" i="11"/>
  <c r="G112" i="11"/>
  <c r="G119" i="11"/>
  <c r="J8" i="3"/>
  <c r="J19" i="3"/>
  <c r="J23" i="3"/>
  <c r="J41" i="3"/>
  <c r="J27" i="2"/>
  <c r="I27" i="2"/>
  <c r="I8" i="3"/>
  <c r="I19" i="3"/>
  <c r="I23" i="3"/>
  <c r="I41" i="3"/>
  <c r="E23" i="11"/>
  <c r="E18" i="11"/>
  <c r="F175" i="6"/>
  <c r="H27" i="2"/>
  <c r="E16" i="2"/>
  <c r="E23" i="2"/>
  <c r="M26" i="3"/>
  <c r="M31" i="3"/>
  <c r="M41" i="3"/>
  <c r="O85" i="23"/>
  <c r="R85" i="23"/>
  <c r="O83" i="23"/>
  <c r="R83" i="23"/>
  <c r="O80" i="23"/>
  <c r="O79" i="23"/>
  <c r="R79" i="23"/>
  <c r="N88" i="23"/>
  <c r="D88" i="23"/>
  <c r="R86" i="23"/>
  <c r="O77" i="23"/>
  <c r="R77" i="23"/>
  <c r="O78" i="23"/>
  <c r="R78" i="23"/>
  <c r="R80" i="23"/>
  <c r="L88" i="23"/>
  <c r="O81" i="23"/>
  <c r="R81" i="23"/>
  <c r="O82" i="23"/>
  <c r="O84" i="23"/>
  <c r="R82" i="23"/>
  <c r="R84" i="23"/>
  <c r="J88" i="23"/>
  <c r="O87" i="23"/>
  <c r="R87" i="23"/>
  <c r="C90" i="23"/>
  <c r="O54" i="23"/>
  <c r="O53" i="23"/>
  <c r="R54" i="23"/>
  <c r="O55" i="23"/>
  <c r="R55" i="23"/>
  <c r="O58" i="23"/>
  <c r="R58" i="23"/>
  <c r="O60" i="23"/>
  <c r="R60" i="23"/>
  <c r="C66" i="23"/>
  <c r="H90" i="23"/>
  <c r="O76" i="23"/>
  <c r="R76" i="23"/>
  <c r="E77" i="23"/>
  <c r="E78" i="23"/>
  <c r="E79" i="23"/>
  <c r="E80" i="23"/>
  <c r="E81" i="23"/>
  <c r="E82" i="23"/>
  <c r="E83" i="23"/>
  <c r="E84" i="23"/>
  <c r="E85" i="23"/>
  <c r="E86" i="23"/>
  <c r="E87" i="23"/>
  <c r="R52" i="23"/>
  <c r="R56" i="23"/>
  <c r="R57" i="23"/>
  <c r="R59" i="23"/>
  <c r="N16" i="23"/>
  <c r="L16" i="23"/>
  <c r="J64" i="23"/>
  <c r="D36" i="1"/>
  <c r="D26" i="3"/>
  <c r="D31" i="3"/>
  <c r="C99" i="12"/>
  <c r="C102" i="12"/>
  <c r="C103" i="12"/>
  <c r="C104" i="12"/>
  <c r="D25" i="2"/>
  <c r="C185" i="6"/>
  <c r="C187" i="6"/>
  <c r="D27" i="2"/>
  <c r="C169" i="6"/>
  <c r="C171" i="6"/>
  <c r="C173" i="6"/>
  <c r="C175" i="6"/>
  <c r="D8" i="3"/>
  <c r="O64" i="23"/>
  <c r="D13" i="6"/>
  <c r="D17" i="3"/>
  <c r="E23" i="1"/>
  <c r="E29" i="1"/>
  <c r="F68" i="11"/>
  <c r="F67" i="11"/>
  <c r="F112" i="11"/>
  <c r="F119" i="11"/>
  <c r="F69" i="1"/>
  <c r="G44" i="16"/>
  <c r="E77" i="11"/>
  <c r="E69" i="1"/>
  <c r="O41" i="3"/>
  <c r="E10" i="11"/>
  <c r="E33" i="1"/>
  <c r="K44" i="3"/>
  <c r="J43" i="3"/>
  <c r="J44" i="3"/>
  <c r="I43" i="3"/>
  <c r="I44" i="3"/>
  <c r="E171" i="6"/>
  <c r="E173" i="6"/>
  <c r="E175" i="6"/>
  <c r="E8" i="3"/>
  <c r="E19" i="3"/>
  <c r="E23" i="3"/>
  <c r="D169" i="6"/>
  <c r="E27" i="2"/>
  <c r="E68" i="11"/>
  <c r="E67" i="11"/>
  <c r="E112" i="11"/>
  <c r="D93" i="23"/>
  <c r="O88" i="23"/>
  <c r="R88" i="23"/>
  <c r="R53" i="23"/>
  <c r="R64" i="23"/>
  <c r="C107" i="12"/>
  <c r="D78" i="11"/>
  <c r="D70" i="1"/>
  <c r="D71" i="1"/>
  <c r="D68" i="11"/>
  <c r="D67" i="11"/>
  <c r="F37" i="3"/>
  <c r="F39" i="3"/>
  <c r="F41" i="3"/>
  <c r="F44" i="3"/>
  <c r="E43" i="3"/>
  <c r="F71" i="1"/>
  <c r="F73" i="1"/>
  <c r="F79" i="1"/>
  <c r="E37" i="3"/>
  <c r="E39" i="3"/>
  <c r="E71" i="1"/>
  <c r="E73" i="1"/>
  <c r="D171" i="6"/>
  <c r="D173" i="6"/>
  <c r="D175" i="6"/>
  <c r="E26" i="3"/>
  <c r="E31" i="3"/>
  <c r="E36" i="1"/>
  <c r="E38" i="1"/>
  <c r="E41" i="3"/>
  <c r="E44" i="3"/>
  <c r="D43" i="3"/>
  <c r="E79" i="1"/>
  <c r="H16" i="13"/>
  <c r="H23" i="13"/>
  <c r="I7" i="13"/>
  <c r="K7" i="13"/>
  <c r="C21" i="6"/>
  <c r="C23" i="6"/>
  <c r="D58" i="11"/>
  <c r="C9" i="6"/>
  <c r="C10" i="6"/>
  <c r="D10" i="1"/>
  <c r="D29" i="1"/>
  <c r="D38" i="1"/>
  <c r="D119" i="11"/>
  <c r="C42" i="6"/>
  <c r="C47" i="6"/>
  <c r="D55" i="1"/>
  <c r="D73" i="1"/>
  <c r="D18" i="3"/>
  <c r="D19" i="3"/>
  <c r="D23" i="3"/>
  <c r="D41" i="3"/>
  <c r="D44" i="3"/>
  <c r="I16" i="13"/>
  <c r="K16" i="13"/>
  <c r="K23" i="13"/>
  <c r="I23" i="13"/>
  <c r="D79" i="1"/>
  <c r="D17" i="16"/>
  <c r="D43" i="16"/>
  <c r="G11" i="16"/>
  <c r="G17" i="16"/>
  <c r="D49" i="16"/>
  <c r="G43" i="16"/>
  <c r="G49" i="16"/>
</calcChain>
</file>

<file path=xl/sharedStrings.xml><?xml version="1.0" encoding="utf-8"?>
<sst xmlns="http://schemas.openxmlformats.org/spreadsheetml/2006/main" count="1274" uniqueCount="742">
  <si>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</si>
  <si>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</si>
  <si>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</si>
  <si>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</si>
  <si>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</si>
  <si>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</si>
  <si>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</si>
  <si>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</si>
  <si>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</si>
  <si>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</si>
  <si>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</si>
  <si>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</si>
  <si>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</si>
  <si>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</si>
  <si>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</si>
  <si>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</si>
  <si>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</si>
  <si>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</si>
  <si>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</si>
  <si>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</si>
  <si>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</si>
  <si>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</si>
  <si>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</si>
  <si>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</si>
  <si>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</si>
  <si>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</si>
  <si>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</si>
  <si>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</si>
  <si>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</si>
  <si>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</si>
  <si>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</si>
  <si>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</si>
  <si>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</si>
  <si>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</si>
  <si>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</si>
  <si>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</si>
  <si>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</si>
  <si>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</si>
  <si>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</si>
  <si>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</si>
  <si>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</si>
  <si>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</si>
  <si>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</si>
  <si>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</si>
  <si>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</si>
  <si>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</si>
  <si>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</si>
  <si>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</si>
  <si>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</si>
  <si>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</si>
  <si>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</si>
  <si>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</si>
  <si>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</si>
  <si>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</si>
  <si>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</si>
  <si>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</si>
  <si>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</si>
  <si>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</si>
  <si>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</si>
  <si>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</si>
  <si>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</si>
  <si>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</si>
  <si>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</si>
  <si>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</si>
  <si>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</si>
  <si>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</si>
  <si>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</si>
  <si>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</si>
  <si>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</si>
  <si>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</si>
  <si>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</si>
  <si>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</si>
  <si>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</si>
  <si>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</si>
  <si>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</si>
  <si>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</si>
  <si>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</si>
  <si>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</si>
  <si>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</si>
  <si>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</si>
  <si>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</si>
  <si>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</si>
  <si>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</si>
  <si>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</si>
  <si>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</si>
  <si>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</si>
  <si>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</si>
  <si>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</si>
  <si>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Viti 2008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</si>
  <si>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</si>
  <si>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</si>
  <si>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</si>
  <si>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</si>
  <si>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</si>
  <si>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VITI 2008</t>
  </si>
  <si>
    <t>Te tjera detyrime</t>
  </si>
  <si>
    <t>VITI 2007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</si>
  <si>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</si>
  <si>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</si>
  <si>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</si>
  <si>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</si>
  <si>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</si>
  <si>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</si>
  <si>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</si>
  <si>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</si>
  <si>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</si>
  <si>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</si>
  <si>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</si>
  <si>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</si>
  <si>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</si>
  <si>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</si>
  <si>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</si>
  <si>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</si>
  <si>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Shpenzim nga kembime valutore</t>
  </si>
  <si>
    <t>Shpenzime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</si>
  <si>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</si>
  <si>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</si>
  <si>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</si>
  <si>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</si>
  <si>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</si>
  <si>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</si>
  <si>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</si>
  <si>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</si>
  <si>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Shpenzime interesa huaje</t>
  </si>
  <si>
    <t>Te ardhura nga interesat</t>
  </si>
  <si>
    <t>Produkte te Gatshme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</si>
  <si>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</si>
  <si>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</si>
  <si>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</si>
  <si>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</si>
  <si>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</si>
  <si>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</si>
  <si>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</si>
  <si>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</si>
  <si>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</si>
  <si>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</si>
  <si>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</si>
  <si>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</si>
  <si>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</si>
  <si>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Sherbime bankare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</si>
  <si>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</si>
  <si>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</si>
  <si>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</si>
  <si>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</si>
  <si>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</si>
  <si>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</si>
  <si>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</si>
  <si>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</si>
  <si>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</si>
  <si>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</si>
  <si>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</si>
  <si>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</si>
  <si>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</si>
  <si>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</si>
  <si>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</si>
  <si>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</si>
  <si>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</si>
  <si>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</si>
  <si>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</si>
  <si>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</si>
  <si>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</si>
  <si>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</si>
  <si>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</si>
  <si>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</si>
  <si>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</si>
  <si>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</si>
  <si>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</si>
  <si>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</si>
  <si>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</si>
  <si>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</si>
  <si>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</si>
  <si>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</si>
  <si>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</si>
  <si>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</si>
  <si>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</si>
  <si>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</si>
  <si>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</si>
  <si>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</si>
  <si>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</si>
  <si>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</si>
  <si>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</si>
  <si>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</si>
  <si>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</si>
  <si>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</si>
  <si>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</si>
  <si>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</si>
  <si>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</si>
  <si>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</si>
  <si>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</si>
  <si>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</si>
  <si>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</si>
  <si>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</si>
  <si>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</si>
  <si>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</si>
  <si>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</si>
  <si>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</si>
  <si>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</si>
  <si>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</si>
  <si>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</si>
  <si>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</si>
  <si>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</si>
  <si>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</si>
  <si>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</si>
  <si>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</si>
  <si>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</si>
  <si>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</si>
  <si>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</si>
  <si>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</si>
  <si>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</si>
  <si>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</si>
  <si>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</si>
  <si>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</si>
  <si>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</si>
  <si>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</si>
  <si>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</si>
  <si>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</si>
  <si>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</si>
  <si>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</si>
  <si>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</si>
  <si>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</si>
  <si>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</si>
  <si>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</si>
  <si>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</si>
  <si>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</si>
  <si>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</si>
  <si>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</si>
  <si>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</si>
  <si>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</si>
  <si>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</si>
  <si>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</si>
  <si>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Vlera arke te tjera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</si>
  <si>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</si>
  <si>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</si>
  <si>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</si>
  <si>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</si>
  <si>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</si>
  <si>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</si>
  <si>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</si>
  <si>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</si>
  <si>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</si>
  <si>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</si>
  <si>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</si>
  <si>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</si>
  <si>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</si>
  <si>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</si>
  <si>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</si>
  <si>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</si>
  <si>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</si>
  <si>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</si>
  <si>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</si>
  <si>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</si>
  <si>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</si>
  <si>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</si>
  <si>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</si>
  <si>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</si>
  <si>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</si>
  <si>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</si>
  <si>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</si>
  <si>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</si>
  <si>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</si>
  <si>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</si>
  <si>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</si>
  <si>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</si>
  <si>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</si>
  <si>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</si>
  <si>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</si>
  <si>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</si>
  <si>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</si>
  <si>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</si>
  <si>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</si>
  <si>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</si>
  <si>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</si>
  <si>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</si>
  <si>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</si>
  <si>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</si>
  <si>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</si>
  <si>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</si>
  <si>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</si>
  <si>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</si>
  <si>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</si>
  <si>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</si>
  <si>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</si>
  <si>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</si>
  <si>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</si>
  <si>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</si>
  <si>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</si>
  <si>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</si>
  <si>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</si>
  <si>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</si>
  <si>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</si>
  <si>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</si>
  <si>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</si>
  <si>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</si>
  <si>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</si>
  <si>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</si>
  <si>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</si>
  <si>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</si>
  <si>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</si>
  <si>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</si>
  <si>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</si>
  <si>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</si>
  <si>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</si>
  <si>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</si>
  <si>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</si>
  <si>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</si>
  <si>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</si>
  <si>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</si>
  <si>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</si>
  <si>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</si>
  <si>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</si>
  <si>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</si>
  <si>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</si>
  <si>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</si>
  <si>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</si>
  <si>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</si>
  <si>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</si>
  <si>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</si>
  <si>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</si>
  <si>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</si>
  <si>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</si>
  <si>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</si>
  <si>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</si>
  <si>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</si>
  <si>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Sigurime Shoqerore dhe te Ngjashme</t>
  </si>
  <si>
    <t>86</t>
  </si>
  <si>
    <t>87</t>
  </si>
  <si>
    <t>g</t>
  </si>
  <si>
    <t>88</t>
  </si>
  <si>
    <t>i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</si>
  <si>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</si>
  <si>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</si>
  <si>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</si>
  <si>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</si>
  <si>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</si>
  <si>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</si>
  <si>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</si>
  <si>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</si>
  <si>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</si>
  <si>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</si>
  <si>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</si>
  <si>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</si>
  <si>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</si>
  <si>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</si>
  <si>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</si>
  <si>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</si>
  <si>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</si>
  <si>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</si>
  <si>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</si>
  <si>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</si>
  <si>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</si>
  <si>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</si>
  <si>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</si>
  <si>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</si>
  <si>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</si>
  <si>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</si>
  <si>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</si>
  <si>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</si>
  <si>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</si>
  <si>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</si>
  <si>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</si>
  <si>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</si>
  <si>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</si>
  <si>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</si>
  <si>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</si>
  <si>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</si>
  <si>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</si>
  <si>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</si>
  <si>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</si>
  <si>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</si>
  <si>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</si>
  <si>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</si>
  <si>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</si>
  <si>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</si>
  <si>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</si>
  <si>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</si>
  <si>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</si>
  <si>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</si>
  <si>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</si>
  <si>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</si>
  <si>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</si>
  <si>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</si>
  <si>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</si>
  <si>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</si>
  <si>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</si>
  <si>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</si>
  <si>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</si>
  <si>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</si>
  <si>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</si>
  <si>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</si>
  <si>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</si>
  <si>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</si>
  <si>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</si>
  <si>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</si>
  <si>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</si>
  <si>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</si>
  <si>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</si>
  <si>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</si>
  <si>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</si>
  <si>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</si>
  <si>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</si>
  <si>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</si>
  <si>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</si>
  <si>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</si>
  <si>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</si>
  <si>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</si>
  <si>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</si>
  <si>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</si>
  <si>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</si>
  <si>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</si>
  <si>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</si>
  <si>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</si>
  <si>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</si>
  <si>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</si>
  <si>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</si>
  <si>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</si>
  <si>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</si>
  <si>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</si>
  <si>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</si>
  <si>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</si>
  <si>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</si>
  <si>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</si>
  <si>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</si>
  <si>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</si>
  <si>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</si>
  <si>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</si>
  <si>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</si>
  <si>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Kliente</t>
  </si>
  <si>
    <t>Shuma te arketuara per porosi</t>
  </si>
  <si>
    <t>Diferenca konvertimi</t>
  </si>
  <si>
    <t>Hua Bankare</t>
  </si>
  <si>
    <t>Hua afatgjata</t>
  </si>
  <si>
    <t>Shpenzimet e shtyra</t>
  </si>
  <si>
    <t>Te ardhura nga shitja e AQ</t>
  </si>
  <si>
    <t>Blerje mallra dhe te tjera</t>
  </si>
  <si>
    <t>Mallra dhe te ardhura nga sherbime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</si>
  <si>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</si>
  <si>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</si>
  <si>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</si>
  <si>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</si>
  <si>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</si>
  <si>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</si>
  <si>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</si>
  <si>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</si>
  <si>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</si>
  <si>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</si>
  <si>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</si>
  <si>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Viti 2007  (riklasifikuar)</t>
  </si>
  <si>
    <t>ADMINISTRATORI</t>
  </si>
  <si>
    <t>KONTABILISTE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</si>
  <si>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</si>
  <si>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</si>
  <si>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</si>
  <si>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</si>
  <si>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</si>
  <si>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</si>
  <si>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</si>
  <si>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</si>
  <si>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</si>
  <si>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</si>
  <si>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</si>
  <si>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</si>
  <si>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</si>
  <si>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</si>
  <si>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</si>
  <si>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</si>
  <si>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Totali i të ardhurave apo  shpenzimeve, që nuk janë njohur  në pasqyrën e të ardhurave dhe  shpenzimeve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</si>
  <si>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</si>
  <si>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</si>
  <si>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</si>
  <si>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</si>
  <si>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</si>
  <si>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</si>
  <si>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</si>
  <si>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</si>
  <si>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</si>
  <si>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</si>
  <si>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</si>
  <si>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</si>
  <si>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</si>
  <si>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</si>
  <si>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</si>
  <si>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</si>
  <si>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</si>
  <si>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</si>
  <si>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</si>
  <si>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</si>
  <si>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</si>
  <si>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</si>
  <si>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</si>
  <si>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</si>
  <si>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</si>
  <si>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</si>
  <si>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</si>
  <si>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</si>
  <si>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</si>
  <si>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</si>
  <si>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</si>
  <si>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</si>
  <si>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</si>
  <si>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</si>
  <si>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</si>
  <si>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</si>
  <si>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</si>
  <si>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</si>
  <si>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</si>
  <si>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</si>
  <si>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</si>
  <si>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Kredi Usd -Fondi Amerikan Nderrmarrjeve</t>
  </si>
  <si>
    <t>Kerkese mbi debitoret Shteti</t>
  </si>
  <si>
    <t>Te ardhura nga kryerja e sherbimeve</t>
  </si>
  <si>
    <t>Te Ardhurat</t>
  </si>
  <si>
    <t>Mirembajtje dhe riparime</t>
  </si>
  <si>
    <t>Shpz.postare e telekom.</t>
  </si>
  <si>
    <t>Te tjera tatime e taksa</t>
  </si>
  <si>
    <t>Amortizime dhe provizione</t>
  </si>
  <si>
    <t>Amortizimi AQT</t>
  </si>
  <si>
    <t>Viti 2006  (riklasifikuar)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</si>
  <si>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</si>
  <si>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</si>
  <si>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</si>
  <si>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</si>
  <si>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</si>
  <si>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</si>
  <si>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</si>
  <si>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</si>
  <si>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</si>
  <si>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</si>
  <si>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</si>
  <si>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</si>
  <si>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</si>
  <si>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</si>
  <si>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</si>
  <si>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</si>
  <si>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>Viti 2009</t>
  </si>
  <si>
    <t>VITI 2009</t>
  </si>
  <si>
    <t xml:space="preserve"> </t>
  </si>
  <si>
    <t>Ortaku</t>
  </si>
  <si>
    <t>Ngurtesim Banke</t>
  </si>
  <si>
    <t>Pajisje zyre</t>
  </si>
  <si>
    <t>dhe te tjera</t>
  </si>
  <si>
    <t>PERSHKRIM</t>
  </si>
  <si>
    <t>Tirana</t>
  </si>
  <si>
    <t>Te tjera-gjoba</t>
  </si>
  <si>
    <t>Viti 2010</t>
  </si>
  <si>
    <t>VITI 2010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</si>
  <si>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</si>
  <si>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</si>
  <si>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</si>
  <si>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</si>
  <si>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</si>
  <si>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</si>
  <si>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</si>
  <si>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</si>
  <si>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 xml:space="preserve">             TOTALI</t>
  </si>
  <si>
    <t>Makineri,paisje,vegla</t>
  </si>
  <si>
    <t>Administratori</t>
  </si>
  <si>
    <t>kompjuterike,zyre,etj</t>
  </si>
  <si>
    <t xml:space="preserve">Inventari   i   automjeteve  ne  pronesi   te  Subjektit </t>
  </si>
  <si>
    <t>Kapaciteti</t>
  </si>
  <si>
    <t>Per Drejtimin e Shoqerise</t>
  </si>
  <si>
    <t xml:space="preserve">I N V E N T A R I  i </t>
  </si>
  <si>
    <t>Nr.</t>
  </si>
  <si>
    <t>Artikulli</t>
  </si>
  <si>
    <t>Nj / M</t>
  </si>
  <si>
    <t>Kosto</t>
  </si>
  <si>
    <t>Vlera</t>
  </si>
  <si>
    <t>Shuma</t>
  </si>
  <si>
    <t xml:space="preserve">Per Drejtimin e Shoqerise </t>
  </si>
  <si>
    <t>V.O.Kjo pasqyre do te plotesohet e vecante per</t>
  </si>
  <si>
    <t>Lenden e Pare ; Mallrat ; Produktin e Gateshem dhe Prodhimin ne Proces</t>
  </si>
  <si>
    <t>Viti 2011</t>
  </si>
  <si>
    <t>VITI 2011</t>
  </si>
  <si>
    <t>Vlera kontabel e aktiveve te shitura</t>
  </si>
  <si>
    <t>Vlefta 2012</t>
  </si>
  <si>
    <t>Te Tjera Detyrime sigal uniqa</t>
  </si>
  <si>
    <t>Viti 2012</t>
  </si>
  <si>
    <t>VITI 2012</t>
  </si>
  <si>
    <t xml:space="preserve">                              KONTABILISTE</t>
  </si>
  <si>
    <t>Alpha Bank</t>
  </si>
  <si>
    <t>Sigurime Suplementare</t>
  </si>
  <si>
    <t>Vlefta 2013</t>
  </si>
  <si>
    <t>Ushtrimi 13</t>
  </si>
  <si>
    <t>31.12.2013</t>
  </si>
  <si>
    <t>31 Dhjetor 2013</t>
  </si>
  <si>
    <t>Shitje</t>
  </si>
  <si>
    <t>Blerje</t>
  </si>
  <si>
    <t>PAGUAR</t>
  </si>
  <si>
    <t>Muaj</t>
  </si>
  <si>
    <t>Export</t>
  </si>
  <si>
    <t>Pa Tvsh</t>
  </si>
  <si>
    <t>Tvsh</t>
  </si>
  <si>
    <t>Perjashtuara</t>
  </si>
  <si>
    <t>Janar</t>
  </si>
  <si>
    <t>Shkurt</t>
  </si>
  <si>
    <t>Mars</t>
  </si>
  <si>
    <t>Prill</t>
  </si>
  <si>
    <t>Maj</t>
  </si>
  <si>
    <t xml:space="preserve">Qershor </t>
  </si>
  <si>
    <t>Korrik</t>
  </si>
  <si>
    <t>Gusht</t>
  </si>
  <si>
    <t>Shtator</t>
  </si>
  <si>
    <t xml:space="preserve">Tetor </t>
  </si>
  <si>
    <t>Nentor</t>
  </si>
  <si>
    <t>Dhjetor</t>
  </si>
  <si>
    <t>ToTale</t>
  </si>
  <si>
    <t>Totale</t>
  </si>
  <si>
    <t>Pa tvsh</t>
  </si>
  <si>
    <t>Importe</t>
  </si>
  <si>
    <t>Blerje Fur.Vendas</t>
  </si>
  <si>
    <t>Te tjera kerkesa te arketueshme(Tatim Fitimi+Dogana)</t>
  </si>
  <si>
    <t>Tatim Fitimi = 3.623.781 Dogana = 68.455</t>
  </si>
  <si>
    <t xml:space="preserve">Per periudhen: </t>
  </si>
  <si>
    <t xml:space="preserve"> Hua te tjera,Sigal Uniqa Group = 147.500 euro</t>
  </si>
  <si>
    <t xml:space="preserve"> Hua te tjera,Sigal Uniqa Group 147.500  euro</t>
  </si>
  <si>
    <t>Pershkimi</t>
  </si>
  <si>
    <t>31 Dhjetor 2014</t>
  </si>
  <si>
    <t>Shteti - Tatime dhe Taksa,Tattim fitim 2014</t>
  </si>
  <si>
    <t xml:space="preserve">                              ADMINISTRATOR</t>
  </si>
  <si>
    <t>KOD</t>
  </si>
  <si>
    <t>GJENDJEKR</t>
  </si>
  <si>
    <t xml:space="preserve">INVENTARI  MATERIALE  ,ORENDI DHE MJETE TRANSPORTI </t>
  </si>
  <si>
    <t>NR</t>
  </si>
  <si>
    <t>EMERTIMI</t>
  </si>
  <si>
    <t xml:space="preserve">NJESIA </t>
  </si>
  <si>
    <t xml:space="preserve">SASIA </t>
  </si>
  <si>
    <t>CMIMI</t>
  </si>
  <si>
    <t>Vlera Kontabel</t>
  </si>
  <si>
    <t>INVESTIME</t>
  </si>
  <si>
    <t>Viti 2015</t>
  </si>
  <si>
    <t>VITI 2015</t>
  </si>
  <si>
    <t>Vlera Historike</t>
  </si>
  <si>
    <t>Shpenzime per tu marre  Leasing</t>
  </si>
  <si>
    <t>Shpenzime per qira</t>
  </si>
  <si>
    <t>Shpenzime per siguracione</t>
  </si>
  <si>
    <t>Viti 2016</t>
  </si>
  <si>
    <t>VITI 2016</t>
  </si>
  <si>
    <t>Ushtrimi 16</t>
  </si>
  <si>
    <t>Vlefta 2016</t>
  </si>
  <si>
    <t>Importe mallra</t>
  </si>
  <si>
    <t>31 Dhjetor 2016</t>
  </si>
  <si>
    <t>Tatim fitimi</t>
  </si>
  <si>
    <t>Tatim Qiraje</t>
  </si>
  <si>
    <t xml:space="preserve">NAM-NAM, Shoqëri  me   përgjegjesi  të  kufizuar </t>
  </si>
  <si>
    <t>L62107015O</t>
  </si>
  <si>
    <t xml:space="preserve">Rruga Muhamet Gjollesha, prapa Poliklinikes Nr. 9, - Tirana </t>
  </si>
  <si>
    <t>07.09.2016</t>
  </si>
  <si>
    <t>QKB</t>
  </si>
  <si>
    <t>me shumice dhe pakice etj</t>
  </si>
  <si>
    <t>Tregtimin e artikujve te ndryshem te te gjitha llojeve,</t>
  </si>
  <si>
    <t>Viti 2018</t>
  </si>
  <si>
    <t>Viti 2017</t>
  </si>
  <si>
    <t>VITI 2018</t>
  </si>
  <si>
    <t>VITI 2017</t>
  </si>
  <si>
    <t>Pozicioni më 31 dhjetor 2018</t>
  </si>
  <si>
    <t xml:space="preserve"> Shoqeria  "NAM-NAM,"    sh p k </t>
  </si>
  <si>
    <r>
      <t xml:space="preserve">NIPTI </t>
    </r>
    <r>
      <rPr>
        <b/>
        <i/>
        <u/>
        <sz val="10"/>
        <rFont val="Arial"/>
        <family val="2"/>
      </rPr>
      <t>L62107015O</t>
    </r>
  </si>
  <si>
    <r>
      <t xml:space="preserve">Subjekti   </t>
    </r>
    <r>
      <rPr>
        <u/>
        <sz val="14"/>
        <rFont val="Arial"/>
        <family val="2"/>
      </rPr>
      <t>NAM-NAM</t>
    </r>
  </si>
  <si>
    <r>
      <t xml:space="preserve">NIPT   </t>
    </r>
    <r>
      <rPr>
        <u/>
        <sz val="14"/>
        <rFont val="Arial"/>
        <family val="2"/>
      </rPr>
      <t>L62107015O</t>
    </r>
  </si>
  <si>
    <r>
      <t xml:space="preserve">Aktiviteti   </t>
    </r>
    <r>
      <rPr>
        <u/>
        <sz val="14"/>
        <rFont val="Arial"/>
        <family val="2"/>
      </rPr>
      <t>Imp - Eksp, tregt e artikujve industr me shumice dhe pakice etj</t>
    </r>
  </si>
  <si>
    <r>
      <t xml:space="preserve">Adresa Vep. </t>
    </r>
    <r>
      <rPr>
        <u/>
        <sz val="14"/>
        <rFont val="Arial"/>
        <family val="2"/>
      </rPr>
      <t xml:space="preserve"> Rruga Muhamet Gjollesha, prapa Poliklinikes Nr. 9, Tirane</t>
    </r>
  </si>
  <si>
    <r>
      <t xml:space="preserve">Telefoni   </t>
    </r>
    <r>
      <rPr>
        <u/>
        <sz val="14"/>
        <rFont val="Arial"/>
        <family val="2"/>
      </rPr>
      <t>0676078091</t>
    </r>
  </si>
  <si>
    <t>Mallrave Per Rishitje</t>
  </si>
  <si>
    <t>Kafe Kokerr e pjekur</t>
  </si>
  <si>
    <t>kg</t>
  </si>
  <si>
    <t>Kafe ne bustina 7gr me aksesore</t>
  </si>
  <si>
    <t>Sheqer I bardhe paketim 5 gr</t>
  </si>
  <si>
    <t>FDP2016</t>
  </si>
  <si>
    <t>FDP2017</t>
  </si>
  <si>
    <t>FDP  2018</t>
  </si>
  <si>
    <t>TVSHBLE</t>
  </si>
  <si>
    <t>Vlefta 2018</t>
  </si>
  <si>
    <t>Vlefta 2017</t>
  </si>
  <si>
    <t>cop</t>
  </si>
  <si>
    <t>Ekpresa</t>
  </si>
  <si>
    <t>Ushtrimi 17</t>
  </si>
  <si>
    <t>Ushtrimi 18</t>
  </si>
  <si>
    <t>AA789PV</t>
  </si>
  <si>
    <t>RENAULT MASTER</t>
  </si>
  <si>
    <t>AUTOVETURE FIAT</t>
  </si>
  <si>
    <t>AA056SK</t>
  </si>
  <si>
    <t>TR2416T</t>
  </si>
  <si>
    <t>Ekpresa dhe mullinj</t>
  </si>
  <si>
    <t>Auto Vosvagen</t>
  </si>
  <si>
    <t xml:space="preserve"> Shoqeria  "NAM-NAM"    sh p k </t>
  </si>
  <si>
    <t>Agim Braka</t>
  </si>
  <si>
    <t>kompjuterike,zyre,etj,pajisje</t>
  </si>
  <si>
    <t>31 Dhjetor 2017</t>
  </si>
  <si>
    <t>31 Dhjetor 2018</t>
  </si>
  <si>
    <t>Energji Uje,nafte</t>
  </si>
  <si>
    <t>Shpenzime Reklame</t>
  </si>
  <si>
    <t>Shpenzime</t>
  </si>
  <si>
    <t>FDP  2019</t>
  </si>
  <si>
    <t>Vlefta 2019</t>
  </si>
  <si>
    <t>Ushtrimi 19</t>
  </si>
  <si>
    <t>VITI  2019</t>
  </si>
  <si>
    <t>Nga 01.01.2019 deri 31.12.2019</t>
  </si>
  <si>
    <t>31.12.2019</t>
  </si>
  <si>
    <t>Bilanci   Kontabel  me  31 Dhjetor  2019</t>
  </si>
  <si>
    <t>Viti 2019</t>
  </si>
  <si>
    <t>Llogaria te Ardhura &amp; Shpenzime per vitin e mbyllur me 31 Dhjetor 2019</t>
  </si>
  <si>
    <t>VITI 2019</t>
  </si>
  <si>
    <t>Periudha kontabel     01 Janar 2019 - 31 Dhjetor  2019</t>
  </si>
  <si>
    <t>Pasqyra e levizjes se kapitaleve te veta  me 31 Dhjetor  2017  -  31 Dhjetor 2019</t>
  </si>
  <si>
    <t>Pozicioni më 31 Dhjetor  2017</t>
  </si>
  <si>
    <t>Pozicioni më 31 dhjetor 2019</t>
  </si>
  <si>
    <t>Periudha kontabel     01 Janar - 31 Dhjetor 2019</t>
  </si>
  <si>
    <t>Bilanci i Celjes     01.01.2019</t>
  </si>
  <si>
    <t>Hyrjet  2019</t>
  </si>
  <si>
    <t>Daljet  2019</t>
  </si>
  <si>
    <t>Bilanci i Mbylljes 31.12.2019</t>
  </si>
  <si>
    <t>Aktivet Afatgjata Materiale  me vlere fillestare   2019</t>
  </si>
  <si>
    <t>Amortizimi A.A.Materiale   2019</t>
  </si>
  <si>
    <t>Vlera Kontabel Neto e A.A.Materiale  2019</t>
  </si>
  <si>
    <t>31,12,2019</t>
  </si>
  <si>
    <t>Lende e Pare</t>
  </si>
  <si>
    <t>Cmimi</t>
  </si>
  <si>
    <t>Totali:</t>
  </si>
  <si>
    <t>Produkt I Gatshem</t>
  </si>
  <si>
    <t>Prodhim ne Proces</t>
  </si>
  <si>
    <t>31 Dhjetor 2019</t>
  </si>
  <si>
    <t>Shpenzime transporti</t>
  </si>
  <si>
    <t>Shpenzime Kancelari dhe  te tjera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</si>
  <si>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</si>
  <si>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</si>
  <si>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</si>
  <si>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</si>
  <si>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</si>
  <si>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</si>
  <si>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</si>
  <si>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</si>
  <si>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</si>
  <si>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</si>
  <si>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</si>
  <si>
    <t>Nam-Nam shpk</t>
  </si>
  <si>
    <t>Furgon</t>
  </si>
  <si>
    <t>Master</t>
  </si>
  <si>
    <t>2.5t</t>
  </si>
  <si>
    <t>ska</t>
  </si>
  <si>
    <t>Autoveture</t>
  </si>
  <si>
    <t>Fiat</t>
  </si>
  <si>
    <t>4+1</t>
  </si>
  <si>
    <t>Voswagen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</si>
</sst>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2" formatCode="#,##0.00_);\-#,##0.00"/>
    <numFmt numFmtId="183" formatCode="_(* #,##0_);_(* \(#,##0\);_(* &quot;-&quot;??_);_(@_)"/>
    <numFmt numFmtId="185" formatCode="dd\/mm\/yyyy"/>
    <numFmt numFmtId="193" formatCode="#,##0.00_ ;\-#,##0.00\ 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3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b/>
      <i/>
      <sz val="11.05"/>
      <color indexed="8"/>
      <name val="Times New Roman"/>
      <family val="1"/>
    </font>
    <font>
      <sz val="9"/>
      <color indexed="8"/>
      <name val="Arial"/>
      <family val="2"/>
    </font>
    <font>
      <b/>
      <i/>
      <sz val="9.85"/>
      <color indexed="8"/>
      <name val="Times New Roman"/>
      <family val="1"/>
    </font>
    <font>
      <b/>
      <sz val="9"/>
      <color indexed="8"/>
      <name val="Arial"/>
      <family val="2"/>
    </font>
    <font>
      <b/>
      <i/>
      <sz val="12.6"/>
      <color indexed="8"/>
      <name val="Arial"/>
      <family val="2"/>
    </font>
    <font>
      <sz val="9.85"/>
      <color indexed="8"/>
      <name val="Times New Roman"/>
      <family val="1"/>
    </font>
    <font>
      <b/>
      <i/>
      <sz val="8.9"/>
      <color indexed="8"/>
      <name val="Arial"/>
      <family val="2"/>
    </font>
    <font>
      <b/>
      <i/>
      <sz val="9.9499999999999993"/>
      <color indexed="8"/>
      <name val="Arial"/>
      <family val="2"/>
    </font>
    <font>
      <b/>
      <i/>
      <sz val="13.45"/>
      <color indexed="8"/>
      <name val="Times New Roman"/>
      <family val="1"/>
    </font>
    <font>
      <b/>
      <i/>
      <sz val="10.7"/>
      <color indexed="8"/>
      <name val="Times New Roman"/>
      <family val="1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.5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b/>
      <sz val="1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b/>
      <sz val="12"/>
      <color indexed="8"/>
      <name val="Arial Narrow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sz val="11"/>
      <name val="Arial Narrow"/>
      <family val="2"/>
    </font>
    <font>
      <sz val="11"/>
      <color indexed="8"/>
      <name val="Arial"/>
      <family val="2"/>
    </font>
    <font>
      <sz val="14"/>
      <name val="Arial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4"/>
      <name val="Calibri"/>
      <family val="2"/>
      <scheme val="minor"/>
    </font>
    <font>
      <sz val="11"/>
      <color rgb="FFFF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71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198" fontId="30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" fillId="0" borderId="0"/>
    <xf numFmtId="0" fontId="11" fillId="0" borderId="0"/>
    <xf numFmtId="0" fontId="31" fillId="0" borderId="0"/>
    <xf numFmtId="0" fontId="30" fillId="0" borderId="0"/>
  </cellStyleXfs>
  <cellXfs count="555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1" fontId="2" fillId="0" borderId="0" xfId="1" applyFont="1"/>
    <xf numFmtId="171" fontId="2" fillId="0" borderId="1" xfId="1" applyFont="1" applyBorder="1"/>
    <xf numFmtId="171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171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1" fontId="6" fillId="0" borderId="0" xfId="0" applyNumberFormat="1" applyFont="1" applyFill="1"/>
    <xf numFmtId="171" fontId="2" fillId="0" borderId="0" xfId="1" applyFont="1" applyFill="1"/>
    <xf numFmtId="0" fontId="2" fillId="0" borderId="0" xfId="0" applyFont="1" applyFill="1"/>
    <xf numFmtId="40" fontId="2" fillId="0" borderId="1" xfId="0" applyNumberFormat="1" applyFont="1" applyFill="1" applyBorder="1"/>
    <xf numFmtId="0" fontId="2" fillId="0" borderId="0" xfId="0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182" fontId="13" fillId="0" borderId="0" xfId="0" applyNumberFormat="1" applyFont="1" applyFill="1" applyAlignment="1">
      <alignment horizontal="right" vertical="center"/>
    </xf>
    <xf numFmtId="182" fontId="14" fillId="0" borderId="0" xfId="0" applyNumberFormat="1" applyFont="1" applyFill="1" applyAlignment="1">
      <alignment horizontal="right" vertical="center"/>
    </xf>
    <xf numFmtId="0" fontId="15" fillId="0" borderId="0" xfId="0" applyFont="1"/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185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182" fontId="17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171" fontId="2" fillId="0" borderId="0" xfId="0" applyNumberFormat="1" applyFont="1" applyFill="1"/>
    <xf numFmtId="0" fontId="11" fillId="0" borderId="0" xfId="10" applyNumberFormat="1" applyFill="1" applyBorder="1" applyAlignment="1" applyProtection="1"/>
    <xf numFmtId="0" fontId="21" fillId="0" borderId="0" xfId="10" applyFont="1" applyAlignment="1">
      <alignment vertical="center"/>
    </xf>
    <xf numFmtId="0" fontId="18" fillId="0" borderId="0" xfId="10" applyFont="1" applyAlignment="1">
      <alignment horizontal="center" vertical="center"/>
    </xf>
    <xf numFmtId="0" fontId="17" fillId="0" borderId="0" xfId="10" applyFont="1" applyAlignment="1">
      <alignment horizontal="center" vertical="center"/>
    </xf>
    <xf numFmtId="0" fontId="17" fillId="0" borderId="0" xfId="10" applyFont="1" applyAlignment="1">
      <alignment vertical="center"/>
    </xf>
    <xf numFmtId="0" fontId="23" fillId="0" borderId="0" xfId="10" applyFont="1" applyAlignment="1">
      <alignment vertical="center"/>
    </xf>
    <xf numFmtId="0" fontId="11" fillId="0" borderId="0" xfId="9" applyNumberFormat="1" applyFill="1" applyBorder="1" applyAlignment="1" applyProtection="1"/>
    <xf numFmtId="0" fontId="24" fillId="0" borderId="0" xfId="9" applyFont="1" applyAlignment="1">
      <alignment horizontal="center" vertical="center"/>
    </xf>
    <xf numFmtId="0" fontId="25" fillId="0" borderId="0" xfId="9" applyFont="1" applyAlignment="1">
      <alignment horizontal="center" vertical="center"/>
    </xf>
    <xf numFmtId="0" fontId="18" fillId="0" borderId="0" xfId="9" applyFont="1" applyAlignment="1">
      <alignment horizontal="center" vertical="center"/>
    </xf>
    <xf numFmtId="0" fontId="16" fillId="0" borderId="0" xfId="9" applyFont="1" applyAlignment="1">
      <alignment horizontal="center" vertical="center"/>
    </xf>
    <xf numFmtId="0" fontId="17" fillId="0" borderId="0" xfId="9" applyFont="1" applyAlignment="1">
      <alignment horizontal="center" vertical="center"/>
    </xf>
    <xf numFmtId="0" fontId="17" fillId="0" borderId="0" xfId="9" applyFont="1" applyAlignment="1">
      <alignment vertical="center"/>
    </xf>
    <xf numFmtId="182" fontId="17" fillId="0" borderId="0" xfId="9" applyNumberFormat="1" applyFont="1" applyAlignment="1">
      <alignment horizontal="right" vertical="center"/>
    </xf>
    <xf numFmtId="0" fontId="18" fillId="0" borderId="0" xfId="9" applyFont="1" applyAlignment="1">
      <alignment vertical="center"/>
    </xf>
    <xf numFmtId="0" fontId="22" fillId="0" borderId="0" xfId="10" applyFont="1" applyAlignment="1">
      <alignment horizontal="left" vertical="center"/>
    </xf>
    <xf numFmtId="0" fontId="20" fillId="0" borderId="0" xfId="10" applyFont="1" applyAlignment="1">
      <alignment horizontal="left" vertical="center"/>
    </xf>
    <xf numFmtId="0" fontId="26" fillId="2" borderId="0" xfId="10" applyFont="1" applyFill="1" applyAlignment="1">
      <alignment vertical="center"/>
    </xf>
    <xf numFmtId="0" fontId="16" fillId="2" borderId="0" xfId="10" applyFont="1" applyFill="1" applyAlignment="1">
      <alignment horizontal="center" vertical="center"/>
    </xf>
    <xf numFmtId="182" fontId="26" fillId="0" borderId="0" xfId="9" applyNumberFormat="1" applyFont="1" applyAlignment="1">
      <alignment horizontal="right" vertical="center"/>
    </xf>
    <xf numFmtId="182" fontId="17" fillId="3" borderId="0" xfId="9" applyNumberFormat="1" applyFont="1" applyFill="1" applyAlignment="1">
      <alignment horizontal="right" vertical="center"/>
    </xf>
    <xf numFmtId="171" fontId="4" fillId="0" borderId="2" xfId="1" applyFont="1" applyBorder="1" applyAlignment="1">
      <alignment horizontal="center" wrapText="1"/>
    </xf>
    <xf numFmtId="171" fontId="6" fillId="0" borderId="0" xfId="0" applyNumberFormat="1" applyFont="1" applyFill="1" applyAlignment="1">
      <alignment horizontal="center"/>
    </xf>
    <xf numFmtId="0" fontId="9" fillId="0" borderId="0" xfId="0" applyFont="1" applyFill="1"/>
    <xf numFmtId="171" fontId="9" fillId="0" borderId="0" xfId="0" applyNumberFormat="1" applyFont="1" applyFill="1" applyAlignment="1">
      <alignment horizontal="center"/>
    </xf>
    <xf numFmtId="2" fontId="11" fillId="0" borderId="0" xfId="10" applyNumberForma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9" fillId="0" borderId="3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0" fontId="10" fillId="0" borderId="0" xfId="0" applyFont="1" applyFill="1"/>
    <xf numFmtId="0" fontId="33" fillId="0" borderId="4" xfId="0" applyFont="1" applyBorder="1"/>
    <xf numFmtId="0" fontId="32" fillId="0" borderId="0" xfId="0" applyFont="1"/>
    <xf numFmtId="0" fontId="33" fillId="0" borderId="5" xfId="0" applyFont="1" applyBorder="1"/>
    <xf numFmtId="0" fontId="33" fillId="0" borderId="6" xfId="0" applyFont="1" applyBorder="1"/>
    <xf numFmtId="0" fontId="33" fillId="0" borderId="7" xfId="0" applyFont="1" applyBorder="1"/>
    <xf numFmtId="0" fontId="33" fillId="0" borderId="8" xfId="0" applyFont="1" applyBorder="1"/>
    <xf numFmtId="0" fontId="34" fillId="0" borderId="0" xfId="0" applyFont="1" applyBorder="1"/>
    <xf numFmtId="0" fontId="34" fillId="0" borderId="0" xfId="0" applyFont="1" applyBorder="1" applyAlignment="1">
      <alignment horizontal="left"/>
    </xf>
    <xf numFmtId="0" fontId="34" fillId="0" borderId="4" xfId="0" applyFont="1" applyBorder="1"/>
    <xf numFmtId="0" fontId="33" fillId="0" borderId="0" xfId="0" applyFont="1" applyBorder="1"/>
    <xf numFmtId="0" fontId="36" fillId="0" borderId="0" xfId="0" applyNumberFormat="1" applyFont="1" applyFill="1" applyBorder="1" applyAlignment="1" applyProtection="1"/>
    <xf numFmtId="0" fontId="37" fillId="0" borderId="0" xfId="0" applyFont="1" applyBorder="1"/>
    <xf numFmtId="0" fontId="33" fillId="0" borderId="8" xfId="0" applyFont="1" applyBorder="1" applyAlignment="1">
      <alignment horizontal="left"/>
    </xf>
    <xf numFmtId="0" fontId="39" fillId="0" borderId="0" xfId="0" applyFont="1" applyBorder="1"/>
    <xf numFmtId="0" fontId="33" fillId="0" borderId="9" xfId="0" applyFont="1" applyBorder="1"/>
    <xf numFmtId="0" fontId="33" fillId="0" borderId="10" xfId="0" applyFont="1" applyBorder="1"/>
    <xf numFmtId="0" fontId="33" fillId="0" borderId="11" xfId="0" applyFont="1" applyBorder="1"/>
    <xf numFmtId="0" fontId="33" fillId="0" borderId="0" xfId="0" applyFont="1"/>
    <xf numFmtId="0" fontId="40" fillId="0" borderId="0" xfId="0" applyFont="1" applyBorder="1" applyAlignment="1">
      <alignment horizontal="left"/>
    </xf>
    <xf numFmtId="182" fontId="11" fillId="0" borderId="0" xfId="10" applyNumberFormat="1" applyFill="1" applyBorder="1" applyAlignment="1" applyProtection="1"/>
    <xf numFmtId="0" fontId="41" fillId="0" borderId="0" xfId="0" applyFont="1" applyBorder="1"/>
    <xf numFmtId="0" fontId="41" fillId="0" borderId="0" xfId="0" applyFont="1" applyBorder="1" applyAlignment="1">
      <alignment horizontal="center"/>
    </xf>
    <xf numFmtId="0" fontId="41" fillId="0" borderId="0" xfId="0" applyFont="1" applyFill="1"/>
    <xf numFmtId="0" fontId="41" fillId="0" borderId="0" xfId="0" applyFont="1"/>
    <xf numFmtId="0" fontId="42" fillId="0" borderId="0" xfId="0" applyFont="1"/>
    <xf numFmtId="0" fontId="15" fillId="0" borderId="0" xfId="0" applyFont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171" fontId="41" fillId="0" borderId="0" xfId="1" applyFont="1" applyFill="1"/>
    <xf numFmtId="171" fontId="43" fillId="0" borderId="0" xfId="1" applyFont="1" applyFill="1" applyAlignment="1">
      <alignment horizontal="right" vertical="center"/>
    </xf>
    <xf numFmtId="171" fontId="41" fillId="0" borderId="0" xfId="0" applyNumberFormat="1" applyFont="1" applyFill="1"/>
    <xf numFmtId="171" fontId="41" fillId="0" borderId="12" xfId="1" applyFont="1" applyFill="1" applyBorder="1"/>
    <xf numFmtId="182" fontId="43" fillId="0" borderId="0" xfId="0" applyNumberFormat="1" applyFont="1" applyFill="1" applyAlignment="1">
      <alignment horizontal="right" vertical="center"/>
    </xf>
    <xf numFmtId="40" fontId="41" fillId="0" borderId="0" xfId="0" applyNumberFormat="1" applyFont="1" applyFill="1"/>
    <xf numFmtId="0" fontId="15" fillId="0" borderId="0" xfId="0" applyFont="1" applyBorder="1" applyAlignment="1">
      <alignment horizontal="center"/>
    </xf>
    <xf numFmtId="171" fontId="41" fillId="0" borderId="1" xfId="1" applyFont="1" applyFill="1" applyBorder="1"/>
    <xf numFmtId="171" fontId="15" fillId="0" borderId="0" xfId="1" applyFont="1" applyFill="1"/>
    <xf numFmtId="39" fontId="41" fillId="0" borderId="1" xfId="1" applyNumberFormat="1" applyFont="1" applyFill="1" applyBorder="1"/>
    <xf numFmtId="171" fontId="41" fillId="0" borderId="0" xfId="0" applyNumberFormat="1" applyFont="1"/>
    <xf numFmtId="171" fontId="41" fillId="0" borderId="0" xfId="1" applyFont="1" applyFill="1" applyBorder="1"/>
    <xf numFmtId="0" fontId="15" fillId="0" borderId="0" xfId="0" applyFont="1" applyFill="1"/>
    <xf numFmtId="171" fontId="15" fillId="0" borderId="0" xfId="0" applyNumberFormat="1" applyFont="1" applyFill="1" applyAlignment="1">
      <alignment horizontal="center"/>
    </xf>
    <xf numFmtId="171" fontId="41" fillId="0" borderId="0" xfId="0" applyNumberFormat="1" applyFont="1" applyFill="1" applyAlignment="1">
      <alignment horizontal="center"/>
    </xf>
    <xf numFmtId="0" fontId="41" fillId="0" borderId="0" xfId="0" applyFont="1" applyFill="1" applyBorder="1"/>
    <xf numFmtId="39" fontId="41" fillId="0" borderId="0" xfId="0" applyNumberFormat="1" applyFont="1" applyFill="1"/>
    <xf numFmtId="4" fontId="41" fillId="0" borderId="0" xfId="0" applyNumberFormat="1" applyFont="1"/>
    <xf numFmtId="0" fontId="44" fillId="0" borderId="0" xfId="0" applyFont="1" applyBorder="1"/>
    <xf numFmtId="0" fontId="42" fillId="0" borderId="0" xfId="0" applyFont="1" applyBorder="1"/>
    <xf numFmtId="39" fontId="41" fillId="0" borderId="0" xfId="0" applyNumberFormat="1" applyFont="1" applyFill="1" applyBorder="1"/>
    <xf numFmtId="4" fontId="41" fillId="0" borderId="0" xfId="0" applyNumberFormat="1" applyFont="1" applyBorder="1"/>
    <xf numFmtId="0" fontId="41" fillId="0" borderId="0" xfId="0" applyFont="1" applyBorder="1" applyAlignment="1">
      <alignment horizontal="left" wrapText="1"/>
    </xf>
    <xf numFmtId="39" fontId="41" fillId="0" borderId="0" xfId="0" applyNumberFormat="1" applyFont="1" applyFill="1" applyBorder="1" applyAlignment="1">
      <alignment horizontal="left" wrapText="1"/>
    </xf>
    <xf numFmtId="39" fontId="15" fillId="0" borderId="2" xfId="0" applyNumberFormat="1" applyFont="1" applyFill="1" applyBorder="1" applyAlignment="1">
      <alignment horizontal="center" wrapText="1"/>
    </xf>
    <xf numFmtId="39" fontId="41" fillId="0" borderId="0" xfId="0" applyNumberFormat="1" applyFont="1" applyFill="1" applyBorder="1" applyAlignment="1">
      <alignment horizontal="right" wrapText="1"/>
    </xf>
    <xf numFmtId="0" fontId="41" fillId="0" borderId="0" xfId="0" applyFont="1" applyAlignment="1">
      <alignment horizontal="left" vertical="justify"/>
    </xf>
    <xf numFmtId="4" fontId="41" fillId="0" borderId="0" xfId="0" applyNumberFormat="1" applyFont="1" applyFill="1" applyBorder="1"/>
    <xf numFmtId="4" fontId="41" fillId="0" borderId="0" xfId="0" applyNumberFormat="1" applyFont="1" applyBorder="1" applyAlignment="1">
      <alignment horizontal="left" wrapText="1"/>
    </xf>
    <xf numFmtId="4" fontId="41" fillId="0" borderId="0" xfId="0" applyNumberFormat="1" applyFont="1" applyFill="1" applyBorder="1" applyAlignment="1">
      <alignment horizontal="right" wrapText="1"/>
    </xf>
    <xf numFmtId="39" fontId="41" fillId="0" borderId="10" xfId="0" applyNumberFormat="1" applyFont="1" applyFill="1" applyBorder="1" applyAlignment="1">
      <alignment horizontal="right" wrapText="1"/>
    </xf>
    <xf numFmtId="4" fontId="41" fillId="0" borderId="0" xfId="0" applyNumberFormat="1" applyFont="1" applyBorder="1" applyAlignment="1">
      <alignment horizontal="right" wrapText="1"/>
    </xf>
    <xf numFmtId="39" fontId="41" fillId="0" borderId="0" xfId="0" applyNumberFormat="1" applyFont="1" applyBorder="1"/>
    <xf numFmtId="0" fontId="15" fillId="0" borderId="0" xfId="0" applyFont="1" applyBorder="1" applyAlignment="1">
      <alignment horizontal="left"/>
    </xf>
    <xf numFmtId="39" fontId="41" fillId="0" borderId="10" xfId="0" applyNumberFormat="1" applyFont="1" applyFill="1" applyBorder="1"/>
    <xf numFmtId="171" fontId="41" fillId="0" borderId="0" xfId="1" applyFont="1" applyFill="1" applyBorder="1" applyAlignment="1">
      <alignment horizontal="center" wrapText="1"/>
    </xf>
    <xf numFmtId="171" fontId="41" fillId="0" borderId="0" xfId="0" applyNumberFormat="1" applyFont="1" applyFill="1" applyBorder="1"/>
    <xf numFmtId="39" fontId="41" fillId="0" borderId="12" xfId="0" applyNumberFormat="1" applyFont="1" applyFill="1" applyBorder="1" applyAlignment="1">
      <alignment horizontal="right" wrapText="1"/>
    </xf>
    <xf numFmtId="39" fontId="15" fillId="0" borderId="0" xfId="0" applyNumberFormat="1" applyFont="1" applyFill="1" applyBorder="1" applyAlignment="1">
      <alignment horizontal="right" wrapText="1"/>
    </xf>
    <xf numFmtId="4" fontId="15" fillId="0" borderId="0" xfId="0" applyNumberFormat="1" applyFont="1" applyBorder="1" applyAlignment="1">
      <alignment horizontal="left" wrapText="1"/>
    </xf>
    <xf numFmtId="39" fontId="15" fillId="0" borderId="0" xfId="0" applyNumberFormat="1" applyFont="1" applyFill="1" applyBorder="1" applyAlignment="1"/>
    <xf numFmtId="4" fontId="15" fillId="0" borderId="0" xfId="0" applyNumberFormat="1" applyFont="1" applyBorder="1" applyAlignment="1"/>
    <xf numFmtId="0" fontId="13" fillId="0" borderId="0" xfId="10" applyFont="1" applyAlignment="1">
      <alignment vertical="center"/>
    </xf>
    <xf numFmtId="3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wrapText="1"/>
    </xf>
    <xf numFmtId="3" fontId="2" fillId="0" borderId="1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9" fillId="0" borderId="17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4" fillId="0" borderId="20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71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1" xfId="12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Border="1"/>
    <xf numFmtId="0" fontId="46" fillId="0" borderId="0" xfId="0" applyFont="1" applyBorder="1"/>
    <xf numFmtId="0" fontId="2" fillId="0" borderId="0" xfId="12" applyFont="1" applyBorder="1" applyAlignment="1">
      <alignment horizontal="left"/>
    </xf>
    <xf numFmtId="0" fontId="46" fillId="0" borderId="0" xfId="0" applyFont="1"/>
    <xf numFmtId="0" fontId="2" fillId="0" borderId="0" xfId="12" applyFont="1" applyBorder="1"/>
    <xf numFmtId="196" fontId="4" fillId="0" borderId="0" xfId="11" applyNumberFormat="1" applyFont="1" applyFill="1" applyBorder="1" applyAlignment="1">
      <alignment horizontal="center" vertical="center"/>
    </xf>
    <xf numFmtId="196" fontId="4" fillId="0" borderId="22" xfId="11" applyNumberFormat="1" applyFont="1" applyFill="1" applyBorder="1" applyAlignment="1">
      <alignment horizontal="center" vertical="center"/>
    </xf>
    <xf numFmtId="0" fontId="47" fillId="0" borderId="23" xfId="0" applyNumberFormat="1" applyFont="1" applyFill="1" applyBorder="1" applyAlignment="1" applyProtection="1"/>
    <xf numFmtId="196" fontId="2" fillId="0" borderId="0" xfId="11" applyNumberFormat="1" applyFont="1" applyFill="1" applyBorder="1" applyAlignment="1" applyProtection="1">
      <alignment horizontal="center" vertical="center"/>
    </xf>
    <xf numFmtId="196" fontId="4" fillId="0" borderId="24" xfId="12" applyNumberFormat="1" applyFont="1" applyFill="1" applyBorder="1" applyAlignment="1" applyProtection="1">
      <alignment horizontal="center" vertical="center"/>
      <protection locked="0"/>
    </xf>
    <xf numFmtId="196" fontId="4" fillId="0" borderId="25" xfId="12" applyNumberFormat="1" applyFont="1" applyFill="1" applyBorder="1" applyAlignment="1" applyProtection="1">
      <alignment horizontal="center" vertical="center"/>
      <protection locked="0"/>
    </xf>
    <xf numFmtId="196" fontId="4" fillId="0" borderId="25" xfId="12" applyNumberFormat="1" applyFont="1" applyFill="1" applyBorder="1" applyAlignment="1" applyProtection="1">
      <alignment horizontal="center" vertical="center" wrapText="1"/>
      <protection locked="0"/>
    </xf>
    <xf numFmtId="196" fontId="4" fillId="0" borderId="26" xfId="12" applyNumberFormat="1" applyFont="1" applyFill="1" applyBorder="1" applyAlignment="1" applyProtection="1">
      <alignment horizontal="center" vertical="center" wrapText="1"/>
      <protection locked="0"/>
    </xf>
    <xf numFmtId="196" fontId="4" fillId="0" borderId="21" xfId="11" applyNumberFormat="1" applyFont="1" applyFill="1" applyBorder="1" applyAlignment="1" applyProtection="1">
      <alignment horizontal="center" vertical="center"/>
      <protection locked="0"/>
    </xf>
    <xf numFmtId="196" fontId="4" fillId="0" borderId="0" xfId="11" applyNumberFormat="1" applyFont="1" applyFill="1" applyBorder="1" applyAlignment="1" applyProtection="1">
      <alignment horizontal="center" vertical="center"/>
      <protection locked="0"/>
    </xf>
    <xf numFmtId="0" fontId="2" fillId="0" borderId="0" xfId="12" applyFont="1" applyBorder="1" applyAlignment="1">
      <alignment horizontal="center" vertical="center"/>
    </xf>
    <xf numFmtId="0" fontId="47" fillId="0" borderId="27" xfId="0" applyNumberFormat="1" applyFont="1" applyFill="1" applyBorder="1" applyAlignment="1" applyProtection="1"/>
    <xf numFmtId="0" fontId="47" fillId="0" borderId="28" xfId="0" applyNumberFormat="1" applyFont="1" applyFill="1" applyBorder="1" applyAlignment="1" applyProtection="1"/>
    <xf numFmtId="0" fontId="47" fillId="0" borderId="29" xfId="0" applyNumberFormat="1" applyFont="1" applyFill="1" applyBorder="1" applyAlignment="1" applyProtection="1"/>
    <xf numFmtId="0" fontId="47" fillId="0" borderId="30" xfId="0" applyNumberFormat="1" applyFont="1" applyFill="1" applyBorder="1" applyAlignment="1" applyProtection="1"/>
    <xf numFmtId="0" fontId="47" fillId="0" borderId="31" xfId="0" applyNumberFormat="1" applyFont="1" applyFill="1" applyBorder="1" applyAlignment="1" applyProtection="1"/>
    <xf numFmtId="196" fontId="4" fillId="0" borderId="0" xfId="12" applyNumberFormat="1" applyFont="1" applyFill="1" applyBorder="1" applyAlignment="1" applyProtection="1">
      <alignment horizontal="center" vertical="center"/>
      <protection locked="0"/>
    </xf>
    <xf numFmtId="196" fontId="4" fillId="0" borderId="0" xfId="12" applyNumberFormat="1" applyFont="1" applyFill="1" applyBorder="1" applyAlignment="1" applyProtection="1">
      <alignment horizontal="center" vertical="center" wrapText="1"/>
      <protection locked="0"/>
    </xf>
    <xf numFmtId="196" fontId="48" fillId="0" borderId="0" xfId="11" applyNumberFormat="1" applyFont="1" applyBorder="1" applyAlignment="1" applyProtection="1">
      <alignment horizontal="center" vertical="center" wrapText="1"/>
      <protection locked="0"/>
    </xf>
    <xf numFmtId="196" fontId="4" fillId="0" borderId="32" xfId="11" applyNumberFormat="1" applyFont="1" applyFill="1" applyBorder="1" applyAlignment="1">
      <alignment horizontal="center" vertical="center"/>
    </xf>
    <xf numFmtId="196" fontId="4" fillId="0" borderId="33" xfId="11" applyNumberFormat="1" applyFont="1" applyFill="1" applyBorder="1" applyAlignment="1">
      <alignment horizontal="center" vertical="center"/>
    </xf>
    <xf numFmtId="196" fontId="4" fillId="0" borderId="34" xfId="12" applyNumberFormat="1" applyFont="1" applyFill="1" applyBorder="1" applyAlignment="1" applyProtection="1">
      <alignment horizontal="center" vertical="center"/>
      <protection locked="0"/>
    </xf>
    <xf numFmtId="196" fontId="4" fillId="0" borderId="35" xfId="12" applyNumberFormat="1" applyFont="1" applyFill="1" applyBorder="1" applyAlignment="1" applyProtection="1">
      <alignment horizontal="center" vertical="center"/>
      <protection locked="0"/>
    </xf>
    <xf numFmtId="196" fontId="4" fillId="0" borderId="36" xfId="12" applyNumberFormat="1" applyFont="1" applyFill="1" applyBorder="1" applyAlignment="1" applyProtection="1">
      <alignment horizontal="center" vertical="center" wrapText="1"/>
      <protection locked="0"/>
    </xf>
    <xf numFmtId="196" fontId="4" fillId="0" borderId="35" xfId="12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11" applyNumberFormat="1" applyFont="1" applyFill="1" applyBorder="1" applyAlignment="1" applyProtection="1">
      <alignment horizontal="center" vertical="center"/>
      <protection locked="0"/>
    </xf>
    <xf numFmtId="196" fontId="4" fillId="0" borderId="37" xfId="11" applyNumberFormat="1" applyFont="1" applyBorder="1" applyAlignment="1" applyProtection="1">
      <alignment horizontal="center" vertical="center" wrapText="1"/>
      <protection locked="0"/>
    </xf>
    <xf numFmtId="196" fontId="4" fillId="0" borderId="38" xfId="11" applyNumberFormat="1" applyFont="1" applyFill="1" applyBorder="1" applyAlignment="1">
      <alignment horizontal="center" vertical="center"/>
    </xf>
    <xf numFmtId="196" fontId="4" fillId="0" borderId="39" xfId="11" applyNumberFormat="1" applyFont="1" applyFill="1" applyBorder="1" applyAlignment="1">
      <alignment horizontal="center" vertical="center"/>
    </xf>
    <xf numFmtId="196" fontId="4" fillId="0" borderId="40" xfId="12" applyNumberFormat="1" applyFont="1" applyFill="1" applyBorder="1" applyAlignment="1" applyProtection="1">
      <alignment horizontal="center" vertical="center"/>
      <protection locked="0"/>
    </xf>
    <xf numFmtId="196" fontId="4" fillId="0" borderId="41" xfId="12" applyNumberFormat="1" applyFont="1" applyFill="1" applyBorder="1" applyAlignment="1" applyProtection="1">
      <alignment horizontal="center" vertical="center"/>
      <protection locked="0"/>
    </xf>
    <xf numFmtId="196" fontId="4" fillId="0" borderId="42" xfId="12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12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11" applyNumberFormat="1" applyFont="1" applyFill="1" applyBorder="1" applyAlignment="1" applyProtection="1">
      <alignment horizontal="center" vertical="center"/>
      <protection locked="0"/>
    </xf>
    <xf numFmtId="196" fontId="4" fillId="0" borderId="43" xfId="11" applyNumberFormat="1" applyFont="1" applyBorder="1" applyAlignment="1" applyProtection="1">
      <alignment horizontal="center" vertical="center" wrapText="1"/>
      <protection locked="0"/>
    </xf>
    <xf numFmtId="196" fontId="2" fillId="0" borderId="0" xfId="11" applyNumberFormat="1" applyFont="1" applyFill="1" applyBorder="1" applyAlignment="1" applyProtection="1">
      <alignment horizontal="center" vertical="center"/>
      <protection locked="0"/>
    </xf>
    <xf numFmtId="196" fontId="4" fillId="0" borderId="44" xfId="12" applyNumberFormat="1" applyFont="1" applyFill="1" applyBorder="1" applyAlignment="1" applyProtection="1">
      <alignment horizontal="center" vertical="center"/>
      <protection locked="0"/>
    </xf>
    <xf numFmtId="196" fontId="4" fillId="0" borderId="45" xfId="12" applyNumberFormat="1" applyFont="1" applyFill="1" applyBorder="1" applyAlignment="1" applyProtection="1">
      <alignment horizontal="center" vertical="center"/>
      <protection locked="0"/>
    </xf>
    <xf numFmtId="196" fontId="4" fillId="0" borderId="46" xfId="12" applyNumberFormat="1" applyFont="1" applyFill="1" applyBorder="1" applyAlignment="1" applyProtection="1">
      <alignment horizontal="center" vertical="center" wrapText="1"/>
      <protection locked="0"/>
    </xf>
    <xf numFmtId="196" fontId="4" fillId="0" borderId="45" xfId="12" applyNumberFormat="1" applyFont="1" applyFill="1" applyBorder="1" applyAlignment="1" applyProtection="1">
      <alignment horizontal="center" vertical="center" wrapText="1"/>
      <protection locked="0"/>
    </xf>
    <xf numFmtId="196" fontId="4" fillId="0" borderId="47" xfId="11" applyNumberFormat="1" applyFont="1" applyFill="1" applyBorder="1" applyAlignment="1" applyProtection="1">
      <alignment horizontal="center" vertical="center"/>
      <protection locked="0"/>
    </xf>
    <xf numFmtId="196" fontId="4" fillId="0" borderId="47" xfId="11" applyNumberFormat="1" applyFont="1" applyBorder="1" applyAlignment="1" applyProtection="1">
      <alignment horizontal="center" vertical="center"/>
      <protection locked="0"/>
    </xf>
    <xf numFmtId="196" fontId="4" fillId="0" borderId="0" xfId="11" applyNumberFormat="1" applyFont="1" applyFill="1" applyBorder="1" applyAlignment="1">
      <alignment horizontal="left"/>
    </xf>
    <xf numFmtId="196" fontId="4" fillId="0" borderId="48" xfId="11" applyNumberFormat="1" applyFont="1" applyFill="1" applyBorder="1" applyAlignment="1">
      <alignment horizontal="left"/>
    </xf>
    <xf numFmtId="196" fontId="4" fillId="0" borderId="49" xfId="11" applyNumberFormat="1" applyFont="1" applyFill="1" applyBorder="1" applyAlignment="1">
      <alignment horizontal="left"/>
    </xf>
    <xf numFmtId="196" fontId="49" fillId="0" borderId="0" xfId="11" quotePrefix="1" applyNumberFormat="1" applyFont="1" applyFill="1" applyBorder="1" applyAlignment="1">
      <alignment horizontal="center"/>
    </xf>
    <xf numFmtId="196" fontId="4" fillId="0" borderId="50" xfId="11" applyNumberFormat="1" applyFont="1" applyFill="1" applyBorder="1" applyAlignment="1" applyProtection="1">
      <alignment horizontal="right"/>
    </xf>
    <xf numFmtId="196" fontId="4" fillId="0" borderId="0" xfId="11" applyNumberFormat="1" applyFont="1" applyFill="1" applyBorder="1" applyAlignment="1" applyProtection="1">
      <alignment horizontal="right"/>
    </xf>
    <xf numFmtId="0" fontId="2" fillId="0" borderId="0" xfId="12" applyFont="1" applyFill="1" applyBorder="1"/>
    <xf numFmtId="196" fontId="4" fillId="0" borderId="0" xfId="11" applyNumberFormat="1" applyFont="1" applyFill="1" applyBorder="1" applyAlignment="1">
      <alignment horizontal="left" vertical="top"/>
    </xf>
    <xf numFmtId="196" fontId="4" fillId="0" borderId="40" xfId="11" applyNumberFormat="1" applyFont="1" applyFill="1" applyBorder="1" applyAlignment="1">
      <alignment horizontal="left" vertical="top"/>
    </xf>
    <xf numFmtId="196" fontId="4" fillId="0" borderId="51" xfId="11" applyNumberFormat="1" applyFont="1" applyFill="1" applyBorder="1" applyAlignment="1">
      <alignment horizontal="left" vertical="top"/>
    </xf>
    <xf numFmtId="196" fontId="4" fillId="0" borderId="43" xfId="11" applyNumberFormat="1" applyFont="1" applyFill="1" applyBorder="1" applyAlignment="1" applyProtection="1">
      <alignment horizontal="right"/>
    </xf>
    <xf numFmtId="196" fontId="4" fillId="0" borderId="52" xfId="11" applyNumberFormat="1" applyFont="1" applyFill="1" applyBorder="1" applyAlignment="1">
      <alignment horizontal="left" vertical="top"/>
    </xf>
    <xf numFmtId="196" fontId="4" fillId="0" borderId="53" xfId="11" applyNumberFormat="1" applyFont="1" applyFill="1" applyBorder="1" applyAlignment="1">
      <alignment horizontal="left" vertical="top"/>
    </xf>
    <xf numFmtId="196" fontId="4" fillId="0" borderId="54" xfId="11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55" xfId="11" applyNumberFormat="1" applyFont="1" applyFill="1" applyBorder="1" applyAlignment="1">
      <alignment horizontal="left" vertical="top"/>
    </xf>
    <xf numFmtId="196" fontId="4" fillId="0" borderId="56" xfId="11" applyNumberFormat="1" applyFont="1" applyFill="1" applyBorder="1" applyAlignment="1">
      <alignment horizontal="left" vertical="top"/>
    </xf>
    <xf numFmtId="196" fontId="2" fillId="0" borderId="55" xfId="11" applyNumberFormat="1" applyFont="1" applyFill="1" applyBorder="1" applyAlignment="1" applyProtection="1">
      <protection locked="0"/>
    </xf>
    <xf numFmtId="196" fontId="2" fillId="0" borderId="57" xfId="11" applyNumberFormat="1" applyFont="1" applyFill="1" applyBorder="1" applyAlignment="1" applyProtection="1">
      <protection locked="0"/>
    </xf>
    <xf numFmtId="196" fontId="2" fillId="0" borderId="58" xfId="11" applyNumberFormat="1" applyFont="1" applyFill="1" applyBorder="1" applyAlignment="1" applyProtection="1">
      <alignment wrapText="1"/>
      <protection locked="0"/>
    </xf>
    <xf numFmtId="196" fontId="2" fillId="0" borderId="59" xfId="11" applyNumberFormat="1" applyFont="1" applyFill="1" applyBorder="1" applyAlignment="1" applyProtection="1">
      <protection locked="0"/>
    </xf>
    <xf numFmtId="196" fontId="2" fillId="0" borderId="60" xfId="11" applyNumberFormat="1" applyFont="1" applyFill="1" applyBorder="1" applyAlignment="1" applyProtection="1">
      <protection locked="0"/>
    </xf>
    <xf numFmtId="196" fontId="2" fillId="0" borderId="61" xfId="11" applyNumberFormat="1" applyFont="1" applyFill="1" applyBorder="1" applyAlignment="1" applyProtection="1">
      <alignment horizontal="right"/>
    </xf>
    <xf numFmtId="196" fontId="2" fillId="0" borderId="0" xfId="11" applyNumberFormat="1" applyFont="1" applyFill="1" applyBorder="1" applyAlignment="1" applyProtection="1">
      <alignment horizontal="right"/>
    </xf>
    <xf numFmtId="196" fontId="4" fillId="0" borderId="40" xfId="11" applyNumberFormat="1" applyFont="1" applyFill="1" applyBorder="1" applyAlignment="1">
      <alignment horizontal="left"/>
    </xf>
    <xf numFmtId="196" fontId="4" fillId="0" borderId="51" xfId="11" applyNumberFormat="1" applyFont="1" applyFill="1" applyBorder="1" applyAlignment="1">
      <alignment horizontal="left"/>
    </xf>
    <xf numFmtId="196" fontId="2" fillId="0" borderId="40" xfId="11" applyNumberFormat="1" applyFont="1" applyFill="1" applyBorder="1" applyAlignment="1" applyProtection="1">
      <protection locked="0"/>
    </xf>
    <xf numFmtId="196" fontId="2" fillId="0" borderId="41" xfId="11" applyNumberFormat="1" applyFont="1" applyFill="1" applyBorder="1" applyAlignment="1" applyProtection="1">
      <protection locked="0"/>
    </xf>
    <xf numFmtId="196" fontId="2" fillId="0" borderId="42" xfId="11" applyNumberFormat="1" applyFont="1" applyFill="1" applyBorder="1" applyAlignment="1" applyProtection="1">
      <alignment wrapText="1"/>
      <protection locked="0"/>
    </xf>
    <xf numFmtId="196" fontId="2" fillId="0" borderId="62" xfId="11" applyNumberFormat="1" applyFont="1" applyFill="1" applyBorder="1" applyAlignment="1" applyProtection="1">
      <protection locked="0"/>
    </xf>
    <xf numFmtId="196" fontId="2" fillId="0" borderId="63" xfId="11" applyNumberFormat="1" applyFont="1" applyFill="1" applyBorder="1" applyAlignment="1" applyProtection="1">
      <protection locked="0"/>
    </xf>
    <xf numFmtId="196" fontId="2" fillId="0" borderId="43" xfId="11" applyNumberFormat="1" applyFont="1" applyFill="1" applyBorder="1" applyAlignment="1" applyProtection="1">
      <alignment horizontal="right"/>
    </xf>
    <xf numFmtId="3" fontId="2" fillId="0" borderId="63" xfId="11" applyNumberFormat="1" applyFont="1" applyFill="1" applyBorder="1" applyAlignment="1" applyProtection="1">
      <protection locked="0"/>
    </xf>
    <xf numFmtId="196" fontId="4" fillId="0" borderId="38" xfId="11" applyNumberFormat="1" applyFont="1" applyFill="1" applyBorder="1" applyAlignment="1">
      <alignment horizontal="left"/>
    </xf>
    <xf numFmtId="196" fontId="4" fillId="0" borderId="39" xfId="11" applyNumberFormat="1" applyFont="1" applyFill="1" applyBorder="1" applyAlignment="1">
      <alignment horizontal="left"/>
    </xf>
    <xf numFmtId="196" fontId="2" fillId="0" borderId="27" xfId="11" applyNumberFormat="1" applyFont="1" applyFill="1" applyBorder="1" applyAlignment="1" applyProtection="1">
      <protection locked="0"/>
    </xf>
    <xf numFmtId="196" fontId="2" fillId="0" borderId="30" xfId="11" applyNumberFormat="1" applyFont="1" applyFill="1" applyBorder="1" applyAlignment="1" applyProtection="1">
      <protection locked="0"/>
    </xf>
    <xf numFmtId="196" fontId="2" fillId="0" borderId="64" xfId="11" applyNumberFormat="1" applyFont="1" applyFill="1" applyBorder="1" applyAlignment="1" applyProtection="1">
      <alignment wrapText="1"/>
      <protection locked="0"/>
    </xf>
    <xf numFmtId="196" fontId="2" fillId="0" borderId="65" xfId="11" applyNumberFormat="1" applyFont="1" applyFill="1" applyBorder="1" applyAlignment="1" applyProtection="1">
      <protection locked="0"/>
    </xf>
    <xf numFmtId="196" fontId="2" fillId="0" borderId="66" xfId="11" applyNumberFormat="1" applyFont="1" applyFill="1" applyBorder="1" applyAlignment="1" applyProtection="1">
      <protection locked="0"/>
    </xf>
    <xf numFmtId="196" fontId="2" fillId="0" borderId="54" xfId="11" applyNumberFormat="1" applyFont="1" applyFill="1" applyBorder="1" applyAlignment="1" applyProtection="1">
      <alignment horizontal="right"/>
    </xf>
    <xf numFmtId="196" fontId="4" fillId="0" borderId="22" xfId="11" applyNumberFormat="1" applyFont="1" applyFill="1" applyBorder="1" applyAlignment="1">
      <alignment horizontal="left"/>
    </xf>
    <xf numFmtId="196" fontId="4" fillId="0" borderId="23" xfId="11" applyNumberFormat="1" applyFont="1" applyFill="1" applyBorder="1" applyAlignment="1">
      <alignment horizontal="left"/>
    </xf>
    <xf numFmtId="196" fontId="49" fillId="0" borderId="0" xfId="11" applyNumberFormat="1" applyFont="1" applyFill="1" applyBorder="1" applyAlignment="1">
      <alignment horizontal="center"/>
    </xf>
    <xf numFmtId="196" fontId="4" fillId="0" borderId="67" xfId="11" applyNumberFormat="1" applyFont="1" applyFill="1" applyBorder="1" applyAlignment="1" applyProtection="1"/>
    <xf numFmtId="196" fontId="4" fillId="0" borderId="68" xfId="11" applyNumberFormat="1" applyFont="1" applyFill="1" applyBorder="1" applyAlignment="1" applyProtection="1"/>
    <xf numFmtId="196" fontId="4" fillId="0" borderId="69" xfId="11" applyNumberFormat="1" applyFont="1" applyFill="1" applyBorder="1" applyAlignment="1" applyProtection="1"/>
    <xf numFmtId="196" fontId="4" fillId="0" borderId="70" xfId="11" applyNumberFormat="1" applyFont="1" applyFill="1" applyBorder="1" applyAlignment="1" applyProtection="1"/>
    <xf numFmtId="196" fontId="4" fillId="0" borderId="38" xfId="11" applyNumberFormat="1" applyFont="1" applyFill="1" applyBorder="1" applyAlignment="1">
      <alignment horizontal="left" vertical="top"/>
    </xf>
    <xf numFmtId="196" fontId="4" fillId="0" borderId="71" xfId="11" applyNumberFormat="1" applyFont="1" applyFill="1" applyBorder="1" applyAlignment="1" applyProtection="1"/>
    <xf numFmtId="196" fontId="4" fillId="0" borderId="41" xfId="11" applyNumberFormat="1" applyFont="1" applyFill="1" applyBorder="1" applyAlignment="1" applyProtection="1"/>
    <xf numFmtId="196" fontId="4" fillId="0" borderId="62" xfId="11" applyNumberFormat="1" applyFont="1" applyFill="1" applyBorder="1" applyAlignment="1" applyProtection="1"/>
    <xf numFmtId="196" fontId="4" fillId="0" borderId="63" xfId="11" applyNumberFormat="1" applyFont="1" applyFill="1" applyBorder="1" applyAlignment="1" applyProtection="1"/>
    <xf numFmtId="196" fontId="4" fillId="0" borderId="0" xfId="11" applyNumberFormat="1" applyFont="1" applyFill="1" applyBorder="1" applyAlignment="1" applyProtection="1">
      <alignment horizontal="left"/>
      <protection locked="0"/>
    </xf>
    <xf numFmtId="196" fontId="4" fillId="0" borderId="27" xfId="11" applyNumberFormat="1" applyFont="1" applyFill="1" applyBorder="1" applyAlignment="1">
      <alignment horizontal="left" vertical="top"/>
    </xf>
    <xf numFmtId="196" fontId="4" fillId="0" borderId="28" xfId="11" applyNumberFormat="1" applyFont="1" applyFill="1" applyBorder="1" applyAlignment="1">
      <alignment horizontal="left"/>
    </xf>
    <xf numFmtId="196" fontId="2" fillId="0" borderId="0" xfId="11" applyNumberFormat="1" applyFont="1" applyFill="1" applyBorder="1"/>
    <xf numFmtId="196" fontId="4" fillId="0" borderId="72" xfId="11" applyNumberFormat="1" applyFont="1" applyFill="1" applyBorder="1" applyAlignment="1" applyProtection="1"/>
    <xf numFmtId="196" fontId="4" fillId="0" borderId="73" xfId="11" applyNumberFormat="1" applyFont="1" applyFill="1" applyBorder="1" applyAlignment="1" applyProtection="1"/>
    <xf numFmtId="196" fontId="4" fillId="0" borderId="74" xfId="11" applyNumberFormat="1" applyFont="1" applyFill="1" applyBorder="1" applyAlignment="1" applyProtection="1"/>
    <xf numFmtId="196" fontId="4" fillId="0" borderId="75" xfId="11" applyNumberFormat="1" applyFont="1" applyFill="1" applyBorder="1" applyAlignment="1" applyProtection="1"/>
    <xf numFmtId="0" fontId="2" fillId="0" borderId="0" xfId="12" applyFont="1" applyFill="1" applyBorder="1" applyAlignment="1">
      <alignment horizontal="left"/>
    </xf>
    <xf numFmtId="196" fontId="2" fillId="0" borderId="0" xfId="12" applyNumberFormat="1" applyFont="1" applyFill="1" applyBorder="1"/>
    <xf numFmtId="196" fontId="2" fillId="0" borderId="0" xfId="12" applyNumberFormat="1" applyFont="1" applyBorder="1"/>
    <xf numFmtId="0" fontId="29" fillId="0" borderId="66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182" fontId="13" fillId="0" borderId="0" xfId="9" applyNumberFormat="1" applyFont="1" applyAlignment="1">
      <alignment horizontal="right" vertical="center"/>
    </xf>
    <xf numFmtId="196" fontId="4" fillId="0" borderId="76" xfId="11" applyNumberFormat="1" applyFont="1" applyFill="1" applyBorder="1" applyAlignment="1" applyProtection="1">
      <protection locked="0"/>
    </xf>
    <xf numFmtId="196" fontId="4" fillId="0" borderId="76" xfId="11" applyNumberFormat="1" applyFont="1" applyFill="1" applyBorder="1" applyAlignment="1" applyProtection="1">
      <alignment wrapText="1"/>
      <protection locked="0"/>
    </xf>
    <xf numFmtId="196" fontId="4" fillId="0" borderId="77" xfId="11" applyNumberFormat="1" applyFont="1" applyFill="1" applyBorder="1" applyAlignment="1" applyProtection="1">
      <protection locked="0"/>
    </xf>
    <xf numFmtId="197" fontId="4" fillId="0" borderId="78" xfId="3" applyNumberFormat="1" applyFont="1" applyFill="1" applyBorder="1" applyAlignment="1" applyProtection="1">
      <protection locked="0"/>
    </xf>
    <xf numFmtId="196" fontId="4" fillId="0" borderId="78" xfId="11" applyNumberFormat="1" applyFont="1" applyFill="1" applyBorder="1" applyAlignment="1" applyProtection="1">
      <alignment wrapText="1"/>
      <protection locked="0"/>
    </xf>
    <xf numFmtId="196" fontId="4" fillId="0" borderId="78" xfId="11" applyNumberFormat="1" applyFont="1" applyFill="1" applyBorder="1" applyAlignment="1" applyProtection="1">
      <protection locked="0"/>
    </xf>
    <xf numFmtId="196" fontId="4" fillId="0" borderId="79" xfId="11" applyNumberFormat="1" applyFont="1" applyFill="1" applyBorder="1" applyAlignment="1" applyProtection="1">
      <protection locked="0"/>
    </xf>
    <xf numFmtId="196" fontId="4" fillId="0" borderId="80" xfId="11" applyNumberFormat="1" applyFont="1" applyFill="1" applyBorder="1" applyAlignment="1" applyProtection="1">
      <protection locked="0"/>
    </xf>
    <xf numFmtId="196" fontId="4" fillId="0" borderId="81" xfId="11" applyNumberFormat="1" applyFont="1" applyFill="1" applyBorder="1" applyAlignment="1" applyProtection="1">
      <protection locked="0"/>
    </xf>
    <xf numFmtId="196" fontId="4" fillId="0" borderId="81" xfId="11" applyNumberFormat="1" applyFont="1" applyFill="1" applyBorder="1" applyAlignment="1" applyProtection="1">
      <alignment wrapText="1"/>
      <protection locked="0"/>
    </xf>
    <xf numFmtId="196" fontId="4" fillId="0" borderId="82" xfId="11" applyNumberFormat="1" applyFont="1" applyFill="1" applyBorder="1" applyAlignment="1" applyProtection="1">
      <protection locked="0"/>
    </xf>
    <xf numFmtId="196" fontId="4" fillId="0" borderId="83" xfId="11" applyNumberFormat="1" applyFont="1" applyFill="1" applyBorder="1" applyAlignment="1" applyProtection="1">
      <protection locked="0"/>
    </xf>
    <xf numFmtId="196" fontId="4" fillId="0" borderId="84" xfId="11" applyNumberFormat="1" applyFont="1" applyFill="1" applyBorder="1" applyAlignment="1" applyProtection="1">
      <protection locked="0"/>
    </xf>
    <xf numFmtId="196" fontId="4" fillId="0" borderId="54" xfId="11" applyNumberFormat="1" applyFont="1" applyFill="1" applyBorder="1" applyAlignment="1" applyProtection="1">
      <alignment wrapText="1"/>
      <protection locked="0"/>
    </xf>
    <xf numFmtId="0" fontId="51" fillId="0" borderId="0" xfId="0" applyNumberFormat="1" applyFont="1" applyFill="1" applyBorder="1" applyAlignment="1" applyProtection="1"/>
    <xf numFmtId="0" fontId="13" fillId="0" borderId="0" xfId="9" applyFont="1" applyAlignment="1">
      <alignment vertical="center"/>
    </xf>
    <xf numFmtId="0" fontId="52" fillId="0" borderId="0" xfId="0" applyFont="1"/>
    <xf numFmtId="0" fontId="0" fillId="0" borderId="0" xfId="0" applyBorder="1"/>
    <xf numFmtId="0" fontId="0" fillId="0" borderId="3" xfId="0" applyBorder="1" applyAlignment="1">
      <alignment horizontal="center"/>
    </xf>
    <xf numFmtId="0" fontId="3" fillId="0" borderId="0" xfId="0" applyFont="1"/>
    <xf numFmtId="3" fontId="55" fillId="0" borderId="3" xfId="2" applyNumberFormat="1" applyBorder="1"/>
    <xf numFmtId="3" fontId="3" fillId="0" borderId="0" xfId="0" applyNumberFormat="1" applyFont="1" applyBorder="1"/>
    <xf numFmtId="3" fontId="0" fillId="0" borderId="0" xfId="0" applyNumberFormat="1" applyBorder="1"/>
    <xf numFmtId="0" fontId="3" fillId="0" borderId="3" xfId="0" applyFont="1" applyBorder="1"/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3" fontId="55" fillId="0" borderId="14" xfId="2" applyNumberFormat="1" applyBorder="1"/>
    <xf numFmtId="0" fontId="12" fillId="0" borderId="17" xfId="0" applyFont="1" applyBorder="1" applyAlignment="1">
      <alignment vertical="center"/>
    </xf>
    <xf numFmtId="0" fontId="56" fillId="0" borderId="18" xfId="0" applyFont="1" applyBorder="1" applyAlignment="1">
      <alignment vertical="center"/>
    </xf>
    <xf numFmtId="0" fontId="56" fillId="0" borderId="18" xfId="0" applyFont="1" applyBorder="1" applyAlignment="1">
      <alignment horizontal="center" vertical="center"/>
    </xf>
    <xf numFmtId="3" fontId="56" fillId="0" borderId="18" xfId="2" applyNumberFormat="1" applyFont="1" applyBorder="1" applyAlignment="1">
      <alignment vertical="center"/>
    </xf>
    <xf numFmtId="3" fontId="56" fillId="0" borderId="85" xfId="2" applyNumberFormat="1" applyFont="1" applyBorder="1" applyAlignment="1">
      <alignment vertical="center"/>
    </xf>
    <xf numFmtId="3" fontId="0" fillId="0" borderId="0" xfId="0" applyNumberFormat="1"/>
    <xf numFmtId="1" fontId="0" fillId="0" borderId="0" xfId="0" applyNumberFormat="1"/>
    <xf numFmtId="0" fontId="50" fillId="0" borderId="0" xfId="0" applyFont="1" applyBorder="1"/>
    <xf numFmtId="3" fontId="55" fillId="0" borderId="0" xfId="2" applyNumberFormat="1" applyFill="1" applyBorder="1"/>
    <xf numFmtId="0" fontId="50" fillId="0" borderId="0" xfId="0" applyFont="1"/>
    <xf numFmtId="0" fontId="3" fillId="0" borderId="0" xfId="0" applyFont="1" applyBorder="1"/>
    <xf numFmtId="0" fontId="0" fillId="0" borderId="86" xfId="0" applyBorder="1"/>
    <xf numFmtId="169" fontId="12" fillId="0" borderId="3" xfId="0" applyNumberFormat="1" applyFont="1" applyBorder="1"/>
    <xf numFmtId="169" fontId="0" fillId="0" borderId="3" xfId="0" applyNumberFormat="1" applyBorder="1"/>
    <xf numFmtId="169" fontId="55" fillId="0" borderId="3" xfId="2" applyNumberFormat="1" applyBorder="1"/>
    <xf numFmtId="169" fontId="0" fillId="0" borderId="0" xfId="0" applyNumberFormat="1"/>
    <xf numFmtId="0" fontId="50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4" fillId="0" borderId="0" xfId="0" applyFont="1"/>
    <xf numFmtId="0" fontId="58" fillId="0" borderId="0" xfId="0" applyFont="1"/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76" xfId="0" applyBorder="1"/>
    <xf numFmtId="0" fontId="59" fillId="0" borderId="10" xfId="0" applyFont="1" applyBorder="1"/>
    <xf numFmtId="0" fontId="53" fillId="0" borderId="0" xfId="0" applyFont="1"/>
    <xf numFmtId="0" fontId="65" fillId="0" borderId="0" xfId="0" applyFont="1"/>
    <xf numFmtId="0" fontId="66" fillId="0" borderId="0" xfId="0" applyFont="1"/>
    <xf numFmtId="182" fontId="11" fillId="0" borderId="0" xfId="9" applyNumberFormat="1" applyFill="1" applyBorder="1" applyAlignment="1" applyProtection="1"/>
    <xf numFmtId="4" fontId="11" fillId="0" borderId="0" xfId="10" applyNumberFormat="1" applyFill="1" applyBorder="1" applyAlignment="1" applyProtection="1"/>
    <xf numFmtId="4" fontId="11" fillId="0" borderId="0" xfId="9" applyNumberFormat="1" applyFill="1" applyBorder="1" applyAlignment="1" applyProtection="1"/>
    <xf numFmtId="0" fontId="29" fillId="0" borderId="13" xfId="0" applyNumberFormat="1" applyFont="1" applyFill="1" applyBorder="1" applyAlignment="1" applyProtection="1">
      <alignment wrapText="1"/>
    </xf>
    <xf numFmtId="0" fontId="29" fillId="0" borderId="14" xfId="0" applyNumberFormat="1" applyFont="1" applyFill="1" applyBorder="1" applyAlignment="1" applyProtection="1">
      <alignment horizontal="center" vertical="center" wrapText="1"/>
    </xf>
    <xf numFmtId="0" fontId="29" fillId="0" borderId="5" xfId="0" applyNumberFormat="1" applyFont="1" applyFill="1" applyBorder="1" applyAlignment="1" applyProtection="1">
      <alignment horizontal="center" vertical="center" wrapText="1"/>
    </xf>
    <xf numFmtId="0" fontId="29" fillId="0" borderId="21" xfId="0" applyNumberFormat="1" applyFont="1" applyFill="1" applyBorder="1" applyAlignment="1" applyProtection="1">
      <alignment horizontal="center" vertical="center" wrapText="1"/>
    </xf>
    <xf numFmtId="3" fontId="2" fillId="0" borderId="86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0" borderId="90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171" fontId="2" fillId="0" borderId="0" xfId="0" applyNumberFormat="1" applyFont="1" applyFill="1" applyBorder="1" applyAlignment="1" applyProtection="1"/>
    <xf numFmtId="0" fontId="0" fillId="0" borderId="86" xfId="0" applyBorder="1" applyAlignment="1">
      <alignment horizontal="center"/>
    </xf>
    <xf numFmtId="3" fontId="55" fillId="0" borderId="86" xfId="2" applyNumberFormat="1" applyBorder="1"/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4" fontId="12" fillId="0" borderId="30" xfId="0" applyNumberFormat="1" applyFont="1" applyBorder="1" applyAlignment="1">
      <alignment horizontal="center"/>
    </xf>
    <xf numFmtId="14" fontId="12" fillId="0" borderId="66" xfId="0" applyNumberFormat="1" applyFont="1" applyBorder="1" applyAlignment="1">
      <alignment horizontal="center"/>
    </xf>
    <xf numFmtId="39" fontId="9" fillId="0" borderId="0" xfId="0" applyNumberFormat="1" applyFont="1" applyFill="1"/>
    <xf numFmtId="0" fontId="6" fillId="0" borderId="0" xfId="0" applyFont="1" applyFill="1"/>
    <xf numFmtId="39" fontId="7" fillId="0" borderId="1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71" fontId="6" fillId="0" borderId="1" xfId="1" applyFont="1" applyFill="1" applyBorder="1"/>
    <xf numFmtId="171" fontId="10" fillId="0" borderId="0" xfId="0" applyNumberFormat="1" applyFont="1" applyFill="1"/>
    <xf numFmtId="0" fontId="27" fillId="0" borderId="0" xfId="0" applyFont="1" applyFill="1"/>
    <xf numFmtId="39" fontId="6" fillId="0" borderId="0" xfId="1" applyNumberFormat="1" applyFont="1" applyFill="1"/>
    <xf numFmtId="39" fontId="9" fillId="0" borderId="0" xfId="0" applyNumberFormat="1" applyFont="1" applyFill="1" applyAlignment="1">
      <alignment horizontal="center"/>
    </xf>
    <xf numFmtId="39" fontId="9" fillId="0" borderId="1" xfId="0" applyNumberFormat="1" applyFont="1" applyFill="1" applyBorder="1"/>
    <xf numFmtId="39" fontId="9" fillId="0" borderId="0" xfId="0" applyNumberFormat="1" applyFont="1" applyFill="1" applyBorder="1"/>
    <xf numFmtId="0" fontId="50" fillId="0" borderId="0" xfId="0" applyFont="1" applyFill="1" applyBorder="1" applyAlignment="1">
      <alignment horizontal="center"/>
    </xf>
    <xf numFmtId="0" fontId="28" fillId="0" borderId="0" xfId="0" applyFont="1" applyFill="1"/>
    <xf numFmtId="39" fontId="27" fillId="0" borderId="0" xfId="0" applyNumberFormat="1" applyFont="1" applyFill="1"/>
    <xf numFmtId="39" fontId="7" fillId="0" borderId="2" xfId="0" applyNumberFormat="1" applyFont="1" applyFill="1" applyBorder="1" applyAlignment="1">
      <alignment horizontal="center"/>
    </xf>
    <xf numFmtId="39" fontId="10" fillId="0" borderId="0" xfId="0" applyNumberFormat="1" applyFont="1" applyFill="1"/>
    <xf numFmtId="39" fontId="6" fillId="0" borderId="12" xfId="0" applyNumberFormat="1" applyFont="1" applyFill="1" applyBorder="1"/>
    <xf numFmtId="37" fontId="6" fillId="0" borderId="0" xfId="0" applyNumberFormat="1" applyFont="1" applyFill="1" applyBorder="1" applyAlignment="1">
      <alignment horizontal="center"/>
    </xf>
    <xf numFmtId="169" fontId="9" fillId="0" borderId="0" xfId="0" applyNumberFormat="1" applyFont="1" applyFill="1" applyAlignment="1">
      <alignment horizontal="right"/>
    </xf>
    <xf numFmtId="193" fontId="11" fillId="0" borderId="0" xfId="9" applyNumberFormat="1" applyFill="1" applyBorder="1" applyAlignment="1" applyProtection="1"/>
    <xf numFmtId="0" fontId="72" fillId="0" borderId="0" xfId="4" applyFont="1" applyBorder="1"/>
    <xf numFmtId="41" fontId="72" fillId="0" borderId="0" xfId="4" applyNumberFormat="1" applyFont="1" applyBorder="1"/>
    <xf numFmtId="0" fontId="67" fillId="0" borderId="0" xfId="0" applyFont="1" applyBorder="1"/>
    <xf numFmtId="0" fontId="4" fillId="0" borderId="0" xfId="0" applyFont="1" applyBorder="1"/>
    <xf numFmtId="3" fontId="4" fillId="0" borderId="0" xfId="0" applyNumberFormat="1" applyFont="1" applyFill="1" applyBorder="1" applyAlignment="1" applyProtection="1"/>
    <xf numFmtId="0" fontId="4" fillId="0" borderId="0" xfId="12" applyFont="1" applyFill="1" applyBorder="1"/>
    <xf numFmtId="0" fontId="72" fillId="0" borderId="0" xfId="0" applyFont="1"/>
    <xf numFmtId="0" fontId="72" fillId="0" borderId="17" xfId="0" applyFont="1" applyBorder="1"/>
    <xf numFmtId="0" fontId="72" fillId="0" borderId="18" xfId="0" applyFont="1" applyBorder="1"/>
    <xf numFmtId="0" fontId="72" fillId="0" borderId="85" xfId="0" applyFont="1" applyBorder="1"/>
    <xf numFmtId="0" fontId="0" fillId="0" borderId="21" xfId="0" applyBorder="1"/>
    <xf numFmtId="169" fontId="0" fillId="0" borderId="86" xfId="0" applyNumberFormat="1" applyBorder="1"/>
    <xf numFmtId="169" fontId="0" fillId="0" borderId="9" xfId="0" applyNumberFormat="1" applyBorder="1"/>
    <xf numFmtId="169" fontId="0" fillId="0" borderId="91" xfId="0" applyNumberFormat="1" applyBorder="1"/>
    <xf numFmtId="0" fontId="0" fillId="0" borderId="92" xfId="0" applyBorder="1"/>
    <xf numFmtId="169" fontId="0" fillId="0" borderId="93" xfId="0" applyNumberFormat="1" applyBorder="1"/>
    <xf numFmtId="169" fontId="0" fillId="0" borderId="94" xfId="0" applyNumberFormat="1" applyBorder="1"/>
    <xf numFmtId="169" fontId="0" fillId="0" borderId="13" xfId="0" applyNumberFormat="1" applyBorder="1"/>
    <xf numFmtId="169" fontId="0" fillId="0" borderId="15" xfId="0" applyNumberFormat="1" applyBorder="1"/>
    <xf numFmtId="0" fontId="0" fillId="0" borderId="95" xfId="0" applyBorder="1"/>
    <xf numFmtId="169" fontId="0" fillId="0" borderId="14" xfId="0" applyNumberFormat="1" applyBorder="1"/>
    <xf numFmtId="169" fontId="0" fillId="0" borderId="5" xfId="0" applyNumberFormat="1" applyBorder="1"/>
    <xf numFmtId="169" fontId="0" fillId="0" borderId="16" xfId="0" applyNumberFormat="1" applyBorder="1"/>
    <xf numFmtId="0" fontId="0" fillId="0" borderId="17" xfId="0" applyBorder="1"/>
    <xf numFmtId="169" fontId="0" fillId="0" borderId="18" xfId="0" applyNumberFormat="1" applyBorder="1"/>
    <xf numFmtId="169" fontId="0" fillId="0" borderId="19" xfId="0" applyNumberFormat="1" applyBorder="1"/>
    <xf numFmtId="169" fontId="0" fillId="0" borderId="20" xfId="0" applyNumberFormat="1" applyBorder="1"/>
    <xf numFmtId="169" fontId="72" fillId="0" borderId="20" xfId="0" applyNumberFormat="1" applyFont="1" applyBorder="1"/>
    <xf numFmtId="169" fontId="74" fillId="0" borderId="0" xfId="0" applyNumberFormat="1" applyFont="1"/>
    <xf numFmtId="169" fontId="75" fillId="0" borderId="0" xfId="0" applyNumberFormat="1" applyFont="1"/>
    <xf numFmtId="0" fontId="0" fillId="0" borderId="96" xfId="0" applyBorder="1"/>
    <xf numFmtId="0" fontId="0" fillId="0" borderId="97" xfId="0" applyBorder="1"/>
    <xf numFmtId="0" fontId="0" fillId="0" borderId="98" xfId="0" applyBorder="1"/>
    <xf numFmtId="43" fontId="0" fillId="0" borderId="0" xfId="0" applyNumberFormat="1"/>
    <xf numFmtId="0" fontId="76" fillId="0" borderId="3" xfId="6" applyFont="1" applyBorder="1"/>
    <xf numFmtId="41" fontId="76" fillId="0" borderId="3" xfId="6" applyNumberFormat="1" applyFont="1" applyBorder="1"/>
    <xf numFmtId="0" fontId="6" fillId="0" borderId="3" xfId="0" applyFont="1" applyFill="1" applyBorder="1"/>
    <xf numFmtId="39" fontId="7" fillId="0" borderId="3" xfId="0" applyNumberFormat="1" applyFont="1" applyFill="1" applyBorder="1" applyAlignment="1">
      <alignment horizontal="center"/>
    </xf>
    <xf numFmtId="171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71" fontId="9" fillId="0" borderId="3" xfId="1" applyFont="1" applyFill="1" applyBorder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71" fontId="6" fillId="0" borderId="3" xfId="1" applyFont="1" applyFill="1" applyBorder="1" applyAlignment="1">
      <alignment horizontal="right"/>
    </xf>
    <xf numFmtId="171" fontId="9" fillId="0" borderId="3" xfId="1" applyFont="1" applyFill="1" applyBorder="1" applyAlignment="1">
      <alignment horizontal="center"/>
    </xf>
    <xf numFmtId="39" fontId="6" fillId="0" borderId="3" xfId="0" applyNumberFormat="1" applyFont="1" applyFill="1" applyBorder="1"/>
    <xf numFmtId="169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9" fontId="9" fillId="0" borderId="3" xfId="0" applyNumberFormat="1" applyFont="1" applyFill="1" applyBorder="1"/>
    <xf numFmtId="171" fontId="6" fillId="0" borderId="3" xfId="0" applyNumberFormat="1" applyFont="1" applyFill="1" applyBorder="1"/>
    <xf numFmtId="43" fontId="6" fillId="0" borderId="3" xfId="0" applyNumberFormat="1" applyFont="1" applyFill="1" applyBorder="1"/>
    <xf numFmtId="171" fontId="6" fillId="0" borderId="3" xfId="1" applyNumberFormat="1" applyFont="1" applyFill="1" applyBorder="1" applyAlignment="1">
      <alignment horizontal="right"/>
    </xf>
    <xf numFmtId="2" fontId="0" fillId="0" borderId="3" xfId="0" applyNumberFormat="1" applyFill="1" applyBorder="1"/>
    <xf numFmtId="171" fontId="0" fillId="0" borderId="3" xfId="0" applyNumberFormat="1" applyFill="1" applyBorder="1"/>
    <xf numFmtId="2" fontId="12" fillId="0" borderId="3" xfId="0" applyNumberFormat="1" applyFont="1" applyFill="1" applyBorder="1"/>
    <xf numFmtId="37" fontId="9" fillId="0" borderId="3" xfId="0" applyNumberFormat="1" applyFont="1" applyFill="1" applyBorder="1"/>
    <xf numFmtId="39" fontId="6" fillId="0" borderId="3" xfId="0" applyNumberFormat="1" applyFont="1" applyFill="1" applyBorder="1" applyAlignment="1">
      <alignment horizontal="left"/>
    </xf>
    <xf numFmtId="0" fontId="0" fillId="0" borderId="95" xfId="0" applyBorder="1" applyAlignment="1">
      <alignment horizontal="center"/>
    </xf>
    <xf numFmtId="3" fontId="55" fillId="0" borderId="99" xfId="2" applyNumberFormat="1" applyBorder="1"/>
    <xf numFmtId="0" fontId="0" fillId="0" borderId="98" xfId="0" applyBorder="1" applyAlignment="1">
      <alignment horizontal="center"/>
    </xf>
    <xf numFmtId="3" fontId="55" fillId="0" borderId="100" xfId="2" applyNumberFormat="1" applyBorder="1"/>
    <xf numFmtId="0" fontId="0" fillId="0" borderId="101" xfId="0" applyBorder="1" applyAlignment="1">
      <alignment horizontal="center"/>
    </xf>
    <xf numFmtId="3" fontId="55" fillId="0" borderId="102" xfId="2" applyNumberFormat="1" applyBorder="1"/>
    <xf numFmtId="0" fontId="18" fillId="0" borderId="0" xfId="10" applyFont="1" applyFill="1" applyAlignment="1">
      <alignment horizontal="center" vertical="center"/>
    </xf>
    <xf numFmtId="182" fontId="19" fillId="0" borderId="0" xfId="10" applyNumberFormat="1" applyFont="1" applyFill="1" applyAlignment="1">
      <alignment horizontal="right" vertical="center"/>
    </xf>
    <xf numFmtId="182" fontId="17" fillId="0" borderId="0" xfId="10" applyNumberFormat="1" applyFont="1" applyFill="1" applyAlignment="1">
      <alignment horizontal="right" vertical="center"/>
    </xf>
    <xf numFmtId="182" fontId="26" fillId="0" borderId="0" xfId="10" applyNumberFormat="1" applyFont="1" applyFill="1" applyAlignment="1">
      <alignment horizontal="right" vertical="center"/>
    </xf>
    <xf numFmtId="0" fontId="60" fillId="0" borderId="0" xfId="0" applyFont="1"/>
    <xf numFmtId="0" fontId="77" fillId="0" borderId="0" xfId="0" applyFont="1"/>
    <xf numFmtId="0" fontId="71" fillId="0" borderId="3" xfId="7" applyBorder="1"/>
    <xf numFmtId="0" fontId="73" fillId="0" borderId="3" xfId="7" applyFont="1" applyBorder="1"/>
    <xf numFmtId="0" fontId="2" fillId="0" borderId="86" xfId="0" applyFont="1" applyBorder="1"/>
    <xf numFmtId="183" fontId="2" fillId="0" borderId="9" xfId="1" applyNumberFormat="1" applyFont="1" applyBorder="1"/>
    <xf numFmtId="0" fontId="2" fillId="0" borderId="3" xfId="0" applyFont="1" applyBorder="1"/>
    <xf numFmtId="183" fontId="2" fillId="0" borderId="13" xfId="1" applyNumberFormat="1" applyFont="1" applyBorder="1"/>
    <xf numFmtId="0" fontId="2" fillId="0" borderId="96" xfId="0" applyFont="1" applyBorder="1"/>
    <xf numFmtId="0" fontId="2" fillId="0" borderId="103" xfId="0" applyFont="1" applyBorder="1"/>
    <xf numFmtId="183" fontId="2" fillId="0" borderId="97" xfId="1" applyNumberFormat="1" applyFont="1" applyBorder="1"/>
    <xf numFmtId="183" fontId="2" fillId="0" borderId="3" xfId="1" applyNumberFormat="1" applyFont="1" applyBorder="1"/>
    <xf numFmtId="0" fontId="2" fillId="0" borderId="101" xfId="0" applyFont="1" applyBorder="1"/>
    <xf numFmtId="183" fontId="2" fillId="0" borderId="91" xfId="1" applyNumberFormat="1" applyFont="1" applyBorder="1"/>
    <xf numFmtId="0" fontId="2" fillId="0" borderId="95" xfId="0" applyFont="1" applyBorder="1"/>
    <xf numFmtId="183" fontId="2" fillId="0" borderId="15" xfId="1" applyNumberFormat="1" applyFont="1" applyBorder="1"/>
    <xf numFmtId="0" fontId="2" fillId="0" borderId="104" xfId="0" applyFont="1" applyBorder="1"/>
    <xf numFmtId="0" fontId="2" fillId="0" borderId="105" xfId="0" applyFont="1" applyBorder="1"/>
    <xf numFmtId="183" fontId="2" fillId="0" borderId="105" xfId="1" applyNumberFormat="1" applyFont="1" applyBorder="1"/>
    <xf numFmtId="39" fontId="6" fillId="0" borderId="3" xfId="1" applyNumberFormat="1" applyFont="1" applyFill="1" applyBorder="1"/>
    <xf numFmtId="169" fontId="50" fillId="0" borderId="10" xfId="0" applyNumberFormat="1" applyFont="1" applyBorder="1"/>
    <xf numFmtId="0" fontId="72" fillId="0" borderId="0" xfId="0" applyFont="1" applyBorder="1"/>
    <xf numFmtId="169" fontId="0" fillId="0" borderId="0" xfId="0" applyNumberFormat="1" applyBorder="1"/>
    <xf numFmtId="169" fontId="50" fillId="0" borderId="0" xfId="0" applyNumberFormat="1" applyFont="1" applyBorder="1"/>
    <xf numFmtId="0" fontId="27" fillId="0" borderId="3" xfId="0" applyFont="1" applyFill="1" applyBorder="1"/>
    <xf numFmtId="0" fontId="71" fillId="0" borderId="3" xfId="8" applyBorder="1"/>
    <xf numFmtId="0" fontId="1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85" xfId="0" applyFont="1" applyBorder="1"/>
    <xf numFmtId="0" fontId="2" fillId="0" borderId="103" xfId="0" applyFont="1" applyBorder="1" applyAlignment="1">
      <alignment horizontal="center"/>
    </xf>
    <xf numFmtId="183" fontId="2" fillId="0" borderId="96" xfId="1" applyNumberFormat="1" applyFont="1" applyBorder="1"/>
    <xf numFmtId="183" fontId="2" fillId="0" borderId="20" xfId="1" applyNumberFormat="1" applyFont="1" applyBorder="1"/>
    <xf numFmtId="0" fontId="62" fillId="0" borderId="24" xfId="0" applyFont="1" applyBorder="1" applyAlignment="1">
      <alignment horizontal="center" wrapText="1"/>
    </xf>
    <xf numFmtId="0" fontId="62" fillId="0" borderId="25" xfId="0" applyFont="1" applyBorder="1" applyAlignment="1">
      <alignment horizontal="center" wrapText="1"/>
    </xf>
    <xf numFmtId="0" fontId="54" fillId="0" borderId="26" xfId="0" applyFont="1" applyBorder="1" applyAlignment="1">
      <alignment horizontal="right" vertical="top" wrapText="1"/>
    </xf>
    <xf numFmtId="0" fontId="61" fillId="0" borderId="92" xfId="0" applyFont="1" applyBorder="1" applyAlignment="1">
      <alignment horizontal="center" wrapText="1"/>
    </xf>
    <xf numFmtId="0" fontId="0" fillId="0" borderId="93" xfId="0" applyBorder="1"/>
    <xf numFmtId="169" fontId="61" fillId="0" borderId="106" xfId="0" applyNumberFormat="1" applyFont="1" applyBorder="1" applyAlignment="1">
      <alignment horizontal="right" wrapText="1"/>
    </xf>
    <xf numFmtId="0" fontId="61" fillId="0" borderId="95" xfId="0" applyFont="1" applyBorder="1" applyAlignment="1">
      <alignment horizontal="center" wrapText="1"/>
    </xf>
    <xf numFmtId="169" fontId="61" fillId="0" borderId="99" xfId="0" applyNumberFormat="1" applyFont="1" applyBorder="1" applyAlignment="1">
      <alignment horizontal="right" wrapText="1"/>
    </xf>
    <xf numFmtId="0" fontId="61" fillId="0" borderId="104" xfId="0" applyFont="1" applyBorder="1" applyAlignment="1">
      <alignment horizontal="center" wrapText="1"/>
    </xf>
    <xf numFmtId="0" fontId="0" fillId="0" borderId="105" xfId="0" applyBorder="1"/>
    <xf numFmtId="169" fontId="61" fillId="0" borderId="107" xfId="0" applyNumberFormat="1" applyFont="1" applyBorder="1" applyAlignment="1">
      <alignment horizontal="right" wrapText="1"/>
    </xf>
    <xf numFmtId="0" fontId="57" fillId="0" borderId="29" xfId="0" applyFont="1" applyBorder="1" applyAlignment="1">
      <alignment horizontal="center" vertical="top" wrapText="1"/>
    </xf>
    <xf numFmtId="0" fontId="63" fillId="0" borderId="30" xfId="0" applyFont="1" applyBorder="1" applyAlignment="1">
      <alignment horizontal="center" wrapText="1"/>
    </xf>
    <xf numFmtId="0" fontId="57" fillId="0" borderId="30" xfId="0" applyFont="1" applyBorder="1" applyAlignment="1">
      <alignment horizontal="center" vertical="top" wrapText="1"/>
    </xf>
    <xf numFmtId="1" fontId="78" fillId="0" borderId="97" xfId="4" applyNumberFormat="1" applyFont="1" applyFill="1" applyBorder="1"/>
    <xf numFmtId="0" fontId="57" fillId="0" borderId="0" xfId="0" applyFont="1" applyBorder="1" applyAlignment="1">
      <alignment horizontal="center" vertical="top" wrapText="1"/>
    </xf>
    <xf numFmtId="0" fontId="63" fillId="0" borderId="0" xfId="0" applyFont="1" applyBorder="1" applyAlignment="1">
      <alignment horizontal="center" wrapText="1"/>
    </xf>
    <xf numFmtId="169" fontId="64" fillId="0" borderId="0" xfId="0" applyNumberFormat="1" applyFont="1" applyBorder="1" applyAlignment="1">
      <alignment horizontal="right" wrapText="1"/>
    </xf>
    <xf numFmtId="0" fontId="79" fillId="0" borderId="0" xfId="0" applyFont="1" applyFill="1"/>
    <xf numFmtId="0" fontId="68" fillId="0" borderId="3" xfId="9" applyFont="1" applyFill="1" applyBorder="1" applyAlignment="1">
      <alignment vertical="center"/>
    </xf>
    <xf numFmtId="182" fontId="68" fillId="0" borderId="3" xfId="9" applyNumberFormat="1" applyFont="1" applyFill="1" applyBorder="1" applyAlignment="1">
      <alignment horizontal="right" vertical="center"/>
    </xf>
    <xf numFmtId="0" fontId="0" fillId="0" borderId="108" xfId="0" applyBorder="1"/>
    <xf numFmtId="0" fontId="0" fillId="0" borderId="109" xfId="0" applyBorder="1"/>
    <xf numFmtId="0" fontId="0" fillId="0" borderId="110" xfId="0" applyBorder="1"/>
    <xf numFmtId="0" fontId="0" fillId="0" borderId="111" xfId="0" applyBorder="1"/>
    <xf numFmtId="0" fontId="6" fillId="0" borderId="20" xfId="0" applyFont="1" applyBorder="1" applyAlignment="1">
      <alignment vertical="center"/>
    </xf>
    <xf numFmtId="0" fontId="7" fillId="0" borderId="9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4" fontId="7" fillId="0" borderId="28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3" fontId="9" fillId="0" borderId="28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0" fontId="69" fillId="0" borderId="0" xfId="0" applyFont="1"/>
    <xf numFmtId="0" fontId="62" fillId="0" borderId="17" xfId="0" applyFont="1" applyBorder="1" applyAlignment="1">
      <alignment horizontal="center" wrapText="1"/>
    </xf>
    <xf numFmtId="0" fontId="62" fillId="0" borderId="18" xfId="0" applyFont="1" applyBorder="1" applyAlignment="1">
      <alignment horizontal="center" wrapText="1"/>
    </xf>
    <xf numFmtId="0" fontId="54" fillId="0" borderId="85" xfId="0" applyFont="1" applyBorder="1" applyAlignment="1">
      <alignment horizontal="right" vertical="top" wrapText="1"/>
    </xf>
    <xf numFmtId="0" fontId="12" fillId="0" borderId="86" xfId="0" applyFont="1" applyFill="1" applyBorder="1" applyAlignment="1">
      <alignment horizontal="center" wrapText="1"/>
    </xf>
    <xf numFmtId="0" fontId="80" fillId="0" borderId="86" xfId="4" applyFont="1" applyFill="1" applyBorder="1" applyProtection="1">
      <protection locked="0"/>
    </xf>
    <xf numFmtId="0" fontId="80" fillId="0" borderId="86" xfId="4" applyFont="1" applyFill="1" applyBorder="1"/>
    <xf numFmtId="0" fontId="80" fillId="0" borderId="86" xfId="4" applyNumberFormat="1" applyFont="1" applyFill="1" applyBorder="1"/>
    <xf numFmtId="41" fontId="12" fillId="0" borderId="86" xfId="0" applyNumberFormat="1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center" wrapText="1"/>
    </xf>
    <xf numFmtId="0" fontId="80" fillId="0" borderId="3" xfId="4" applyFont="1" applyFill="1" applyBorder="1" applyProtection="1">
      <protection locked="0"/>
    </xf>
    <xf numFmtId="0" fontId="80" fillId="0" borderId="3" xfId="4" applyFont="1" applyFill="1" applyBorder="1"/>
    <xf numFmtId="0" fontId="80" fillId="0" borderId="3" xfId="4" applyNumberFormat="1" applyFont="1" applyFill="1" applyBorder="1"/>
    <xf numFmtId="41" fontId="12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/>
    <xf numFmtId="1" fontId="70" fillId="0" borderId="3" xfId="4" applyNumberFormat="1" applyFont="1" applyFill="1" applyBorder="1"/>
    <xf numFmtId="1" fontId="80" fillId="0" borderId="3" xfId="4" applyNumberFormat="1" applyFont="1" applyFill="1" applyBorder="1"/>
    <xf numFmtId="0" fontId="0" fillId="0" borderId="96" xfId="0" applyFont="1" applyFill="1" applyBorder="1"/>
    <xf numFmtId="0" fontId="70" fillId="0" borderId="103" xfId="4" applyFont="1" applyFill="1" applyBorder="1"/>
    <xf numFmtId="0" fontId="0" fillId="0" borderId="0" xfId="0" applyFont="1" applyFill="1"/>
    <xf numFmtId="1" fontId="0" fillId="0" borderId="0" xfId="0" applyNumberFormat="1" applyFont="1" applyFill="1"/>
    <xf numFmtId="182" fontId="17" fillId="4" borderId="0" xfId="10" applyNumberFormat="1" applyFont="1" applyFill="1" applyAlignment="1">
      <alignment horizontal="right" vertical="center"/>
    </xf>
    <xf numFmtId="0" fontId="54" fillId="0" borderId="3" xfId="0" applyFont="1" applyBorder="1" applyAlignment="1">
      <alignment horizontal="center"/>
    </xf>
    <xf numFmtId="0" fontId="81" fillId="0" borderId="3" xfId="5" applyFont="1" applyFill="1" applyBorder="1" applyAlignment="1">
      <alignment horizontal="center"/>
    </xf>
    <xf numFmtId="169" fontId="0" fillId="0" borderId="88" xfId="0" applyNumberFormat="1" applyBorder="1"/>
    <xf numFmtId="3" fontId="0" fillId="0" borderId="112" xfId="0" applyNumberFormat="1" applyBorder="1"/>
    <xf numFmtId="169" fontId="0" fillId="0" borderId="76" xfId="0" applyNumberFormat="1" applyBorder="1"/>
    <xf numFmtId="41" fontId="12" fillId="0" borderId="113" xfId="0" applyNumberFormat="1" applyFont="1" applyBorder="1"/>
    <xf numFmtId="41" fontId="50" fillId="0" borderId="113" xfId="0" applyNumberFormat="1" applyFont="1" applyBorder="1"/>
    <xf numFmtId="0" fontId="0" fillId="0" borderId="114" xfId="0" applyBorder="1"/>
    <xf numFmtId="0" fontId="0" fillId="0" borderId="83" xfId="0" applyBorder="1"/>
    <xf numFmtId="0" fontId="0" fillId="0" borderId="115" xfId="0" applyBorder="1"/>
    <xf numFmtId="0" fontId="0" fillId="0" borderId="116" xfId="0" applyBorder="1"/>
    <xf numFmtId="41" fontId="50" fillId="0" borderId="117" xfId="0" applyNumberFormat="1" applyFont="1" applyBorder="1"/>
    <xf numFmtId="0" fontId="0" fillId="0" borderId="118" xfId="0" applyBorder="1"/>
    <xf numFmtId="3" fontId="0" fillId="0" borderId="109" xfId="0" applyNumberFormat="1" applyBorder="1"/>
    <xf numFmtId="0" fontId="0" fillId="0" borderId="119" xfId="0" applyBorder="1"/>
    <xf numFmtId="41" fontId="50" fillId="0" borderId="120" xfId="0" applyNumberFormat="1" applyFont="1" applyBorder="1"/>
    <xf numFmtId="0" fontId="38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9" fillId="0" borderId="3" xfId="0" applyNumberFormat="1" applyFont="1" applyFill="1" applyBorder="1" applyAlignment="1" applyProtection="1">
      <alignment horizontal="center" vertical="center"/>
    </xf>
    <xf numFmtId="196" fontId="48" fillId="0" borderId="21" xfId="11" applyNumberFormat="1" applyFont="1" applyBorder="1" applyAlignment="1" applyProtection="1">
      <alignment horizontal="center" vertical="center" wrapText="1"/>
      <protection locked="0"/>
    </xf>
    <xf numFmtId="0" fontId="2" fillId="0" borderId="31" xfId="0" applyNumberFormat="1" applyFont="1" applyFill="1" applyBorder="1" applyAlignment="1" applyProtection="1"/>
    <xf numFmtId="196" fontId="4" fillId="0" borderId="0" xfId="11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82" fillId="0" borderId="103" xfId="4" applyFont="1" applyFill="1" applyBorder="1" applyAlignment="1">
      <alignment horizontal="right"/>
    </xf>
  </cellXfs>
  <cellStyles count="13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 5" xfId="6"/>
    <cellStyle name="Normal 7" xfId="7"/>
    <cellStyle name="Normal 9" xfId="8"/>
    <cellStyle name="Normal_ardhshpe cact" xfId="9"/>
    <cellStyle name="Normal_bilanc cact" xfId="10"/>
    <cellStyle name="Normal_Documents C1 à C8 ENGLISH" xfId="11"/>
    <cellStyle name="Normal_Levizja e Mjeteve Kryesore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H37" sqref="H37"/>
    </sheetView>
  </sheetViews>
  <sheetFormatPr defaultRowHeight="12.75" x14ac:dyDescent="0.2"/>
  <cols>
    <col min="1" max="1" width="2.42578125" style="25" customWidth="1"/>
    <col min="2" max="2" width="3.140625" style="25" customWidth="1"/>
    <col min="3" max="5" width="9.140625" style="25"/>
    <col min="6" max="6" width="4.28515625" style="25" customWidth="1"/>
    <col min="7" max="7" width="12" style="25" customWidth="1"/>
    <col min="8" max="8" width="9.140625" style="25"/>
    <col min="9" max="9" width="10.7109375" style="25" customWidth="1"/>
    <col min="10" max="10" width="9.140625" style="25"/>
    <col min="11" max="11" width="16" style="25" customWidth="1"/>
    <col min="12" max="16384" width="9.140625" style="25"/>
  </cols>
  <sheetData>
    <row r="2" spans="1:11" ht="14.25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6.5" x14ac:dyDescent="0.3">
      <c r="A3" s="71"/>
      <c r="B3" s="72"/>
      <c r="C3" s="73"/>
      <c r="D3" s="73"/>
      <c r="E3" s="73"/>
      <c r="F3" s="73"/>
      <c r="G3" s="73"/>
      <c r="H3" s="73"/>
      <c r="I3" s="73"/>
      <c r="J3" s="73"/>
      <c r="K3" s="74"/>
    </row>
    <row r="4" spans="1:11" ht="16.5" x14ac:dyDescent="0.3">
      <c r="A4" s="71"/>
      <c r="B4" s="75"/>
      <c r="C4" s="76" t="s">
        <v>518</v>
      </c>
      <c r="D4" s="76"/>
      <c r="E4" s="76"/>
      <c r="F4" s="76"/>
      <c r="G4" s="88" t="s">
        <v>642</v>
      </c>
      <c r="H4" s="77"/>
      <c r="I4" s="77"/>
      <c r="J4" s="77"/>
      <c r="K4" s="78"/>
    </row>
    <row r="5" spans="1:11" ht="16.5" x14ac:dyDescent="0.3">
      <c r="A5" s="71"/>
      <c r="B5" s="75"/>
      <c r="C5" s="76" t="s">
        <v>519</v>
      </c>
      <c r="D5" s="76"/>
      <c r="E5" s="76"/>
      <c r="F5" s="76"/>
      <c r="G5" s="285" t="s">
        <v>643</v>
      </c>
      <c r="H5" s="77"/>
      <c r="I5" s="77"/>
      <c r="J5" s="77"/>
      <c r="K5" s="78"/>
    </row>
    <row r="6" spans="1:11" ht="16.5" x14ac:dyDescent="0.3">
      <c r="A6" s="71"/>
      <c r="B6" s="75"/>
      <c r="C6" s="76" t="s">
        <v>520</v>
      </c>
      <c r="D6" s="76"/>
      <c r="E6" s="76"/>
      <c r="F6" s="76"/>
      <c r="G6" s="88" t="s">
        <v>644</v>
      </c>
      <c r="H6" s="77"/>
      <c r="I6" s="77"/>
      <c r="J6" s="77"/>
      <c r="K6" s="78"/>
    </row>
    <row r="7" spans="1:11" ht="16.5" x14ac:dyDescent="0.3">
      <c r="A7" s="71"/>
      <c r="B7" s="75"/>
      <c r="C7" s="76"/>
      <c r="D7" s="76"/>
      <c r="E7" s="76"/>
      <c r="F7" s="76"/>
      <c r="G7" s="88" t="s">
        <v>541</v>
      </c>
      <c r="H7" s="77"/>
      <c r="I7" s="77"/>
      <c r="J7" s="77"/>
      <c r="K7" s="78"/>
    </row>
    <row r="8" spans="1:11" ht="16.5" x14ac:dyDescent="0.3">
      <c r="A8" s="71"/>
      <c r="B8" s="75"/>
      <c r="C8" s="76" t="s">
        <v>521</v>
      </c>
      <c r="D8" s="76"/>
      <c r="E8" s="76"/>
      <c r="F8" s="76"/>
      <c r="G8" s="88" t="s">
        <v>645</v>
      </c>
      <c r="H8" s="77"/>
      <c r="I8" s="77"/>
      <c r="J8" s="77"/>
      <c r="K8" s="78"/>
    </row>
    <row r="9" spans="1:11" ht="16.5" x14ac:dyDescent="0.3">
      <c r="A9" s="71"/>
      <c r="B9" s="75"/>
      <c r="C9" s="77" t="s">
        <v>522</v>
      </c>
      <c r="D9" s="76"/>
      <c r="E9" s="76"/>
      <c r="F9" s="76"/>
      <c r="G9" s="88" t="s">
        <v>646</v>
      </c>
      <c r="H9" s="77"/>
      <c r="I9" s="77"/>
      <c r="J9" s="77"/>
      <c r="K9" s="78"/>
    </row>
    <row r="10" spans="1:11" ht="16.5" x14ac:dyDescent="0.3">
      <c r="A10" s="71"/>
      <c r="B10" s="75"/>
      <c r="C10" s="76" t="s">
        <v>523</v>
      </c>
      <c r="D10" s="76"/>
      <c r="E10" s="76"/>
      <c r="F10" s="76"/>
      <c r="G10" s="88" t="s">
        <v>648</v>
      </c>
      <c r="H10" s="77"/>
      <c r="I10" s="77"/>
      <c r="J10" s="77"/>
      <c r="K10" s="78"/>
    </row>
    <row r="11" spans="1:11" ht="16.5" x14ac:dyDescent="0.3">
      <c r="A11" s="71"/>
      <c r="B11" s="75"/>
      <c r="C11" s="79"/>
      <c r="D11" s="79"/>
      <c r="E11" s="79"/>
      <c r="F11" s="79"/>
      <c r="G11" s="88" t="s">
        <v>647</v>
      </c>
      <c r="H11" s="77"/>
      <c r="I11" s="77"/>
      <c r="J11" s="77"/>
      <c r="K11" s="70"/>
    </row>
    <row r="12" spans="1:11" ht="18.75" x14ac:dyDescent="0.3">
      <c r="A12" s="71"/>
      <c r="B12" s="75"/>
      <c r="C12" s="80"/>
      <c r="D12" s="79"/>
      <c r="E12" s="79"/>
      <c r="F12" s="81"/>
      <c r="G12" s="80"/>
      <c r="H12" s="77"/>
      <c r="I12" s="77"/>
      <c r="J12" s="77"/>
      <c r="K12" s="70"/>
    </row>
    <row r="13" spans="1:11" ht="16.5" x14ac:dyDescent="0.3">
      <c r="A13" s="71"/>
      <c r="B13" s="82"/>
      <c r="C13" s="80"/>
      <c r="D13" s="79"/>
      <c r="E13" s="79"/>
      <c r="F13" s="79"/>
      <c r="G13" s="79"/>
      <c r="H13" s="79"/>
      <c r="I13" s="79"/>
      <c r="J13" s="79"/>
      <c r="K13" s="70"/>
    </row>
    <row r="14" spans="1:11" ht="16.5" x14ac:dyDescent="0.3">
      <c r="A14" s="71"/>
      <c r="B14" s="75"/>
      <c r="C14" s="79"/>
      <c r="D14" s="79"/>
      <c r="E14" s="79"/>
      <c r="F14" s="79"/>
      <c r="G14" s="79"/>
      <c r="H14" s="79"/>
      <c r="I14" s="79"/>
      <c r="J14" s="79"/>
      <c r="K14" s="70"/>
    </row>
    <row r="15" spans="1:11" ht="16.5" x14ac:dyDescent="0.3">
      <c r="A15" s="71"/>
      <c r="B15" s="75"/>
      <c r="C15" s="79"/>
      <c r="D15" s="79"/>
      <c r="E15" s="79"/>
      <c r="F15" s="79"/>
      <c r="G15" s="79"/>
      <c r="H15" s="79"/>
      <c r="I15" s="79"/>
      <c r="J15" s="79"/>
      <c r="K15" s="70"/>
    </row>
    <row r="16" spans="1:11" ht="16.5" x14ac:dyDescent="0.3">
      <c r="A16" s="71"/>
      <c r="B16" s="75"/>
      <c r="C16" s="79"/>
      <c r="D16" s="79"/>
      <c r="E16" s="79"/>
      <c r="F16" s="79"/>
      <c r="G16" s="79"/>
      <c r="H16" s="79"/>
      <c r="I16" s="79"/>
      <c r="J16" s="79"/>
      <c r="K16" s="70"/>
    </row>
    <row r="17" spans="1:11" ht="25.5" x14ac:dyDescent="0.35">
      <c r="A17" s="71"/>
      <c r="B17" s="75"/>
      <c r="C17" s="538" t="s">
        <v>524</v>
      </c>
      <c r="D17" s="538"/>
      <c r="E17" s="538"/>
      <c r="F17" s="538"/>
      <c r="G17" s="538"/>
      <c r="H17" s="538"/>
      <c r="I17" s="538"/>
      <c r="J17" s="538"/>
      <c r="K17" s="70"/>
    </row>
    <row r="18" spans="1:11" ht="16.5" x14ac:dyDescent="0.3">
      <c r="A18" s="71"/>
      <c r="B18" s="75"/>
      <c r="C18" s="539" t="s">
        <v>532</v>
      </c>
      <c r="D18" s="539"/>
      <c r="E18" s="539"/>
      <c r="F18" s="539"/>
      <c r="G18" s="539"/>
      <c r="H18" s="539"/>
      <c r="I18" s="539"/>
      <c r="J18" s="539"/>
      <c r="K18" s="70"/>
    </row>
    <row r="19" spans="1:11" ht="16.5" x14ac:dyDescent="0.3">
      <c r="A19" s="71"/>
      <c r="B19" s="75"/>
      <c r="C19" s="79" t="s">
        <v>531</v>
      </c>
      <c r="D19" s="79"/>
      <c r="E19" s="79"/>
      <c r="F19" s="79"/>
      <c r="G19" s="79"/>
      <c r="H19" s="79"/>
      <c r="I19" s="79"/>
      <c r="J19" s="79"/>
      <c r="K19" s="70"/>
    </row>
    <row r="20" spans="1:11" ht="16.5" x14ac:dyDescent="0.3">
      <c r="A20" s="71"/>
      <c r="B20" s="75"/>
      <c r="C20" s="80"/>
      <c r="D20" s="79"/>
      <c r="E20" s="79"/>
      <c r="F20" s="79"/>
      <c r="G20" s="80"/>
      <c r="H20" s="79"/>
      <c r="I20" s="79"/>
      <c r="J20" s="79"/>
      <c r="K20" s="70"/>
    </row>
    <row r="21" spans="1:11" ht="27" x14ac:dyDescent="0.35">
      <c r="A21" s="71"/>
      <c r="B21" s="75"/>
      <c r="C21" s="79"/>
      <c r="D21" s="79"/>
      <c r="E21" s="79"/>
      <c r="F21" s="83" t="s">
        <v>694</v>
      </c>
      <c r="G21" s="79"/>
      <c r="H21" s="79"/>
      <c r="I21" s="79"/>
      <c r="J21" s="79"/>
      <c r="K21" s="70"/>
    </row>
    <row r="22" spans="1:11" ht="16.5" x14ac:dyDescent="0.3">
      <c r="A22" s="71"/>
      <c r="B22" s="75"/>
      <c r="C22" s="79"/>
      <c r="D22" s="79"/>
      <c r="E22" s="79"/>
      <c r="F22" s="79"/>
      <c r="G22" s="79"/>
      <c r="H22" s="79"/>
      <c r="I22" s="79"/>
      <c r="J22" s="79"/>
      <c r="K22" s="70"/>
    </row>
    <row r="23" spans="1:11" ht="16.5" x14ac:dyDescent="0.3">
      <c r="A23" s="71"/>
      <c r="B23" s="75"/>
      <c r="C23" s="79"/>
      <c r="D23" s="79"/>
      <c r="E23" s="79"/>
      <c r="F23" s="79"/>
      <c r="G23" s="79"/>
      <c r="H23" s="79"/>
      <c r="I23" s="79"/>
      <c r="J23" s="79"/>
      <c r="K23" s="70"/>
    </row>
    <row r="24" spans="1:11" ht="16.5" x14ac:dyDescent="0.3">
      <c r="A24" s="71"/>
      <c r="B24" s="75"/>
      <c r="C24" s="79"/>
      <c r="D24" s="79"/>
      <c r="E24" s="79"/>
      <c r="F24" s="79"/>
      <c r="G24" s="79"/>
      <c r="H24" s="79"/>
      <c r="I24" s="79"/>
      <c r="J24" s="79"/>
      <c r="K24" s="70"/>
    </row>
    <row r="25" spans="1:11" ht="16.5" x14ac:dyDescent="0.3">
      <c r="A25" s="71"/>
      <c r="B25" s="75"/>
      <c r="C25" s="79"/>
      <c r="D25" s="79"/>
      <c r="E25" s="79"/>
      <c r="F25" s="79"/>
      <c r="G25" s="79"/>
      <c r="H25" s="79"/>
      <c r="I25" s="79"/>
      <c r="J25" s="79"/>
      <c r="K25" s="70"/>
    </row>
    <row r="26" spans="1:11" ht="16.5" x14ac:dyDescent="0.3">
      <c r="A26" s="71"/>
      <c r="B26" s="75"/>
      <c r="C26" s="79"/>
      <c r="D26" s="80"/>
      <c r="E26" s="80"/>
      <c r="F26" s="80"/>
      <c r="G26" s="80"/>
      <c r="H26" s="80"/>
      <c r="I26" s="80"/>
      <c r="J26" s="80"/>
      <c r="K26" s="70"/>
    </row>
    <row r="27" spans="1:11" ht="16.5" x14ac:dyDescent="0.3">
      <c r="A27" s="71"/>
      <c r="B27" s="75"/>
      <c r="C27" s="79"/>
      <c r="D27" s="80"/>
      <c r="E27" s="80"/>
      <c r="F27" s="80"/>
      <c r="G27" s="80"/>
      <c r="H27" s="80"/>
      <c r="I27" s="80"/>
      <c r="J27" s="80"/>
      <c r="K27" s="70"/>
    </row>
    <row r="28" spans="1:11" ht="16.5" x14ac:dyDescent="0.3">
      <c r="A28" s="71"/>
      <c r="B28" s="75"/>
      <c r="C28" s="79"/>
      <c r="D28" s="80"/>
      <c r="E28" s="80"/>
      <c r="F28" s="80"/>
      <c r="G28" s="80"/>
      <c r="H28" s="80"/>
      <c r="I28" s="80"/>
      <c r="J28" s="80"/>
      <c r="K28" s="70"/>
    </row>
    <row r="29" spans="1:11" ht="16.5" x14ac:dyDescent="0.3">
      <c r="A29" s="71"/>
      <c r="B29" s="75"/>
      <c r="C29" s="79"/>
      <c r="D29" s="80"/>
      <c r="E29" s="80"/>
      <c r="F29" s="80"/>
      <c r="G29" s="80"/>
      <c r="H29" s="80"/>
      <c r="I29" s="80"/>
      <c r="J29" s="80"/>
      <c r="K29" s="70"/>
    </row>
    <row r="30" spans="1:11" ht="16.5" x14ac:dyDescent="0.3">
      <c r="A30" s="71"/>
      <c r="B30" s="75"/>
      <c r="D30" s="79" t="s">
        <v>525</v>
      </c>
      <c r="E30" s="80"/>
      <c r="F30" s="80"/>
      <c r="G30" s="80"/>
      <c r="H30" s="80"/>
      <c r="I30" s="80"/>
      <c r="J30" s="80"/>
      <c r="K30" s="70"/>
    </row>
    <row r="31" spans="1:11" ht="16.5" x14ac:dyDescent="0.3">
      <c r="A31" s="71"/>
      <c r="B31" s="75"/>
      <c r="D31" s="79"/>
      <c r="E31" s="80"/>
      <c r="F31" s="80"/>
      <c r="G31" s="80"/>
      <c r="H31" s="80"/>
      <c r="I31" s="80"/>
      <c r="J31" s="80"/>
      <c r="K31" s="70"/>
    </row>
    <row r="32" spans="1:11" ht="16.5" x14ac:dyDescent="0.3">
      <c r="A32" s="71"/>
      <c r="B32" s="75"/>
      <c r="D32" s="79" t="s">
        <v>526</v>
      </c>
      <c r="E32" s="80"/>
      <c r="F32" s="80"/>
      <c r="G32" s="80"/>
      <c r="H32" s="80" t="s">
        <v>527</v>
      </c>
      <c r="I32" s="80"/>
      <c r="J32" s="80"/>
      <c r="K32" s="70"/>
    </row>
    <row r="33" spans="1:11" ht="16.5" x14ac:dyDescent="0.3">
      <c r="A33" s="71"/>
      <c r="B33" s="75"/>
      <c r="D33" s="79"/>
      <c r="E33" s="80"/>
      <c r="F33" s="80"/>
      <c r="G33" s="80"/>
      <c r="H33" s="80"/>
      <c r="I33" s="80"/>
      <c r="J33" s="80"/>
      <c r="K33" s="70"/>
    </row>
    <row r="34" spans="1:11" ht="16.5" x14ac:dyDescent="0.3">
      <c r="A34" s="71"/>
      <c r="B34" s="75"/>
      <c r="D34" s="79" t="s">
        <v>528</v>
      </c>
      <c r="E34" s="80"/>
      <c r="F34" s="80"/>
      <c r="G34" s="80"/>
      <c r="H34" s="80" t="s">
        <v>695</v>
      </c>
      <c r="I34" s="80"/>
      <c r="J34" s="80"/>
      <c r="K34" s="70"/>
    </row>
    <row r="35" spans="1:11" ht="16.5" x14ac:dyDescent="0.3">
      <c r="A35" s="71"/>
      <c r="B35" s="75"/>
      <c r="D35" s="79"/>
      <c r="E35" s="80"/>
      <c r="F35" s="80"/>
      <c r="G35" s="80"/>
      <c r="H35" s="80"/>
      <c r="I35" s="80"/>
      <c r="J35" s="80"/>
      <c r="K35" s="70"/>
    </row>
    <row r="36" spans="1:11" ht="16.5" x14ac:dyDescent="0.3">
      <c r="A36" s="71"/>
      <c r="B36" s="75"/>
      <c r="D36" s="79" t="s">
        <v>529</v>
      </c>
      <c r="E36" s="80"/>
      <c r="F36" s="80"/>
      <c r="G36" s="80"/>
      <c r="H36" s="80" t="s">
        <v>696</v>
      </c>
      <c r="I36" s="80"/>
      <c r="J36" s="80"/>
      <c r="K36" s="70"/>
    </row>
    <row r="37" spans="1:11" ht="16.5" x14ac:dyDescent="0.3">
      <c r="A37" s="71"/>
      <c r="B37" s="75"/>
      <c r="C37" s="79"/>
      <c r="D37" s="80"/>
      <c r="E37" s="80"/>
      <c r="F37" s="80"/>
      <c r="G37" s="80"/>
      <c r="H37" s="80"/>
      <c r="I37" s="80"/>
      <c r="J37" s="80"/>
      <c r="K37" s="70"/>
    </row>
    <row r="38" spans="1:11" ht="16.5" x14ac:dyDescent="0.3">
      <c r="A38" s="71"/>
      <c r="B38" s="75"/>
      <c r="C38" s="79"/>
      <c r="D38" s="79"/>
      <c r="E38" s="79"/>
      <c r="F38" s="367">
        <v>1</v>
      </c>
      <c r="G38" s="79"/>
      <c r="H38" s="79"/>
      <c r="I38" s="79"/>
      <c r="J38" s="79"/>
      <c r="K38" s="70"/>
    </row>
    <row r="39" spans="1:11" ht="16.5" x14ac:dyDescent="0.3">
      <c r="A39" s="71"/>
      <c r="B39" s="84"/>
      <c r="C39" s="85"/>
      <c r="D39" s="85"/>
      <c r="E39" s="85"/>
      <c r="F39" s="85"/>
      <c r="G39" s="85"/>
      <c r="H39" s="85"/>
      <c r="I39" s="85"/>
      <c r="J39" s="85"/>
      <c r="K39" s="86"/>
    </row>
    <row r="40" spans="1:11" ht="16.5" x14ac:dyDescent="0.3">
      <c r="A40" s="71"/>
      <c r="B40" s="87"/>
      <c r="C40" s="87"/>
      <c r="D40" s="87"/>
      <c r="E40" s="87"/>
      <c r="F40" s="87"/>
      <c r="G40" s="87"/>
      <c r="H40" s="87"/>
      <c r="I40" s="87"/>
      <c r="J40" s="87"/>
      <c r="K40" s="87"/>
    </row>
  </sheetData>
  <mergeCells count="2">
    <mergeCell ref="C17:J17"/>
    <mergeCell ref="C18:J18"/>
  </mergeCells>
  <phoneticPr fontId="3" type="noConversion"/>
  <pageMargins left="0.25" right="0.2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U84"/>
  <sheetViews>
    <sheetView zoomScale="75" workbookViewId="0">
      <selection activeCell="H37" sqref="H37"/>
    </sheetView>
  </sheetViews>
  <sheetFormatPr defaultRowHeight="15.75" x14ac:dyDescent="0.25"/>
  <cols>
    <col min="1" max="1" width="4.5703125" style="93" customWidth="1"/>
    <col min="2" max="2" width="52.85546875" style="90" customWidth="1"/>
    <col min="3" max="3" width="11.28515625" style="91" customWidth="1"/>
    <col min="4" max="5" width="20.5703125" style="92" customWidth="1"/>
    <col min="6" max="10" width="20.5703125" style="92" hidden="1" customWidth="1"/>
    <col min="11" max="11" width="22.42578125" style="92" hidden="1" customWidth="1"/>
    <col min="12" max="12" width="22.85546875" style="92" hidden="1" customWidth="1"/>
    <col min="13" max="13" width="17.140625" style="92" hidden="1" customWidth="1"/>
    <col min="14" max="14" width="8.42578125" style="92" hidden="1" customWidth="1"/>
    <col min="15" max="15" width="17.42578125" style="92" hidden="1" customWidth="1"/>
    <col min="16" max="16" width="13" style="92" hidden="1" customWidth="1"/>
    <col min="17" max="17" width="17.42578125" style="92" hidden="1" customWidth="1"/>
    <col min="18" max="18" width="9.140625" style="93" customWidth="1"/>
    <col min="19" max="19" width="9.140625" style="93"/>
    <col min="20" max="20" width="16.140625" style="93" customWidth="1"/>
    <col min="21" max="16384" width="9.140625" style="93"/>
  </cols>
  <sheetData>
    <row r="1" spans="1:17" x14ac:dyDescent="0.25">
      <c r="A1" s="28" t="s">
        <v>683</v>
      </c>
    </row>
    <row r="2" spans="1:17" x14ac:dyDescent="0.25">
      <c r="A2" s="94" t="s">
        <v>697</v>
      </c>
    </row>
    <row r="3" spans="1:17" x14ac:dyDescent="0.25">
      <c r="A3" s="94" t="s">
        <v>97</v>
      </c>
    </row>
    <row r="5" spans="1:17" ht="33" customHeight="1" thickBot="1" x14ac:dyDescent="0.3">
      <c r="A5" s="95" t="s">
        <v>0</v>
      </c>
      <c r="C5" s="91" t="s">
        <v>445</v>
      </c>
      <c r="D5" s="96" t="s">
        <v>698</v>
      </c>
      <c r="E5" s="96" t="s">
        <v>649</v>
      </c>
      <c r="F5" s="96" t="s">
        <v>650</v>
      </c>
      <c r="G5" s="96" t="s">
        <v>634</v>
      </c>
      <c r="H5" s="96" t="s">
        <v>628</v>
      </c>
      <c r="I5" s="96" t="s">
        <v>575</v>
      </c>
      <c r="J5" s="96" t="s">
        <v>570</v>
      </c>
      <c r="K5" s="96" t="s">
        <v>543</v>
      </c>
      <c r="L5" s="96" t="s">
        <v>533</v>
      </c>
      <c r="M5" s="96" t="s">
        <v>88</v>
      </c>
      <c r="O5" s="97" t="s">
        <v>446</v>
      </c>
      <c r="Q5" s="97" t="s">
        <v>516</v>
      </c>
    </row>
    <row r="6" spans="1:17" ht="16.5" thickTop="1" x14ac:dyDescent="0.25">
      <c r="A6" s="95" t="s">
        <v>42</v>
      </c>
    </row>
    <row r="7" spans="1:17" x14ac:dyDescent="0.25">
      <c r="D7" s="98"/>
      <c r="E7" s="98"/>
      <c r="F7" s="98"/>
      <c r="G7" s="98"/>
      <c r="H7" s="98"/>
      <c r="I7" s="98"/>
      <c r="J7" s="98"/>
      <c r="K7" s="98"/>
      <c r="L7" s="98"/>
      <c r="M7" s="98"/>
      <c r="O7" s="98"/>
      <c r="Q7" s="98"/>
    </row>
    <row r="8" spans="1:17" x14ac:dyDescent="0.25">
      <c r="B8" s="90" t="s">
        <v>1</v>
      </c>
      <c r="C8" s="91" t="s">
        <v>437</v>
      </c>
      <c r="D8" s="99">
        <f>+'Bilanci Alpha'!D48</f>
        <v>139676</v>
      </c>
      <c r="E8" s="99">
        <f>+'Bilanci Alpha'!E48</f>
        <v>663572</v>
      </c>
      <c r="F8" s="99">
        <f>+'Bilanci Alpha'!F48</f>
        <v>355392</v>
      </c>
      <c r="G8" s="99">
        <f>+'Bilanci Alpha'!G48</f>
        <v>117572</v>
      </c>
      <c r="H8" s="99">
        <f>+'Bilanci Alpha'!H48</f>
        <v>0</v>
      </c>
      <c r="I8" s="99" t="e">
        <f>+'Bilanci Alpha'!#REF!</f>
        <v>#REF!</v>
      </c>
      <c r="J8" s="99" t="e">
        <f>+'Bilanci Alpha'!#REF!</f>
        <v>#REF!</v>
      </c>
      <c r="K8" s="99" t="e">
        <f>+'Bilanci Alpha'!#REF!</f>
        <v>#REF!</v>
      </c>
      <c r="L8" s="99" t="e">
        <f>+'Bilanci Alpha'!#REF!</f>
        <v>#REF!</v>
      </c>
      <c r="M8" s="99" t="e">
        <f>+'Bilanci Alpha'!#REF!</f>
        <v>#REF!</v>
      </c>
      <c r="N8" s="99"/>
      <c r="O8" s="99" t="e">
        <f>+'Bilanci Alpha'!#REF!</f>
        <v>#REF!</v>
      </c>
      <c r="P8" s="100"/>
      <c r="Q8" s="99" t="e">
        <f>+'Bilanci Alpha'!#REF!</f>
        <v>#REF!</v>
      </c>
    </row>
    <row r="9" spans="1:17" x14ac:dyDescent="0.25">
      <c r="B9" s="90" t="s">
        <v>41</v>
      </c>
      <c r="D9" s="98"/>
      <c r="E9" s="98"/>
      <c r="F9" s="98"/>
      <c r="G9" s="98"/>
      <c r="H9" s="98"/>
      <c r="I9" s="98"/>
      <c r="J9" s="98"/>
      <c r="K9" s="98"/>
      <c r="L9" s="98"/>
      <c r="M9" s="98"/>
      <c r="O9" s="98"/>
      <c r="P9" s="100"/>
      <c r="Q9" s="98"/>
    </row>
    <row r="10" spans="1:17" x14ac:dyDescent="0.25">
      <c r="B10" s="95"/>
      <c r="D10" s="101">
        <f>SUM(D8:D9)</f>
        <v>139676</v>
      </c>
      <c r="E10" s="101">
        <f>SUM(E8:E9)</f>
        <v>663572</v>
      </c>
      <c r="F10" s="101">
        <f>SUM(F8:F9)</f>
        <v>355392</v>
      </c>
      <c r="G10" s="101">
        <f>SUM(G8:G9)</f>
        <v>117572</v>
      </c>
      <c r="H10" s="101">
        <f t="shared" ref="H10:M10" si="0">SUM(H8:H9)</f>
        <v>0</v>
      </c>
      <c r="I10" s="101" t="e">
        <f t="shared" si="0"/>
        <v>#REF!</v>
      </c>
      <c r="J10" s="101" t="e">
        <f t="shared" si="0"/>
        <v>#REF!</v>
      </c>
      <c r="K10" s="101" t="e">
        <f t="shared" si="0"/>
        <v>#REF!</v>
      </c>
      <c r="L10" s="101" t="e">
        <f t="shared" si="0"/>
        <v>#REF!</v>
      </c>
      <c r="M10" s="101" t="e">
        <f t="shared" si="0"/>
        <v>#REF!</v>
      </c>
      <c r="O10" s="101" t="e">
        <f>SUM(O8:O9)</f>
        <v>#REF!</v>
      </c>
      <c r="P10" s="100"/>
      <c r="Q10" s="101" t="e">
        <f>SUM(Q8:Q9)</f>
        <v>#REF!</v>
      </c>
    </row>
    <row r="11" spans="1:17" x14ac:dyDescent="0.25">
      <c r="A11" s="90" t="s">
        <v>43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O11" s="98"/>
      <c r="P11" s="100"/>
      <c r="Q11" s="98"/>
    </row>
    <row r="12" spans="1:17" x14ac:dyDescent="0.25">
      <c r="B12" s="90" t="s">
        <v>52</v>
      </c>
      <c r="C12" s="91" t="s">
        <v>436</v>
      </c>
      <c r="D12" s="102">
        <f>+'Bilanci Alpha'!D40</f>
        <v>0</v>
      </c>
      <c r="E12" s="102">
        <f>+'Bilanci Alpha'!E40</f>
        <v>0</v>
      </c>
      <c r="F12" s="102">
        <f>+'Bilanci Alpha'!F40</f>
        <v>0</v>
      </c>
      <c r="G12" s="102">
        <f>+'Bilanci Alpha'!G40</f>
        <v>0</v>
      </c>
      <c r="H12" s="102">
        <f>+'Bilanci Alpha'!H40</f>
        <v>0</v>
      </c>
      <c r="I12" s="102" t="e">
        <f>+'Bilanci Alpha'!#REF!</f>
        <v>#REF!</v>
      </c>
      <c r="J12" s="102" t="e">
        <f>+'Bilanci Alpha'!#REF!</f>
        <v>#REF!</v>
      </c>
      <c r="K12" s="102" t="e">
        <f>+'Bilanci Alpha'!#REF!</f>
        <v>#REF!</v>
      </c>
      <c r="L12" s="102" t="e">
        <f>+'Bilanci Alpha'!#REF!</f>
        <v>#REF!</v>
      </c>
      <c r="M12" s="102" t="e">
        <f>+'Bilanci Alpha'!#REF!</f>
        <v>#REF!</v>
      </c>
      <c r="O12" s="102" t="e">
        <f>+'Bilanci Alpha'!#REF!</f>
        <v>#REF!</v>
      </c>
      <c r="P12" s="100"/>
      <c r="Q12" s="102" t="e">
        <f>+'Bilanci Alpha'!#REF!</f>
        <v>#REF!</v>
      </c>
    </row>
    <row r="13" spans="1:17" x14ac:dyDescent="0.25">
      <c r="B13" s="90" t="s">
        <v>44</v>
      </c>
      <c r="C13" s="91" t="s">
        <v>436</v>
      </c>
      <c r="D13" s="102">
        <f>+'Bilanci Alpha'!D43+'Bilanci Alpha'!D42</f>
        <v>306142</v>
      </c>
      <c r="E13" s="102">
        <f>+'Bilanci Alpha'!E43+'Bilanci Alpha'!E42</f>
        <v>105039</v>
      </c>
      <c r="F13" s="102">
        <f>+'Bilanci Alpha'!F43+'Bilanci Alpha'!F42</f>
        <v>295354</v>
      </c>
      <c r="G13" s="102">
        <f>+'Bilanci Alpha'!G43+'Bilanci Alpha'!G42</f>
        <v>608838</v>
      </c>
      <c r="H13" s="102">
        <f>+'Bilanci Alpha'!H43+'Bilanci Alpha'!H42</f>
        <v>0</v>
      </c>
      <c r="I13" s="102" t="e">
        <f>+'Bilanci Alpha'!#REF!+'Bilanci Alpha'!#REF!</f>
        <v>#REF!</v>
      </c>
      <c r="J13" s="102" t="e">
        <f>+'Bilanci Alpha'!#REF!+'Bilanci Alpha'!#REF!</f>
        <v>#REF!</v>
      </c>
      <c r="K13" s="102" t="e">
        <f>+'Bilanci Alpha'!#REF!+'Bilanci Alpha'!#REF!</f>
        <v>#REF!</v>
      </c>
      <c r="L13" s="102" t="e">
        <f>+'Bilanci Alpha'!#REF!+'Bilanci Alpha'!#REF!</f>
        <v>#REF!</v>
      </c>
      <c r="M13" s="102" t="e">
        <f>+'Bilanci Alpha'!#REF!+'Bilanci Alpha'!#REF!</f>
        <v>#REF!</v>
      </c>
      <c r="O13" s="102" t="e">
        <f>+'Bilanci Alpha'!#REF!+'Bilanci Alpha'!#REF!</f>
        <v>#REF!</v>
      </c>
      <c r="P13" s="100"/>
      <c r="Q13" s="102" t="e">
        <f>+'Bilanci Alpha'!#REF!+'Bilanci Alpha'!#REF!+'Bilanci Alpha'!#REF!</f>
        <v>#REF!</v>
      </c>
    </row>
    <row r="14" spans="1:17" x14ac:dyDescent="0.25">
      <c r="B14" s="90" t="s">
        <v>3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/>
      <c r="O14" s="103">
        <v>0</v>
      </c>
      <c r="P14" s="100"/>
      <c r="Q14" s="103">
        <v>0</v>
      </c>
    </row>
    <row r="15" spans="1:17" x14ac:dyDescent="0.25">
      <c r="B15" s="90" t="s">
        <v>4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/>
      <c r="O15" s="103">
        <v>0</v>
      </c>
      <c r="P15" s="100"/>
      <c r="Q15" s="103">
        <v>0</v>
      </c>
    </row>
    <row r="16" spans="1:17" x14ac:dyDescent="0.25">
      <c r="D16" s="101">
        <f>SUM(D12:D15)</f>
        <v>306142</v>
      </c>
      <c r="E16" s="101">
        <f>SUM(E12:E15)</f>
        <v>105039</v>
      </c>
      <c r="F16" s="101">
        <f>SUM(F12:F15)</f>
        <v>295354</v>
      </c>
      <c r="G16" s="101">
        <f>SUM(G12:G15)</f>
        <v>608838</v>
      </c>
      <c r="H16" s="101">
        <f t="shared" ref="H16:M16" si="1">SUM(H12:H15)</f>
        <v>0</v>
      </c>
      <c r="I16" s="101" t="e">
        <f t="shared" si="1"/>
        <v>#REF!</v>
      </c>
      <c r="J16" s="101" t="e">
        <f t="shared" si="1"/>
        <v>#REF!</v>
      </c>
      <c r="K16" s="101" t="e">
        <f t="shared" si="1"/>
        <v>#REF!</v>
      </c>
      <c r="L16" s="101" t="e">
        <f t="shared" si="1"/>
        <v>#REF!</v>
      </c>
      <c r="M16" s="101" t="e">
        <f t="shared" si="1"/>
        <v>#REF!</v>
      </c>
      <c r="O16" s="101" t="e">
        <f>SUM(O12:O15)</f>
        <v>#REF!</v>
      </c>
      <c r="P16" s="100"/>
      <c r="Q16" s="101" t="e">
        <f>SUM(Q12:Q15)</f>
        <v>#REF!</v>
      </c>
    </row>
    <row r="17" spans="1:17" x14ac:dyDescent="0.25">
      <c r="A17" s="90" t="s">
        <v>5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O17" s="98"/>
      <c r="P17" s="100"/>
      <c r="Q17" s="98"/>
    </row>
    <row r="18" spans="1:17" x14ac:dyDescent="0.25">
      <c r="B18" s="90" t="s">
        <v>530</v>
      </c>
      <c r="D18" s="103">
        <f>+'Bilanci Alpha'!D33</f>
        <v>0</v>
      </c>
      <c r="E18" s="103">
        <f>+'Bilanci Alpha'!E33</f>
        <v>0</v>
      </c>
      <c r="F18" s="103">
        <f>+'Bilanci Alpha'!F33</f>
        <v>0</v>
      </c>
      <c r="G18" s="103">
        <f>+'Bilanci Alpha'!G33</f>
        <v>0</v>
      </c>
      <c r="H18" s="103">
        <f>+'Bilanci Alpha'!H33</f>
        <v>0</v>
      </c>
      <c r="I18" s="103" t="e">
        <f>+'Bilanci Alpha'!#REF!</f>
        <v>#REF!</v>
      </c>
      <c r="J18" s="103" t="e">
        <f>+'Bilanci Alpha'!#REF!</f>
        <v>#REF!</v>
      </c>
      <c r="K18" s="103" t="e">
        <f>+'Bilanci Alpha'!#REF!</f>
        <v>#REF!</v>
      </c>
      <c r="L18" s="103" t="e">
        <f>+'Bilanci Alpha'!#REF!</f>
        <v>#REF!</v>
      </c>
      <c r="M18" s="103" t="e">
        <f>+'Bilanci Alpha'!#REF!</f>
        <v>#REF!</v>
      </c>
      <c r="N18" s="103"/>
      <c r="O18" s="103" t="e">
        <f>+'Bilanci Alpha'!#REF!</f>
        <v>#REF!</v>
      </c>
      <c r="P18" s="100"/>
      <c r="Q18" s="103" t="e">
        <f>+'Bilanci Alpha'!#REF!</f>
        <v>#REF!</v>
      </c>
    </row>
    <row r="19" spans="1:17" x14ac:dyDescent="0.25">
      <c r="B19" s="90" t="s">
        <v>6</v>
      </c>
      <c r="D19" s="103">
        <f>+'Bilanci Alpha'!D34</f>
        <v>0</v>
      </c>
      <c r="E19" s="103">
        <f>+'Bilanci Alpha'!E34</f>
        <v>0</v>
      </c>
      <c r="F19" s="103">
        <f>+'Bilanci Alpha'!F34</f>
        <v>0</v>
      </c>
      <c r="G19" s="103">
        <f>+'Bilanci Alpha'!G34</f>
        <v>0</v>
      </c>
      <c r="H19" s="103">
        <f>+'Bilanci Alpha'!H34</f>
        <v>0</v>
      </c>
      <c r="I19" s="103" t="e">
        <f>+'Bilanci Alpha'!#REF!</f>
        <v>#REF!</v>
      </c>
      <c r="J19" s="103" t="e">
        <f>+'Bilanci Alpha'!#REF!</f>
        <v>#REF!</v>
      </c>
      <c r="K19" s="103" t="e">
        <f>+'Bilanci Alpha'!#REF!</f>
        <v>#REF!</v>
      </c>
      <c r="L19" s="103" t="e">
        <f>+'Bilanci Alpha'!#REF!</f>
        <v>#REF!</v>
      </c>
      <c r="M19" s="103" t="e">
        <f>+'Bilanci Alpha'!#REF!</f>
        <v>#REF!</v>
      </c>
      <c r="N19" s="103"/>
      <c r="O19" s="103" t="e">
        <f>+'Bilanci Alpha'!#REF!</f>
        <v>#REF!</v>
      </c>
      <c r="P19" s="100"/>
      <c r="Q19" s="103" t="e">
        <f>+'Bilanci Alpha'!#REF!</f>
        <v>#REF!</v>
      </c>
    </row>
    <row r="20" spans="1:17" x14ac:dyDescent="0.25">
      <c r="B20" s="90" t="s">
        <v>125</v>
      </c>
      <c r="C20" s="91" t="s">
        <v>435</v>
      </c>
      <c r="D20" s="98">
        <f>+'Bilanci Alpha'!D35</f>
        <v>2319625</v>
      </c>
      <c r="E20" s="98">
        <v>2947807</v>
      </c>
      <c r="F20" s="98">
        <f>+'Bilanci Alpha'!F35</f>
        <v>1587192</v>
      </c>
      <c r="G20" s="98">
        <f>+'Bilanci Alpha'!G35</f>
        <v>2030772</v>
      </c>
      <c r="H20" s="98">
        <f>+'Bilanci Alpha'!H35</f>
        <v>0</v>
      </c>
      <c r="I20" s="98" t="e">
        <f>+'Bilanci Alpha'!#REF!</f>
        <v>#REF!</v>
      </c>
      <c r="J20" s="98" t="e">
        <f>+'Bilanci Alpha'!#REF!</f>
        <v>#REF!</v>
      </c>
      <c r="K20" s="98" t="e">
        <f>+'Bilanci Alpha'!#REF!</f>
        <v>#REF!</v>
      </c>
      <c r="L20" s="98" t="e">
        <f>+'Bilanci Alpha'!#REF!</f>
        <v>#REF!</v>
      </c>
      <c r="M20" s="98" t="e">
        <f>+'Bilanci Alpha'!#REF!</f>
        <v>#REF!</v>
      </c>
      <c r="O20" s="98" t="e">
        <f>+'Bilanci Alpha'!#REF!</f>
        <v>#REF!</v>
      </c>
      <c r="P20" s="100"/>
      <c r="Q20" s="98" t="e">
        <f>+'Bilanci Alpha'!#REF!</f>
        <v>#REF!</v>
      </c>
    </row>
    <row r="21" spans="1:17" x14ac:dyDescent="0.25">
      <c r="B21" s="90" t="s">
        <v>45</v>
      </c>
      <c r="D21" s="103">
        <f>+'Bilanci Alpha'!D36</f>
        <v>0</v>
      </c>
      <c r="E21" s="103">
        <f>+'Bilanci Alpha'!E36</f>
        <v>0</v>
      </c>
      <c r="F21" s="103">
        <f>+'Bilanci Alpha'!F36</f>
        <v>0</v>
      </c>
      <c r="G21" s="103">
        <f>+'Bilanci Alpha'!G36</f>
        <v>0</v>
      </c>
      <c r="H21" s="103">
        <f>+'Bilanci Alpha'!H36</f>
        <v>0</v>
      </c>
      <c r="I21" s="103" t="e">
        <f>+'Bilanci Alpha'!#REF!</f>
        <v>#REF!</v>
      </c>
      <c r="J21" s="103" t="e">
        <f>+'Bilanci Alpha'!#REF!</f>
        <v>#REF!</v>
      </c>
      <c r="K21" s="103" t="e">
        <f>+'Bilanci Alpha'!#REF!</f>
        <v>#REF!</v>
      </c>
      <c r="L21" s="103" t="e">
        <f>+'Bilanci Alpha'!#REF!</f>
        <v>#REF!</v>
      </c>
      <c r="M21" s="103" t="e">
        <f>+'Bilanci Alpha'!#REF!</f>
        <v>#REF!</v>
      </c>
      <c r="N21" s="103"/>
      <c r="O21" s="103" t="e">
        <f>+'Bilanci Alpha'!#REF!</f>
        <v>#REF!</v>
      </c>
      <c r="P21" s="100"/>
      <c r="Q21" s="103" t="e">
        <f>+'Bilanci Alpha'!#REF!</f>
        <v>#REF!</v>
      </c>
    </row>
    <row r="22" spans="1:17" x14ac:dyDescent="0.25">
      <c r="B22" s="90" t="s">
        <v>46</v>
      </c>
      <c r="C22" s="91" t="s">
        <v>438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O22" s="98">
        <v>0</v>
      </c>
      <c r="P22" s="100"/>
      <c r="Q22" s="98">
        <v>0</v>
      </c>
    </row>
    <row r="23" spans="1:17" ht="12.75" customHeight="1" x14ac:dyDescent="0.25">
      <c r="D23" s="101">
        <f>SUM(D18:D22)</f>
        <v>2319625</v>
      </c>
      <c r="E23" s="101">
        <f>SUM(E18:E22)</f>
        <v>2947807</v>
      </c>
      <c r="F23" s="101">
        <f>SUM(F18:F22)</f>
        <v>1587192</v>
      </c>
      <c r="G23" s="101">
        <f>SUM(G18:G22)</f>
        <v>2030772</v>
      </c>
      <c r="H23" s="101">
        <f t="shared" ref="H23:M23" si="2">SUM(H18:H22)</f>
        <v>0</v>
      </c>
      <c r="I23" s="101" t="e">
        <f t="shared" si="2"/>
        <v>#REF!</v>
      </c>
      <c r="J23" s="101" t="e">
        <f t="shared" si="2"/>
        <v>#REF!</v>
      </c>
      <c r="K23" s="101" t="e">
        <f t="shared" si="2"/>
        <v>#REF!</v>
      </c>
      <c r="L23" s="101" t="e">
        <f t="shared" si="2"/>
        <v>#REF!</v>
      </c>
      <c r="M23" s="101" t="e">
        <f t="shared" si="2"/>
        <v>#REF!</v>
      </c>
      <c r="O23" s="101" t="e">
        <f>SUM(O17:O22)</f>
        <v>#REF!</v>
      </c>
      <c r="P23" s="100"/>
      <c r="Q23" s="101" t="e">
        <f>SUM(Q17:Q22)</f>
        <v>#REF!</v>
      </c>
    </row>
    <row r="24" spans="1:17" x14ac:dyDescent="0.25">
      <c r="B24" s="90" t="s">
        <v>47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O24" s="98"/>
      <c r="P24" s="100"/>
      <c r="Q24" s="98"/>
    </row>
    <row r="25" spans="1:17" x14ac:dyDescent="0.25">
      <c r="B25" s="90" t="s">
        <v>48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O25" s="98"/>
      <c r="P25" s="100"/>
      <c r="Q25" s="98"/>
    </row>
    <row r="26" spans="1:17" x14ac:dyDescent="0.25">
      <c r="B26" s="90" t="s">
        <v>49</v>
      </c>
      <c r="C26" s="91" t="s">
        <v>439</v>
      </c>
      <c r="D26" s="98">
        <f>+'Bilanci Alpha'!D52</f>
        <v>0</v>
      </c>
      <c r="E26" s="98">
        <f>+'Bilanci Alpha'!E52</f>
        <v>0</v>
      </c>
      <c r="F26" s="98">
        <f>+'Bilanci Alpha'!F52</f>
        <v>0</v>
      </c>
      <c r="G26" s="98">
        <f>+'Bilanci Alpha'!G52</f>
        <v>0</v>
      </c>
      <c r="H26" s="98">
        <f>+'Bilanci Alpha'!H52</f>
        <v>0</v>
      </c>
      <c r="I26" s="98" t="e">
        <f>+'Bilanci Alpha'!#REF!</f>
        <v>#REF!</v>
      </c>
      <c r="J26" s="98" t="e">
        <f>+'Bilanci Alpha'!#REF!</f>
        <v>#REF!</v>
      </c>
      <c r="K26" s="98" t="e">
        <f>+'Bilanci Alpha'!#REF!</f>
        <v>#REF!</v>
      </c>
      <c r="L26" s="98" t="e">
        <f>+'Bilanci Alpha'!#REF!</f>
        <v>#REF!</v>
      </c>
      <c r="M26" s="98" t="e">
        <f>+'Bilanci Alpha'!#REF!</f>
        <v>#REF!</v>
      </c>
      <c r="N26" s="98"/>
      <c r="O26" s="98" t="e">
        <f>+'Bilanci Alpha'!#REF!</f>
        <v>#REF!</v>
      </c>
      <c r="P26" s="100"/>
      <c r="Q26" s="98" t="e">
        <f>+'Bilanci Alpha'!#REF!</f>
        <v>#REF!</v>
      </c>
    </row>
    <row r="27" spans="1:17" x14ac:dyDescent="0.25">
      <c r="B27" s="90" t="s">
        <v>121</v>
      </c>
      <c r="D27" s="103">
        <f>+'Bilanci Alpha'!D56</f>
        <v>0</v>
      </c>
      <c r="E27" s="103">
        <f>+'Bilanci Alpha'!E56</f>
        <v>0</v>
      </c>
      <c r="F27" s="103">
        <f>+'Bilanci Alpha'!F56</f>
        <v>0</v>
      </c>
      <c r="G27" s="103">
        <f>+'Bilanci Alpha'!G56</f>
        <v>0</v>
      </c>
      <c r="H27" s="103">
        <f>+'Bilanci Alpha'!H56</f>
        <v>0</v>
      </c>
      <c r="I27" s="103" t="e">
        <f>+'Bilanci Alpha'!#REF!</f>
        <v>#REF!</v>
      </c>
      <c r="J27" s="103" t="e">
        <f>+'Bilanci Alpha'!#REF!</f>
        <v>#REF!</v>
      </c>
      <c r="K27" s="103" t="e">
        <f>+'Bilanci Alpha'!#REF!</f>
        <v>#REF!</v>
      </c>
      <c r="L27" s="103" t="e">
        <f>+'Bilanci Alpha'!#REF!</f>
        <v>#REF!</v>
      </c>
      <c r="M27" s="103" t="e">
        <f>+'Bilanci Alpha'!#REF!</f>
        <v>#REF!</v>
      </c>
      <c r="O27" s="103" t="e">
        <f>+'Bilanci Alpha'!#REF!</f>
        <v>#REF!</v>
      </c>
      <c r="P27" s="100"/>
      <c r="Q27" s="103" t="e">
        <f>+'Bilanci Alpha'!#REF!</f>
        <v>#REF!</v>
      </c>
    </row>
    <row r="28" spans="1:17" x14ac:dyDescent="0.25">
      <c r="D28" s="98"/>
      <c r="E28" s="98"/>
      <c r="F28" s="98"/>
      <c r="G28" s="98"/>
      <c r="H28" s="98"/>
      <c r="I28" s="98"/>
      <c r="J28" s="98"/>
      <c r="K28" s="98"/>
      <c r="L28" s="98"/>
      <c r="M28" s="98"/>
      <c r="O28" s="98"/>
      <c r="P28" s="100"/>
      <c r="Q28" s="98"/>
    </row>
    <row r="29" spans="1:17" ht="16.5" thickBot="1" x14ac:dyDescent="0.3">
      <c r="B29" s="104" t="s">
        <v>50</v>
      </c>
      <c r="D29" s="105">
        <f>+D23+D16+D10+D26+D27</f>
        <v>2765443</v>
      </c>
      <c r="E29" s="105">
        <f>+E23+E16+E10+E26+E27</f>
        <v>3716418</v>
      </c>
      <c r="F29" s="105">
        <f>+F23+F16+F10+F26+F27</f>
        <v>2237938</v>
      </c>
      <c r="G29" s="105">
        <f>+G23+G16+G10+G26+G27</f>
        <v>2757182</v>
      </c>
      <c r="H29" s="105">
        <f t="shared" ref="H29:M29" si="3">+H23+H16+H10+H26+H27</f>
        <v>0</v>
      </c>
      <c r="I29" s="105" t="e">
        <f t="shared" si="3"/>
        <v>#REF!</v>
      </c>
      <c r="J29" s="105" t="e">
        <f t="shared" si="3"/>
        <v>#REF!</v>
      </c>
      <c r="K29" s="105" t="e">
        <f t="shared" si="3"/>
        <v>#REF!</v>
      </c>
      <c r="L29" s="105" t="e">
        <f t="shared" si="3"/>
        <v>#REF!</v>
      </c>
      <c r="M29" s="105" t="e">
        <f t="shared" si="3"/>
        <v>#REF!</v>
      </c>
      <c r="O29" s="105" t="e">
        <f>+O23+O16+O10+O26+O27</f>
        <v>#REF!</v>
      </c>
      <c r="P29" s="100"/>
      <c r="Q29" s="105" t="e">
        <f>+Q23+Q16+Q10+Q26+Q27</f>
        <v>#REF!</v>
      </c>
    </row>
    <row r="30" spans="1:17" ht="12" customHeight="1" thickTop="1" x14ac:dyDescent="0.25">
      <c r="D30" s="98"/>
      <c r="E30" s="98"/>
      <c r="F30" s="98"/>
      <c r="G30" s="98"/>
      <c r="H30" s="98"/>
      <c r="I30" s="98"/>
      <c r="J30" s="98"/>
      <c r="K30" s="98"/>
      <c r="L30" s="98"/>
      <c r="M30" s="98"/>
      <c r="O30" s="98"/>
      <c r="P30" s="100"/>
      <c r="Q30" s="98"/>
    </row>
    <row r="31" spans="1:17" x14ac:dyDescent="0.25">
      <c r="A31" s="95" t="s">
        <v>7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O31" s="98"/>
      <c r="P31" s="100"/>
      <c r="Q31" s="98"/>
    </row>
    <row r="32" spans="1:17" x14ac:dyDescent="0.25">
      <c r="B32" s="90" t="s">
        <v>51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O32" s="98"/>
      <c r="P32" s="100"/>
      <c r="Q32" s="98"/>
    </row>
    <row r="33" spans="1:17" x14ac:dyDescent="0.25">
      <c r="B33" s="90" t="s">
        <v>53</v>
      </c>
      <c r="C33" s="91">
        <v>4</v>
      </c>
      <c r="D33" s="99">
        <f>+'Bilanci Alpha'!D18</f>
        <v>2937969</v>
      </c>
      <c r="E33" s="99">
        <f>+'Bilanci Alpha'!E18</f>
        <v>3402002</v>
      </c>
      <c r="F33" s="99">
        <f>+'Bilanci Alpha'!F18</f>
        <v>1655171</v>
      </c>
      <c r="G33" s="99">
        <f>+'Bilanci Alpha'!G18</f>
        <v>430101</v>
      </c>
      <c r="H33" s="99">
        <f>+'Bilanci Alpha'!H18</f>
        <v>0</v>
      </c>
      <c r="I33" s="99" t="e">
        <f>+'Bilanci Alpha'!#REF!</f>
        <v>#REF!</v>
      </c>
      <c r="J33" s="99" t="e">
        <f>+'Bilanci Alpha'!#REF!</f>
        <v>#REF!</v>
      </c>
      <c r="K33" s="99" t="e">
        <f>+'Bilanci Alpha'!#REF!</f>
        <v>#REF!</v>
      </c>
      <c r="L33" s="99" t="e">
        <f>+'Bilanci Alpha'!#REF!</f>
        <v>#REF!</v>
      </c>
      <c r="M33" s="99" t="e">
        <f>+'Bilanci Alpha'!#REF!</f>
        <v>#REF!</v>
      </c>
      <c r="O33" s="99" t="e">
        <f>+'Bilanci Alpha'!#REF!</f>
        <v>#REF!</v>
      </c>
      <c r="P33" s="100"/>
      <c r="Q33" s="99" t="e">
        <f>+'Bilanci Alpha'!#REF!</f>
        <v>#REF!</v>
      </c>
    </row>
    <row r="34" spans="1:17" x14ac:dyDescent="0.25">
      <c r="B34" s="90" t="s">
        <v>54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O34" s="98"/>
      <c r="P34" s="100"/>
      <c r="Q34" s="98"/>
    </row>
    <row r="35" spans="1:17" x14ac:dyDescent="0.25">
      <c r="B35" s="90" t="s">
        <v>55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O35" s="98"/>
      <c r="P35" s="100"/>
      <c r="Q35" s="98"/>
    </row>
    <row r="36" spans="1:17" ht="16.5" thickBot="1" x14ac:dyDescent="0.3">
      <c r="B36" s="104" t="s">
        <v>56</v>
      </c>
      <c r="D36" s="105">
        <f>SUM(D33:D35)</f>
        <v>2937969</v>
      </c>
      <c r="E36" s="105">
        <f>SUM(E33:E35)</f>
        <v>3402002</v>
      </c>
      <c r="F36" s="105">
        <f>SUM(F33:F35)</f>
        <v>1655171</v>
      </c>
      <c r="G36" s="105">
        <f>SUM(G33:G35)</f>
        <v>430101</v>
      </c>
      <c r="H36" s="105">
        <f t="shared" ref="H36:M36" si="4">SUM(H33:H35)</f>
        <v>0</v>
      </c>
      <c r="I36" s="105" t="e">
        <f t="shared" si="4"/>
        <v>#REF!</v>
      </c>
      <c r="J36" s="105" t="e">
        <f t="shared" si="4"/>
        <v>#REF!</v>
      </c>
      <c r="K36" s="105" t="e">
        <f t="shared" si="4"/>
        <v>#REF!</v>
      </c>
      <c r="L36" s="105" t="e">
        <f t="shared" si="4"/>
        <v>#REF!</v>
      </c>
      <c r="M36" s="105" t="e">
        <f t="shared" si="4"/>
        <v>#REF!</v>
      </c>
      <c r="O36" s="105" t="e">
        <f>SUM(O33:O35)</f>
        <v>#REF!</v>
      </c>
      <c r="P36" s="100"/>
      <c r="Q36" s="105" t="e">
        <f>SUM(Q33:Q35)</f>
        <v>#REF!</v>
      </c>
    </row>
    <row r="37" spans="1:17" ht="16.5" thickTop="1" x14ac:dyDescent="0.25">
      <c r="D37" s="98"/>
      <c r="E37" s="98"/>
      <c r="F37" s="98"/>
      <c r="G37" s="98"/>
      <c r="H37" s="98"/>
      <c r="I37" s="98"/>
      <c r="J37" s="98"/>
      <c r="K37" s="98"/>
      <c r="L37" s="98"/>
      <c r="M37" s="98"/>
      <c r="O37" s="98"/>
      <c r="P37" s="100"/>
      <c r="Q37" s="98"/>
    </row>
    <row r="38" spans="1:17" x14ac:dyDescent="0.25">
      <c r="B38" s="95" t="s">
        <v>57</v>
      </c>
      <c r="D38" s="106">
        <f>+D29+D36</f>
        <v>5703412</v>
      </c>
      <c r="E38" s="106">
        <f>+E29+E36</f>
        <v>7118420</v>
      </c>
      <c r="F38" s="106">
        <f>+F29+F36</f>
        <v>3893109</v>
      </c>
      <c r="G38" s="106">
        <f>+G29+G36</f>
        <v>3187283</v>
      </c>
      <c r="H38" s="106">
        <f t="shared" ref="H38:M38" si="5">+H29+H36</f>
        <v>0</v>
      </c>
      <c r="I38" s="106" t="e">
        <f t="shared" si="5"/>
        <v>#REF!</v>
      </c>
      <c r="J38" s="106" t="e">
        <f t="shared" si="5"/>
        <v>#REF!</v>
      </c>
      <c r="K38" s="106" t="e">
        <f t="shared" si="5"/>
        <v>#REF!</v>
      </c>
      <c r="L38" s="106" t="e">
        <f t="shared" si="5"/>
        <v>#REF!</v>
      </c>
      <c r="M38" s="106" t="e">
        <f t="shared" si="5"/>
        <v>#REF!</v>
      </c>
      <c r="N38" s="100"/>
      <c r="O38" s="106" t="e">
        <f>+O29+O36</f>
        <v>#REF!</v>
      </c>
      <c r="P38" s="100"/>
      <c r="Q38" s="106" t="e">
        <f>+Q29+Q36</f>
        <v>#REF!</v>
      </c>
    </row>
    <row r="39" spans="1:17" x14ac:dyDescent="0.25"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0"/>
      <c r="O39" s="98"/>
      <c r="P39" s="100"/>
      <c r="Q39" s="98"/>
    </row>
    <row r="40" spans="1:17" x14ac:dyDescent="0.25">
      <c r="A40" s="28" t="s">
        <v>77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O40" s="98"/>
      <c r="P40" s="100"/>
      <c r="Q40" s="98"/>
    </row>
    <row r="41" spans="1:17" ht="9.75" customHeight="1" x14ac:dyDescent="0.25">
      <c r="D41" s="98"/>
      <c r="E41" s="98"/>
      <c r="F41" s="98"/>
      <c r="G41" s="98"/>
      <c r="H41" s="98"/>
      <c r="I41" s="98"/>
      <c r="J41" s="98"/>
      <c r="K41" s="98"/>
      <c r="L41" s="98"/>
      <c r="M41" s="98"/>
      <c r="O41" s="98"/>
      <c r="P41" s="100"/>
      <c r="Q41" s="98"/>
    </row>
    <row r="42" spans="1:17" x14ac:dyDescent="0.25">
      <c r="A42" s="28" t="s">
        <v>108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O42" s="98"/>
      <c r="P42" s="100"/>
      <c r="Q42" s="98"/>
    </row>
    <row r="43" spans="1:17" x14ac:dyDescent="0.25">
      <c r="B43" s="93" t="s">
        <v>58</v>
      </c>
      <c r="C43" s="91" t="s">
        <v>441</v>
      </c>
      <c r="D43" s="102">
        <f>+'Bilanci Alpha'!D99+'Bilanci Alpha'!D100</f>
        <v>0</v>
      </c>
      <c r="E43" s="102">
        <f>+'Bilanci Alpha'!E99+'Bilanci Alpha'!E100</f>
        <v>0</v>
      </c>
      <c r="F43" s="102">
        <f>+'Bilanci Alpha'!F99+'Bilanci Alpha'!F100</f>
        <v>0</v>
      </c>
      <c r="G43" s="102">
        <f>'Bilanci Alpha'!G99</f>
        <v>0</v>
      </c>
      <c r="H43" s="102">
        <f>'Bilanci Alpha'!H99</f>
        <v>0</v>
      </c>
      <c r="I43" s="102" t="e">
        <f>'Bilanci Alpha'!#REF!</f>
        <v>#REF!</v>
      </c>
      <c r="J43" s="102" t="e">
        <f>'Bilanci Alpha'!#REF!</f>
        <v>#REF!</v>
      </c>
      <c r="K43" s="102" t="e">
        <f>'Bilanci Alpha'!#REF!</f>
        <v>#REF!</v>
      </c>
      <c r="L43" s="102" t="e">
        <f>'Bilanci Alpha'!#REF!</f>
        <v>#REF!</v>
      </c>
      <c r="M43" s="102" t="e">
        <f>'Bilanci Alpha'!#REF!</f>
        <v>#REF!</v>
      </c>
      <c r="O43" s="102" t="e">
        <f>'Bilanci Alpha'!#REF!</f>
        <v>#REF!</v>
      </c>
      <c r="P43" s="100"/>
      <c r="Q43" s="102" t="e">
        <f>'Bilanci Alpha'!#REF!</f>
        <v>#REF!</v>
      </c>
    </row>
    <row r="44" spans="1:17" x14ac:dyDescent="0.25">
      <c r="B44" s="93" t="s">
        <v>59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  <c r="O44" s="103">
        <v>0</v>
      </c>
      <c r="P44" s="100"/>
      <c r="Q44" s="103">
        <v>0</v>
      </c>
    </row>
    <row r="45" spans="1:17" x14ac:dyDescent="0.25">
      <c r="B45" s="94" t="s">
        <v>60</v>
      </c>
      <c r="C45" s="91" t="s">
        <v>440</v>
      </c>
      <c r="D45" s="98">
        <f>'Bilanci Alpha'!D102</f>
        <v>0</v>
      </c>
      <c r="E45" s="98">
        <f>'Bilanci Alpha'!E102</f>
        <v>2884354.2</v>
      </c>
      <c r="F45" s="98">
        <f>'Bilanci Alpha'!F102</f>
        <v>2991763.25</v>
      </c>
      <c r="G45" s="98">
        <f>'Bilanci Alpha'!G102</f>
        <v>3356997</v>
      </c>
      <c r="H45" s="98">
        <f>'Bilanci Alpha'!H102</f>
        <v>0</v>
      </c>
      <c r="I45" s="98" t="e">
        <f>'Bilanci Alpha'!#REF!</f>
        <v>#REF!</v>
      </c>
      <c r="J45" s="98" t="e">
        <f>'Bilanci Alpha'!#REF!</f>
        <v>#REF!</v>
      </c>
      <c r="K45" s="98" t="e">
        <f>'Bilanci Alpha'!#REF!</f>
        <v>#REF!</v>
      </c>
      <c r="L45" s="98" t="e">
        <f>'Bilanci Alpha'!#REF!</f>
        <v>#REF!</v>
      </c>
      <c r="M45" s="98" t="e">
        <f>'Bilanci Alpha'!#REF!</f>
        <v>#REF!</v>
      </c>
      <c r="O45" s="98" t="e">
        <f>'Bilanci Alpha'!#REF!</f>
        <v>#REF!</v>
      </c>
      <c r="P45" s="100"/>
      <c r="Q45" s="98" t="e">
        <f>'Bilanci Alpha'!#REF!</f>
        <v>#REF!</v>
      </c>
    </row>
    <row r="46" spans="1:17" x14ac:dyDescent="0.25">
      <c r="B46" s="94" t="s">
        <v>61</v>
      </c>
      <c r="D46" s="102">
        <f>+'Bilanci Alpha'!D103</f>
        <v>543415.94999999995</v>
      </c>
      <c r="E46" s="102">
        <f>+'Bilanci Alpha'!E103</f>
        <v>0</v>
      </c>
      <c r="F46" s="102">
        <f>+'Bilanci Alpha'!F103</f>
        <v>0</v>
      </c>
      <c r="G46" s="102">
        <f>+'Bilanci Alpha'!G103</f>
        <v>0</v>
      </c>
      <c r="H46" s="102">
        <f>+'Bilanci Alpha'!H103</f>
        <v>0</v>
      </c>
      <c r="I46" s="102" t="e">
        <f>+'Bilanci Alpha'!#REF!</f>
        <v>#REF!</v>
      </c>
      <c r="J46" s="102" t="e">
        <f>+'Bilanci Alpha'!#REF!</f>
        <v>#REF!</v>
      </c>
      <c r="K46" s="102" t="e">
        <f>+'Bilanci Alpha'!#REF!</f>
        <v>#REF!</v>
      </c>
      <c r="L46" s="102" t="e">
        <f>+'Bilanci Alpha'!#REF!</f>
        <v>#REF!</v>
      </c>
      <c r="M46" s="102" t="e">
        <f>+'Bilanci Alpha'!#REF!</f>
        <v>#REF!</v>
      </c>
      <c r="O46" s="102" t="e">
        <f>+'Bilanci Alpha'!#REF!</f>
        <v>#REF!</v>
      </c>
      <c r="P46" s="100"/>
      <c r="Q46" s="102" t="e">
        <f>+'Bilanci Alpha'!#REF!</f>
        <v>#REF!</v>
      </c>
    </row>
    <row r="47" spans="1:17" x14ac:dyDescent="0.25">
      <c r="B47" s="94" t="s">
        <v>8</v>
      </c>
      <c r="C47" s="91" t="s">
        <v>443</v>
      </c>
      <c r="D47" s="98">
        <f>+'Bilanci Alpha'!D104+'Bilanci Alpha'!D105</f>
        <v>54181</v>
      </c>
      <c r="E47" s="98">
        <f>+'Bilanci Alpha'!E104+'Bilanci Alpha'!E105</f>
        <v>403527</v>
      </c>
      <c r="F47" s="98">
        <f>+'Bilanci Alpha'!F104+'Bilanci Alpha'!F105</f>
        <v>140219</v>
      </c>
      <c r="G47" s="98">
        <f>+'Bilanci Alpha'!G104+'Bilanci Alpha'!G105</f>
        <v>6510</v>
      </c>
      <c r="H47" s="98">
        <f>+'Bilanci Alpha'!H104+'Bilanci Alpha'!H105</f>
        <v>0</v>
      </c>
      <c r="I47" s="98" t="e">
        <f>+'Bilanci Alpha'!#REF!+'Bilanci Alpha'!#REF!</f>
        <v>#REF!</v>
      </c>
      <c r="J47" s="98" t="e">
        <f>+'Bilanci Alpha'!#REF!+'Bilanci Alpha'!#REF!</f>
        <v>#REF!</v>
      </c>
      <c r="K47" s="98" t="e">
        <f>+'Bilanci Alpha'!#REF!+'Bilanci Alpha'!#REF!</f>
        <v>#REF!</v>
      </c>
      <c r="L47" s="98" t="e">
        <f>+'Bilanci Alpha'!#REF!+'Bilanci Alpha'!#REF!</f>
        <v>#REF!</v>
      </c>
      <c r="M47" s="98" t="e">
        <f>+'Bilanci Alpha'!#REF!+'Bilanci Alpha'!#REF!</f>
        <v>#REF!</v>
      </c>
      <c r="O47" s="98" t="e">
        <f>+'Bilanci Alpha'!#REF!+'Bilanci Alpha'!#REF!</f>
        <v>#REF!</v>
      </c>
      <c r="P47" s="100"/>
      <c r="Q47" s="98" t="e">
        <f>+'Bilanci Alpha'!#REF!+'Bilanci Alpha'!#REF!</f>
        <v>#REF!</v>
      </c>
    </row>
    <row r="48" spans="1:17" x14ac:dyDescent="0.25">
      <c r="B48" s="94" t="s">
        <v>95</v>
      </c>
      <c r="C48" s="91" t="s">
        <v>444</v>
      </c>
      <c r="D48" s="102">
        <f>+'Bilanci Alpha'!D107+'Bilanci Alpha'!D106</f>
        <v>0</v>
      </c>
      <c r="E48" s="102">
        <f>+'Bilanci Alpha'!E107+'Bilanci Alpha'!E106</f>
        <v>0</v>
      </c>
      <c r="F48" s="102">
        <f>+'Bilanci Alpha'!F107+'Bilanci Alpha'!F106</f>
        <v>0</v>
      </c>
      <c r="G48" s="102">
        <f>+'Bilanci Alpha'!G107+'Bilanci Alpha'!G106</f>
        <v>0</v>
      </c>
      <c r="H48" s="102">
        <f>+'Bilanci Alpha'!H107+'Bilanci Alpha'!H106</f>
        <v>0</v>
      </c>
      <c r="I48" s="102" t="e">
        <f>+'Bilanci Alpha'!#REF!+'Bilanci Alpha'!#REF!</f>
        <v>#REF!</v>
      </c>
      <c r="J48" s="102" t="e">
        <f>+'Bilanci Alpha'!#REF!+'Bilanci Alpha'!#REF!</f>
        <v>#REF!</v>
      </c>
      <c r="K48" s="102" t="e">
        <f>+'Bilanci Alpha'!#REF!+'Bilanci Alpha'!#REF!</f>
        <v>#REF!</v>
      </c>
      <c r="L48" s="102" t="e">
        <f>+'Bilanci Alpha'!#REF!+'Bilanci Alpha'!#REF!</f>
        <v>#REF!</v>
      </c>
      <c r="M48" s="102" t="e">
        <f>+'Bilanci Alpha'!#REF!+'Bilanci Alpha'!#REF!</f>
        <v>#REF!</v>
      </c>
      <c r="O48" s="102" t="e">
        <f>+'Bilanci Alpha'!#REF!+'Bilanci Alpha'!#REF!</f>
        <v>#REF!</v>
      </c>
      <c r="P48" s="100"/>
      <c r="Q48" s="102" t="e">
        <f>+'Bilanci Alpha'!#REF!+'Bilanci Alpha'!#REF!</f>
        <v>#REF!</v>
      </c>
    </row>
    <row r="49" spans="1:21" x14ac:dyDescent="0.25">
      <c r="B49" s="94" t="s">
        <v>62</v>
      </c>
      <c r="D49" s="102">
        <v>0</v>
      </c>
      <c r="E49" s="102">
        <v>0</v>
      </c>
      <c r="F49" s="102">
        <v>0</v>
      </c>
      <c r="G49" s="102">
        <v>0</v>
      </c>
      <c r="H49" s="102">
        <v>0</v>
      </c>
      <c r="I49" s="102">
        <v>0</v>
      </c>
      <c r="J49" s="102">
        <v>0</v>
      </c>
      <c r="K49" s="102">
        <v>0</v>
      </c>
      <c r="L49" s="102">
        <v>0</v>
      </c>
      <c r="M49" s="102">
        <v>0</v>
      </c>
      <c r="O49" s="102">
        <v>0</v>
      </c>
      <c r="P49" s="100"/>
      <c r="Q49" s="102">
        <v>0</v>
      </c>
    </row>
    <row r="50" spans="1:21" x14ac:dyDescent="0.25">
      <c r="B50" s="94" t="s">
        <v>63</v>
      </c>
      <c r="C50" s="91" t="s">
        <v>442</v>
      </c>
      <c r="D50" s="102">
        <f>+'Bilanci Alpha'!D93</f>
        <v>0</v>
      </c>
      <c r="E50" s="102">
        <f>+'Bilanci Alpha'!E93</f>
        <v>0</v>
      </c>
      <c r="F50" s="102">
        <f>+'Bilanci Alpha'!F93</f>
        <v>0</v>
      </c>
      <c r="G50" s="102">
        <f>+'Bilanci Alpha'!G93</f>
        <v>0</v>
      </c>
      <c r="H50" s="102">
        <f>+'Bilanci Alpha'!H93</f>
        <v>0</v>
      </c>
      <c r="I50" s="102" t="e">
        <f>+'Bilanci Alpha'!#REF!</f>
        <v>#REF!</v>
      </c>
      <c r="J50" s="102" t="e">
        <f>+'Bilanci Alpha'!#REF!</f>
        <v>#REF!</v>
      </c>
      <c r="K50" s="102" t="e">
        <f>+'Bilanci Alpha'!#REF!</f>
        <v>#REF!</v>
      </c>
      <c r="L50" s="102" t="e">
        <f>+'Bilanci Alpha'!#REF!</f>
        <v>#REF!</v>
      </c>
      <c r="M50" s="102" t="e">
        <f>+'Bilanci Alpha'!#REF!</f>
        <v>#REF!</v>
      </c>
      <c r="O50" s="102" t="e">
        <f>+'Bilanci Alpha'!#REF!</f>
        <v>#REF!</v>
      </c>
      <c r="P50" s="100"/>
      <c r="Q50" s="102" t="e">
        <f>+'Bilanci Alpha'!#REF!</f>
        <v>#REF!</v>
      </c>
    </row>
    <row r="51" spans="1:21" x14ac:dyDescent="0.25">
      <c r="B51" s="93" t="s">
        <v>98</v>
      </c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2">
        <v>0</v>
      </c>
      <c r="J51" s="102">
        <v>0</v>
      </c>
      <c r="K51" s="102">
        <v>0</v>
      </c>
      <c r="L51" s="102">
        <v>0</v>
      </c>
      <c r="M51" s="102">
        <v>0</v>
      </c>
      <c r="O51" s="102">
        <v>0</v>
      </c>
      <c r="P51" s="100"/>
      <c r="Q51" s="102">
        <v>0</v>
      </c>
    </row>
    <row r="52" spans="1:21" x14ac:dyDescent="0.25">
      <c r="B52" s="93" t="s">
        <v>64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M52" s="103">
        <v>0</v>
      </c>
      <c r="O52" s="103">
        <v>0</v>
      </c>
      <c r="P52" s="100"/>
      <c r="Q52" s="103">
        <v>0</v>
      </c>
    </row>
    <row r="53" spans="1:21" x14ac:dyDescent="0.25">
      <c r="B53" s="93" t="s">
        <v>65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M53" s="103">
        <v>0</v>
      </c>
      <c r="O53" s="103">
        <v>0</v>
      </c>
      <c r="P53" s="100"/>
      <c r="Q53" s="103">
        <v>0</v>
      </c>
    </row>
    <row r="54" spans="1:21" x14ac:dyDescent="0.25">
      <c r="B54" s="93"/>
      <c r="D54" s="98"/>
      <c r="E54" s="98"/>
      <c r="F54" s="98"/>
      <c r="G54" s="98"/>
      <c r="H54" s="98"/>
      <c r="I54" s="98"/>
      <c r="J54" s="98"/>
      <c r="K54" s="98"/>
      <c r="L54" s="98"/>
      <c r="M54" s="98"/>
      <c r="O54" s="98"/>
      <c r="P54" s="100"/>
      <c r="Q54" s="98"/>
    </row>
    <row r="55" spans="1:21" ht="16.5" thickBot="1" x14ac:dyDescent="0.3">
      <c r="B55" s="104" t="s">
        <v>66</v>
      </c>
      <c r="D55" s="105">
        <f>SUM(D43:D54)</f>
        <v>597596.94999999995</v>
      </c>
      <c r="E55" s="105">
        <f>SUM(E43:E54)</f>
        <v>3287881.2</v>
      </c>
      <c r="F55" s="105">
        <f>SUM(F43:F54)</f>
        <v>3131982.25</v>
      </c>
      <c r="G55" s="105">
        <f>SUM(G43:G54)</f>
        <v>3363507</v>
      </c>
      <c r="H55" s="105">
        <f t="shared" ref="H55:M55" si="6">SUM(H43:H54)</f>
        <v>0</v>
      </c>
      <c r="I55" s="105" t="e">
        <f t="shared" si="6"/>
        <v>#REF!</v>
      </c>
      <c r="J55" s="105" t="e">
        <f t="shared" si="6"/>
        <v>#REF!</v>
      </c>
      <c r="K55" s="105" t="e">
        <f t="shared" si="6"/>
        <v>#REF!</v>
      </c>
      <c r="L55" s="105" t="e">
        <f t="shared" si="6"/>
        <v>#REF!</v>
      </c>
      <c r="M55" s="105" t="e">
        <f t="shared" si="6"/>
        <v>#REF!</v>
      </c>
      <c r="O55" s="105" t="e">
        <f>SUM(O43:O54)</f>
        <v>#REF!</v>
      </c>
      <c r="P55" s="100"/>
      <c r="Q55" s="105" t="e">
        <f>SUM(Q43:Q54)</f>
        <v>#REF!</v>
      </c>
      <c r="T55" s="90"/>
      <c r="U55" s="90"/>
    </row>
    <row r="56" spans="1:21" ht="16.5" thickTop="1" x14ac:dyDescent="0.25">
      <c r="A56" s="28" t="s">
        <v>67</v>
      </c>
      <c r="D56" s="98"/>
      <c r="E56" s="98"/>
      <c r="F56" s="98"/>
      <c r="G56" s="98"/>
      <c r="H56" s="98"/>
      <c r="I56" s="98"/>
      <c r="J56" s="98"/>
      <c r="K56" s="98"/>
      <c r="L56" s="98"/>
      <c r="M56" s="98"/>
      <c r="O56" s="98"/>
      <c r="P56" s="100"/>
      <c r="Q56" s="98"/>
      <c r="T56" s="90"/>
      <c r="U56" s="90"/>
    </row>
    <row r="57" spans="1:21" x14ac:dyDescent="0.25">
      <c r="B57" s="93" t="s">
        <v>68</v>
      </c>
      <c r="C57" s="91">
        <v>6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O57" s="102" t="e">
        <f>'Bilanci Alpha'!#REF!</f>
        <v>#REF!</v>
      </c>
      <c r="P57" s="100"/>
      <c r="Q57" s="102" t="e">
        <f>'Bilanci Alpha'!#REF!</f>
        <v>#REF!</v>
      </c>
      <c r="T57" s="90"/>
      <c r="U57" s="90"/>
    </row>
    <row r="58" spans="1:21" x14ac:dyDescent="0.25">
      <c r="B58" s="93" t="s">
        <v>69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0"/>
      <c r="Q58" s="102"/>
      <c r="T58" s="90"/>
      <c r="U58" s="90"/>
    </row>
    <row r="59" spans="1:21" x14ac:dyDescent="0.25">
      <c r="B59" s="93" t="s">
        <v>70</v>
      </c>
      <c r="D59" s="102">
        <v>0</v>
      </c>
      <c r="E59" s="102">
        <v>0</v>
      </c>
      <c r="F59" s="102">
        <v>0</v>
      </c>
      <c r="G59" s="102">
        <v>0</v>
      </c>
      <c r="H59" s="102">
        <v>0</v>
      </c>
      <c r="I59" s="102">
        <v>0</v>
      </c>
      <c r="J59" s="102">
        <v>0</v>
      </c>
      <c r="K59" s="102">
        <v>0</v>
      </c>
      <c r="L59" s="102">
        <v>0</v>
      </c>
      <c r="M59" s="102">
        <v>0</v>
      </c>
      <c r="N59" s="102"/>
      <c r="O59" s="102">
        <v>0</v>
      </c>
      <c r="P59" s="100"/>
      <c r="Q59" s="102">
        <v>0</v>
      </c>
    </row>
    <row r="60" spans="1:21" x14ac:dyDescent="0.25">
      <c r="B60" s="93" t="s">
        <v>64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O60" s="98"/>
      <c r="P60" s="100"/>
      <c r="Q60" s="98"/>
    </row>
    <row r="61" spans="1:21" ht="16.5" thickBot="1" x14ac:dyDescent="0.3">
      <c r="B61" s="104" t="s">
        <v>71</v>
      </c>
      <c r="D61" s="105">
        <f>SUM(D57:D60)</f>
        <v>0</v>
      </c>
      <c r="E61" s="105">
        <f>SUM(E57:E60)</f>
        <v>0</v>
      </c>
      <c r="F61" s="105">
        <f>SUM(F57:F60)</f>
        <v>0</v>
      </c>
      <c r="G61" s="105">
        <f>SUM(G57:G60)</f>
        <v>0</v>
      </c>
      <c r="H61" s="105">
        <f t="shared" ref="H61:M61" si="7">SUM(H57:H60)</f>
        <v>0</v>
      </c>
      <c r="I61" s="105">
        <f t="shared" si="7"/>
        <v>0</v>
      </c>
      <c r="J61" s="105">
        <f t="shared" si="7"/>
        <v>0</v>
      </c>
      <c r="K61" s="105">
        <f t="shared" si="7"/>
        <v>0</v>
      </c>
      <c r="L61" s="105">
        <f t="shared" si="7"/>
        <v>0</v>
      </c>
      <c r="M61" s="105">
        <f t="shared" si="7"/>
        <v>0</v>
      </c>
      <c r="O61" s="107" t="e">
        <f>SUM(O57:O60)</f>
        <v>#REF!</v>
      </c>
      <c r="P61" s="100"/>
      <c r="Q61" s="107" t="e">
        <f>SUM(Q57:Q60)</f>
        <v>#REF!</v>
      </c>
      <c r="T61" s="108"/>
    </row>
    <row r="62" spans="1:21" ht="12.75" customHeight="1" thickTop="1" x14ac:dyDescent="0.25">
      <c r="D62" s="98"/>
      <c r="E62" s="98"/>
      <c r="F62" s="98"/>
      <c r="G62" s="98"/>
      <c r="H62" s="98"/>
      <c r="I62" s="98"/>
      <c r="J62" s="98"/>
      <c r="K62" s="98"/>
      <c r="L62" s="98"/>
      <c r="M62" s="98"/>
      <c r="O62" s="98"/>
      <c r="P62" s="100"/>
      <c r="Q62" s="98"/>
    </row>
    <row r="63" spans="1:21" x14ac:dyDescent="0.25">
      <c r="A63" s="28" t="s">
        <v>72</v>
      </c>
      <c r="P63" s="100"/>
      <c r="T63" s="108"/>
    </row>
    <row r="64" spans="1:21" x14ac:dyDescent="0.25">
      <c r="B64" s="93" t="s">
        <v>40</v>
      </c>
      <c r="C64" s="91">
        <v>7</v>
      </c>
      <c r="D64" s="98">
        <f>+'Bilanci Alpha'!D70</f>
        <v>100000</v>
      </c>
      <c r="E64" s="98">
        <f>+'Bilanci Alpha'!E70</f>
        <v>100000</v>
      </c>
      <c r="F64" s="98">
        <f>+'Bilanci Alpha'!F70</f>
        <v>100000</v>
      </c>
      <c r="G64" s="98">
        <f>+'Bilanci Alpha'!G70</f>
        <v>100000</v>
      </c>
      <c r="H64" s="98">
        <f>+'Bilanci Alpha'!H70</f>
        <v>0</v>
      </c>
      <c r="I64" s="98" t="e">
        <f>+'Bilanci Alpha'!#REF!</f>
        <v>#REF!</v>
      </c>
      <c r="J64" s="98" t="e">
        <f>+'Bilanci Alpha'!#REF!</f>
        <v>#REF!</v>
      </c>
      <c r="K64" s="98" t="e">
        <f>+'Bilanci Alpha'!#REF!</f>
        <v>#REF!</v>
      </c>
      <c r="L64" s="98" t="e">
        <f>+'Bilanci Alpha'!#REF!</f>
        <v>#REF!</v>
      </c>
      <c r="M64" s="98" t="e">
        <f>+'Bilanci Alpha'!#REF!</f>
        <v>#REF!</v>
      </c>
      <c r="O64" s="98">
        <v>100000</v>
      </c>
      <c r="P64" s="100"/>
      <c r="Q64" s="98">
        <v>100000</v>
      </c>
    </row>
    <row r="65" spans="2:20" x14ac:dyDescent="0.25">
      <c r="B65" s="93" t="s">
        <v>425</v>
      </c>
      <c r="C65" s="91">
        <v>7</v>
      </c>
      <c r="D65" s="98">
        <f>+'Bilanci Alpha'!D71</f>
        <v>0</v>
      </c>
      <c r="E65" s="98">
        <f>+'Bilanci Alpha'!E71</f>
        <v>0</v>
      </c>
      <c r="F65" s="98">
        <f>+'Bilanci Alpha'!F71</f>
        <v>0</v>
      </c>
      <c r="G65" s="98">
        <f>+'Bilanci Alpha'!G71</f>
        <v>0</v>
      </c>
      <c r="H65" s="98">
        <f>+'Bilanci Alpha'!H71</f>
        <v>0</v>
      </c>
      <c r="I65" s="98" t="e">
        <f>+'Bilanci Alpha'!#REF!</f>
        <v>#REF!</v>
      </c>
      <c r="J65" s="98" t="e">
        <f>+'Bilanci Alpha'!#REF!</f>
        <v>#REF!</v>
      </c>
      <c r="K65" s="98" t="e">
        <f>+'Bilanci Alpha'!#REF!</f>
        <v>#REF!</v>
      </c>
      <c r="L65" s="98" t="e">
        <f>+'Bilanci Alpha'!#REF!</f>
        <v>#REF!</v>
      </c>
      <c r="M65" s="98" t="e">
        <f>+'Bilanci Alpha'!#REF!</f>
        <v>#REF!</v>
      </c>
      <c r="O65" s="102">
        <v>0</v>
      </c>
      <c r="P65" s="100"/>
      <c r="Q65" s="102">
        <v>0</v>
      </c>
    </row>
    <row r="66" spans="2:20" x14ac:dyDescent="0.25">
      <c r="B66" s="93" t="s">
        <v>73</v>
      </c>
      <c r="D66" s="102">
        <f>+'Bilanci Alpha'!D75</f>
        <v>0</v>
      </c>
      <c r="E66" s="102">
        <f>+'Bilanci Alpha'!E75</f>
        <v>0</v>
      </c>
      <c r="F66" s="102">
        <f>+'Bilanci Alpha'!F75</f>
        <v>0</v>
      </c>
      <c r="G66" s="102">
        <f>+'Bilanci Alpha'!G75</f>
        <v>0</v>
      </c>
      <c r="H66" s="102">
        <f>+'Bilanci Alpha'!H75</f>
        <v>0</v>
      </c>
      <c r="I66" s="102" t="e">
        <f>+'Bilanci Alpha'!#REF!</f>
        <v>#REF!</v>
      </c>
      <c r="J66" s="102" t="e">
        <f>+'Bilanci Alpha'!#REF!</f>
        <v>#REF!</v>
      </c>
      <c r="K66" s="102" t="e">
        <f>+'Bilanci Alpha'!#REF!</f>
        <v>#REF!</v>
      </c>
      <c r="L66" s="102" t="e">
        <f>+'Bilanci Alpha'!#REF!</f>
        <v>#REF!</v>
      </c>
      <c r="M66" s="102" t="e">
        <f>+'Bilanci Alpha'!#REF!</f>
        <v>#REF!</v>
      </c>
      <c r="O66" s="102" t="e">
        <f>+'Bilanci Alpha'!#REF!</f>
        <v>#REF!</v>
      </c>
      <c r="P66" s="100"/>
      <c r="Q66" s="102" t="e">
        <f>+'Bilanci Alpha'!#REF!</f>
        <v>#REF!</v>
      </c>
      <c r="T66" s="108"/>
    </row>
    <row r="67" spans="2:20" x14ac:dyDescent="0.25">
      <c r="B67" s="93" t="s">
        <v>74</v>
      </c>
      <c r="D67" s="102">
        <f>+'Bilanci Alpha'!D74</f>
        <v>0</v>
      </c>
      <c r="E67" s="102">
        <f>+'Bilanci Alpha'!E74</f>
        <v>0</v>
      </c>
      <c r="F67" s="102">
        <f>+'Bilanci Alpha'!F74</f>
        <v>0</v>
      </c>
      <c r="G67" s="102">
        <f>+'Bilanci Alpha'!G74</f>
        <v>0</v>
      </c>
      <c r="H67" s="102">
        <f>+'Bilanci Alpha'!H74</f>
        <v>0</v>
      </c>
      <c r="I67" s="102" t="e">
        <f>+'Bilanci Alpha'!#REF!</f>
        <v>#REF!</v>
      </c>
      <c r="J67" s="102" t="e">
        <f>+'Bilanci Alpha'!#REF!</f>
        <v>#REF!</v>
      </c>
      <c r="K67" s="102" t="e">
        <f>+'Bilanci Alpha'!#REF!</f>
        <v>#REF!</v>
      </c>
      <c r="L67" s="102" t="e">
        <f>+'Bilanci Alpha'!#REF!</f>
        <v>#REF!</v>
      </c>
      <c r="M67" s="102" t="e">
        <f>+'Bilanci Alpha'!#REF!</f>
        <v>#REF!</v>
      </c>
      <c r="O67" s="102" t="e">
        <f>+'Bilanci Alpha'!#REF!</f>
        <v>#REF!</v>
      </c>
      <c r="P67" s="100"/>
      <c r="Q67" s="102" t="e">
        <f>+'Bilanci Alpha'!#REF!</f>
        <v>#REF!</v>
      </c>
    </row>
    <row r="68" spans="2:20" x14ac:dyDescent="0.25">
      <c r="B68" s="93" t="s">
        <v>9</v>
      </c>
      <c r="D68" s="102">
        <f>+'Bilanci Alpha'!D76</f>
        <v>0</v>
      </c>
      <c r="E68" s="102">
        <f>+'Bilanci Alpha'!E76</f>
        <v>0</v>
      </c>
      <c r="F68" s="102">
        <f>+'Bilanci Alpha'!F76</f>
        <v>0</v>
      </c>
      <c r="G68" s="102">
        <f>+'Bilanci Alpha'!G76</f>
        <v>0</v>
      </c>
      <c r="H68" s="102">
        <f>+'Bilanci Alpha'!H76</f>
        <v>0</v>
      </c>
      <c r="I68" s="102" t="e">
        <f>+'Bilanci Alpha'!#REF!</f>
        <v>#REF!</v>
      </c>
      <c r="J68" s="102" t="e">
        <f>+'Bilanci Alpha'!#REF!</f>
        <v>#REF!</v>
      </c>
      <c r="K68" s="102" t="e">
        <f>+'Bilanci Alpha'!#REF!</f>
        <v>#REF!</v>
      </c>
      <c r="L68" s="102" t="e">
        <f>+'Bilanci Alpha'!#REF!</f>
        <v>#REF!</v>
      </c>
      <c r="M68" s="102" t="e">
        <f>+'Bilanci Alpha'!#REF!</f>
        <v>#REF!</v>
      </c>
      <c r="O68" s="102" t="e">
        <f>+'Bilanci Alpha'!#REF!</f>
        <v>#REF!</v>
      </c>
      <c r="P68" s="100"/>
      <c r="Q68" s="102" t="e">
        <f>+'Bilanci Alpha'!#REF!</f>
        <v>#REF!</v>
      </c>
    </row>
    <row r="69" spans="2:20" x14ac:dyDescent="0.25">
      <c r="B69" s="93" t="s">
        <v>75</v>
      </c>
      <c r="C69" s="91">
        <v>7</v>
      </c>
      <c r="D69" s="98">
        <f>+'Bilanci Alpha'!D77</f>
        <v>3730538.8</v>
      </c>
      <c r="E69" s="98">
        <f>+'Bilanci Alpha'!E77</f>
        <v>661126.75</v>
      </c>
      <c r="F69" s="98">
        <f>+'Bilanci Alpha'!F77</f>
        <v>-276224</v>
      </c>
      <c r="G69" s="98">
        <f>+'Bilanci Alpha'!G77</f>
        <v>0</v>
      </c>
      <c r="H69" s="98">
        <f>+'Bilanci Alpha'!H77</f>
        <v>0</v>
      </c>
      <c r="I69" s="98" t="e">
        <f>+'Bilanci Alpha'!#REF!</f>
        <v>#REF!</v>
      </c>
      <c r="J69" s="98" t="e">
        <f>+'Bilanci Alpha'!#REF!</f>
        <v>#REF!</v>
      </c>
      <c r="K69" s="98" t="e">
        <f>+'Bilanci Alpha'!#REF!</f>
        <v>#REF!</v>
      </c>
      <c r="L69" s="98" t="e">
        <f>+'Bilanci Alpha'!#REF!</f>
        <v>#REF!</v>
      </c>
      <c r="M69" s="98" t="e">
        <f>+'Bilanci Alpha'!#REF!</f>
        <v>#REF!</v>
      </c>
      <c r="O69" s="98" t="e">
        <f>+'Bilanci Alpha'!#REF!</f>
        <v>#REF!</v>
      </c>
      <c r="P69" s="100"/>
      <c r="Q69" s="98" t="e">
        <f>+'Bilanci Alpha'!#REF!</f>
        <v>#REF!</v>
      </c>
    </row>
    <row r="70" spans="2:20" x14ac:dyDescent="0.25">
      <c r="B70" s="93" t="s">
        <v>76</v>
      </c>
      <c r="C70" s="91">
        <v>7</v>
      </c>
      <c r="D70" s="98">
        <f>+'Bilanci Alpha'!D78</f>
        <v>1275276.25</v>
      </c>
      <c r="E70" s="98">
        <f>+'Bilanci Alpha'!E78</f>
        <v>3069412.05</v>
      </c>
      <c r="F70" s="98">
        <f>+'Bilanci Alpha'!F78</f>
        <v>937350.75</v>
      </c>
      <c r="G70" s="98">
        <f>+'Bilanci Alpha'!G78</f>
        <v>-276224</v>
      </c>
      <c r="H70" s="98">
        <f>+'Bilanci Alpha'!H78</f>
        <v>0</v>
      </c>
      <c r="I70" s="98" t="e">
        <f>+'Bilanci Alpha'!#REF!</f>
        <v>#REF!</v>
      </c>
      <c r="J70" s="98" t="e">
        <f>+'Bilanci Alpha'!#REF!</f>
        <v>#REF!</v>
      </c>
      <c r="K70" s="98" t="e">
        <f>+'Bilanci Alpha'!#REF!</f>
        <v>#REF!</v>
      </c>
      <c r="L70" s="98" t="e">
        <f>+'Bilanci Alpha'!#REF!</f>
        <v>#REF!</v>
      </c>
      <c r="M70" s="98" t="e">
        <f>+'Bilanci Alpha'!#REF!</f>
        <v>#REF!</v>
      </c>
      <c r="O70" s="98" t="e">
        <f>+'Bilanci Alpha'!#REF!</f>
        <v>#REF!</v>
      </c>
      <c r="P70" s="100"/>
      <c r="Q70" s="98" t="e">
        <f>+'Bilanci Alpha'!#REF!</f>
        <v>#REF!</v>
      </c>
    </row>
    <row r="71" spans="2:20" ht="16.5" thickBot="1" x14ac:dyDescent="0.3">
      <c r="B71" s="104" t="s">
        <v>126</v>
      </c>
      <c r="D71" s="105">
        <f>SUM(D64:D70)</f>
        <v>5105815.05</v>
      </c>
      <c r="E71" s="105">
        <f>SUM(E64:E70)</f>
        <v>3830538.8</v>
      </c>
      <c r="F71" s="105">
        <f>SUM(F64:F70)</f>
        <v>761126.75</v>
      </c>
      <c r="G71" s="105">
        <f>SUM(G64:G70)</f>
        <v>-176224</v>
      </c>
      <c r="H71" s="105">
        <f t="shared" ref="H71:M71" si="8">SUM(H64:H70)</f>
        <v>0</v>
      </c>
      <c r="I71" s="105" t="e">
        <f t="shared" si="8"/>
        <v>#REF!</v>
      </c>
      <c r="J71" s="105" t="e">
        <f t="shared" si="8"/>
        <v>#REF!</v>
      </c>
      <c r="K71" s="105" t="e">
        <f t="shared" si="8"/>
        <v>#REF!</v>
      </c>
      <c r="L71" s="105" t="e">
        <f t="shared" si="8"/>
        <v>#REF!</v>
      </c>
      <c r="M71" s="105" t="e">
        <f t="shared" si="8"/>
        <v>#REF!</v>
      </c>
      <c r="O71" s="105" t="e">
        <f>SUM(O64:O70)</f>
        <v>#REF!</v>
      </c>
      <c r="P71" s="100"/>
      <c r="Q71" s="105" t="e">
        <f>SUM(Q64:Q70)</f>
        <v>#REF!</v>
      </c>
    </row>
    <row r="72" spans="2:20" ht="16.5" thickTop="1" x14ac:dyDescent="0.25">
      <c r="B72" s="93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O72" s="102"/>
      <c r="Q72" s="102"/>
    </row>
    <row r="73" spans="2:20" x14ac:dyDescent="0.25">
      <c r="B73" s="104" t="s">
        <v>78</v>
      </c>
      <c r="D73" s="106">
        <f>+D71+D61+D55</f>
        <v>5703412</v>
      </c>
      <c r="E73" s="106">
        <f>+E71+E61+E55</f>
        <v>7118420</v>
      </c>
      <c r="F73" s="106">
        <f>+F71+F61+F55</f>
        <v>3893109</v>
      </c>
      <c r="G73" s="106">
        <f>+G71+G61+G55</f>
        <v>3187283</v>
      </c>
      <c r="H73" s="106">
        <f t="shared" ref="H73:M73" si="9">+H71+H61+H55</f>
        <v>0</v>
      </c>
      <c r="I73" s="106" t="e">
        <f t="shared" si="9"/>
        <v>#REF!</v>
      </c>
      <c r="J73" s="106" t="e">
        <f t="shared" si="9"/>
        <v>#REF!</v>
      </c>
      <c r="K73" s="106" t="e">
        <f t="shared" si="9"/>
        <v>#REF!</v>
      </c>
      <c r="L73" s="106" t="e">
        <f t="shared" si="9"/>
        <v>#REF!</v>
      </c>
      <c r="M73" s="106" t="e">
        <f t="shared" si="9"/>
        <v>#REF!</v>
      </c>
      <c r="N73" s="109"/>
      <c r="O73" s="106" t="e">
        <f>+O71+O61+O55</f>
        <v>#REF!</v>
      </c>
      <c r="P73" s="100"/>
      <c r="Q73" s="106" t="e">
        <f>+Q71+Q61+Q55</f>
        <v>#REF!</v>
      </c>
      <c r="T73" s="108"/>
    </row>
    <row r="75" spans="2:20" x14ac:dyDescent="0.25">
      <c r="C75" s="104">
        <v>2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Q75" s="100"/>
    </row>
    <row r="76" spans="2:20" x14ac:dyDescent="0.25">
      <c r="B76" s="104" t="s">
        <v>577</v>
      </c>
      <c r="C76" s="104"/>
      <c r="D76" s="104" t="s">
        <v>617</v>
      </c>
      <c r="E76" s="104"/>
      <c r="F76" s="104"/>
      <c r="G76" s="104"/>
      <c r="H76" s="62"/>
      <c r="I76" s="62" t="s">
        <v>447</v>
      </c>
      <c r="K76" s="110"/>
      <c r="L76" s="110"/>
      <c r="M76" s="110"/>
      <c r="N76" s="111" t="s">
        <v>447</v>
      </c>
      <c r="O76" s="110"/>
      <c r="Q76" s="110"/>
    </row>
    <row r="77" spans="2:20" x14ac:dyDescent="0.25">
      <c r="B77" s="104"/>
      <c r="C77" s="104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1"/>
      <c r="O77" s="110"/>
      <c r="Q77" s="110"/>
    </row>
    <row r="78" spans="2:20" hidden="1" x14ac:dyDescent="0.25">
      <c r="B78" s="91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12"/>
      <c r="O78" s="100"/>
      <c r="Q78" s="100"/>
    </row>
    <row r="79" spans="2:20" hidden="1" x14ac:dyDescent="0.25">
      <c r="D79" s="100">
        <f>+D73-D38</f>
        <v>0</v>
      </c>
      <c r="E79" s="100">
        <f>+E73-E38</f>
        <v>0</v>
      </c>
      <c r="F79" s="100">
        <f>+F73-F38</f>
        <v>0</v>
      </c>
      <c r="G79" s="100">
        <f>+G73-G38</f>
        <v>0</v>
      </c>
      <c r="H79" s="100">
        <f t="shared" ref="H79:M79" si="10">+H73-H38</f>
        <v>0</v>
      </c>
      <c r="I79" s="100" t="e">
        <f t="shared" si="10"/>
        <v>#REF!</v>
      </c>
      <c r="J79" s="100" t="e">
        <f t="shared" si="10"/>
        <v>#REF!</v>
      </c>
      <c r="K79" s="100" t="e">
        <f t="shared" si="10"/>
        <v>#REF!</v>
      </c>
      <c r="L79" s="100" t="e">
        <f t="shared" si="10"/>
        <v>#REF!</v>
      </c>
      <c r="M79" s="100" t="e">
        <f t="shared" si="10"/>
        <v>#REF!</v>
      </c>
      <c r="O79" s="100" t="e">
        <f>+O73-O38</f>
        <v>#REF!</v>
      </c>
      <c r="Q79" s="100" t="e">
        <f>+Q73-Q38</f>
        <v>#REF!</v>
      </c>
    </row>
    <row r="80" spans="2:20" hidden="1" x14ac:dyDescent="0.25"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</row>
    <row r="81" spans="4:14" x14ac:dyDescent="0.25"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</row>
    <row r="82" spans="4:14" x14ac:dyDescent="0.25"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</row>
    <row r="83" spans="4:14" x14ac:dyDescent="0.25"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</row>
    <row r="84" spans="4:14" x14ac:dyDescent="0.25"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</row>
  </sheetData>
  <phoneticPr fontId="3" type="noConversion"/>
  <pageMargins left="0.46" right="0.4" top="0.34" bottom="0.3" header="0.22" footer="0.25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R38"/>
  <sheetViews>
    <sheetView tabSelected="1" workbookViewId="0">
      <selection activeCell="E36" sqref="E36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5.5703125" style="8" customWidth="1"/>
    <col min="6" max="11" width="15.5703125" style="8" hidden="1" customWidth="1"/>
    <col min="12" max="12" width="16.28515625" style="8" hidden="1" customWidth="1"/>
    <col min="13" max="13" width="15.5703125" style="8" hidden="1" customWidth="1"/>
    <col min="14" max="14" width="4.28515625" style="1" hidden="1" customWidth="1"/>
    <col min="15" max="15" width="14.85546875" style="1" hidden="1" customWidth="1"/>
    <col min="16" max="16" width="14" style="21" customWidth="1"/>
    <col min="17" max="17" width="12.85546875" style="1" bestFit="1" customWidth="1"/>
    <col min="18" max="18" width="11.140625" style="1" bestFit="1" customWidth="1"/>
    <col min="19" max="16384" width="9.140625" style="1"/>
  </cols>
  <sheetData>
    <row r="1" spans="1:17" ht="15.75" x14ac:dyDescent="0.25">
      <c r="A1" s="28" t="s">
        <v>683</v>
      </c>
    </row>
    <row r="2" spans="1:17" ht="15.75" x14ac:dyDescent="0.25">
      <c r="A2" s="14" t="s">
        <v>699</v>
      </c>
    </row>
    <row r="3" spans="1:17" ht="15.75" x14ac:dyDescent="0.25">
      <c r="A3" s="14" t="s">
        <v>97</v>
      </c>
    </row>
    <row r="4" spans="1:17" ht="15.75" x14ac:dyDescent="0.25">
      <c r="A4" s="14"/>
    </row>
    <row r="5" spans="1:17" ht="26.25" thickBot="1" x14ac:dyDescent="0.25">
      <c r="C5" s="12" t="s">
        <v>445</v>
      </c>
      <c r="D5" s="16" t="s">
        <v>698</v>
      </c>
      <c r="E5" s="16" t="s">
        <v>649</v>
      </c>
      <c r="F5" s="16" t="s">
        <v>650</v>
      </c>
      <c r="G5" s="16" t="s">
        <v>634</v>
      </c>
      <c r="H5" s="16" t="s">
        <v>628</v>
      </c>
      <c r="I5" s="16" t="s">
        <v>575</v>
      </c>
      <c r="J5" s="16" t="s">
        <v>570</v>
      </c>
      <c r="K5" s="16" t="s">
        <v>543</v>
      </c>
      <c r="L5" s="16" t="s">
        <v>533</v>
      </c>
      <c r="M5" s="16" t="s">
        <v>88</v>
      </c>
      <c r="O5" s="59" t="s">
        <v>446</v>
      </c>
    </row>
    <row r="6" spans="1:17" ht="13.5" thickTop="1" x14ac:dyDescent="0.2"/>
    <row r="8" spans="1:17" x14ac:dyDescent="0.2">
      <c r="B8" s="1" t="s">
        <v>10</v>
      </c>
      <c r="C8" s="12">
        <v>8</v>
      </c>
      <c r="D8" s="8">
        <f>+'Ardh shpenz alpha'!C12</f>
        <v>15746000</v>
      </c>
      <c r="E8" s="8">
        <f>+'Ardh shpenz alpha'!D12</f>
        <v>14803750</v>
      </c>
      <c r="F8" s="8">
        <f>+'Ardh shpenz alpha'!E12</f>
        <v>8392500</v>
      </c>
      <c r="G8" s="8">
        <f>+'Ardh shpenz alpha'!F12</f>
        <v>138750</v>
      </c>
      <c r="H8" s="8" t="e">
        <f>+'Ardh shpenz alpha'!G12</f>
        <v>#VALUE!</v>
      </c>
      <c r="I8" s="8" t="e">
        <f>+'Ardh shpenz alpha'!#REF!</f>
        <v>#REF!</v>
      </c>
      <c r="J8" s="8" t="e">
        <f>+'Ardh shpenz alpha'!#REF!</f>
        <v>#REF!</v>
      </c>
      <c r="K8" s="8" t="e">
        <f>+'Ardh shpenz alpha'!#REF!</f>
        <v>#REF!</v>
      </c>
      <c r="L8" s="8" t="e">
        <f>+'Ardh shpenz alpha'!#REF!</f>
        <v>#REF!</v>
      </c>
      <c r="M8" s="8" t="e">
        <f>+'Ardh shpenz alpha'!#REF!</f>
        <v>#REF!</v>
      </c>
      <c r="O8" s="8" t="e">
        <f>+'Ardh shpenz alpha'!#REF!</f>
        <v>#REF!</v>
      </c>
    </row>
    <row r="9" spans="1:17" x14ac:dyDescent="0.2">
      <c r="B9" s="1" t="s">
        <v>79</v>
      </c>
      <c r="C9" s="12">
        <v>9</v>
      </c>
      <c r="D9" s="8">
        <f>+'Ardh shpenz alpha'!C19</f>
        <v>0</v>
      </c>
      <c r="E9" s="8">
        <f>+'Ardh shpenz alpha'!D19</f>
        <v>0</v>
      </c>
      <c r="F9" s="8">
        <f>+'Ardh shpenz alpha'!E19</f>
        <v>0</v>
      </c>
      <c r="G9" s="8">
        <f>+'Ardh shpenz alpha'!F19</f>
        <v>0</v>
      </c>
      <c r="H9" s="8">
        <f>+'Ardh shpenz alpha'!G19</f>
        <v>0</v>
      </c>
      <c r="I9" s="8" t="e">
        <f>+'Ardh shpenz alpha'!#REF!</f>
        <v>#REF!</v>
      </c>
      <c r="J9" s="8" t="e">
        <f>+'Ardh shpenz alpha'!#REF!</f>
        <v>#REF!</v>
      </c>
      <c r="K9" s="8" t="e">
        <f>+'Ardh shpenz alpha'!#REF!</f>
        <v>#REF!</v>
      </c>
      <c r="L9" s="8" t="e">
        <f>+'Ardh shpenz alpha'!#REF!</f>
        <v>#REF!</v>
      </c>
      <c r="M9" s="8" t="e">
        <f>+'Ardh shpenz alpha'!#REF!</f>
        <v>#REF!</v>
      </c>
      <c r="O9" s="8" t="e">
        <f>+'Ardh shpenz alpha'!#REF!</f>
        <v>#REF!</v>
      </c>
    </row>
    <row r="10" spans="1:17" ht="25.5" x14ac:dyDescent="0.2">
      <c r="B10" s="4" t="s">
        <v>80</v>
      </c>
      <c r="O10" s="8"/>
    </row>
    <row r="11" spans="1:17" ht="25.5" x14ac:dyDescent="0.2">
      <c r="B11" s="4" t="s">
        <v>81</v>
      </c>
    </row>
    <row r="12" spans="1:17" x14ac:dyDescent="0.2">
      <c r="B12" s="1" t="s">
        <v>82</v>
      </c>
      <c r="C12" s="12">
        <v>10</v>
      </c>
      <c r="D12" s="8">
        <f>-'Ardh shpenz alpha'!C67-'Ardh shpenz alpha'!C70</f>
        <v>-7604659</v>
      </c>
      <c r="E12" s="8">
        <f>-'Ardh shpenz alpha'!D67-'Ardh shpenz alpha'!D70</f>
        <v>-6376488</v>
      </c>
      <c r="F12" s="8">
        <f>-'Ardh shpenz alpha'!E67-'Ardh shpenz alpha'!E70</f>
        <v>-5326634</v>
      </c>
      <c r="G12" s="8">
        <f>-'Ardh shpenz alpha'!F67-'Ardh shpenz alpha'!F70</f>
        <v>-103674</v>
      </c>
      <c r="H12" s="8">
        <f>-'Ardh shpenz alpha'!G67-'Ardh shpenz alpha'!G70</f>
        <v>0</v>
      </c>
      <c r="I12" s="8" t="e">
        <f>-'Ardh shpenz alpha'!#REF!-'Ardh shpenz alpha'!#REF!</f>
        <v>#REF!</v>
      </c>
      <c r="J12" s="8" t="e">
        <f>-'Ardh shpenz alpha'!#REF!-'Ardh shpenz alpha'!#REF!</f>
        <v>#REF!</v>
      </c>
      <c r="K12" s="8" t="e">
        <f>-'Ardh shpenz alpha'!#REF!-'Ardh shpenz alpha'!#REF!</f>
        <v>#REF!</v>
      </c>
      <c r="L12" s="8" t="e">
        <f>-'Ardh shpenz alpha'!#REF!-'Ardh shpenz alpha'!#REF!</f>
        <v>#REF!</v>
      </c>
      <c r="M12" s="8" t="e">
        <f>-'Ardh shpenz alpha'!#REF!-'Ardh shpenz alpha'!#REF!</f>
        <v>#REF!</v>
      </c>
      <c r="O12" s="8" t="e">
        <f>-'Ardh shpenz alpha'!#REF!-'Ardh shpenz alpha'!#REF!</f>
        <v>#REF!</v>
      </c>
      <c r="P12" s="27"/>
      <c r="Q12" s="8"/>
    </row>
    <row r="13" spans="1:17" x14ac:dyDescent="0.2">
      <c r="B13" s="1" t="s">
        <v>83</v>
      </c>
      <c r="C13" s="12">
        <v>11</v>
      </c>
      <c r="D13" s="8">
        <f>-'Ardh shpenz alpha'!C73-'Ardh shpenz alpha'!C78-'Ardh shpenz alpha'!C79</f>
        <v>-3824993</v>
      </c>
      <c r="E13" s="8">
        <f>-'Ardh shpenz alpha'!D73-'Ardh shpenz alpha'!D78-'Ardh shpenz alpha'!D79</f>
        <v>-2251937</v>
      </c>
      <c r="F13" s="8">
        <f>-'Ardh shpenz alpha'!E73-'Ardh shpenz alpha'!E78-'Ardh shpenz alpha'!E79</f>
        <v>-845790</v>
      </c>
      <c r="G13" s="8">
        <f>-'Ardh shpenz alpha'!F73-'Ardh shpenz alpha'!F78-'Ardh shpenz alpha'!F79</f>
        <v>-194752</v>
      </c>
      <c r="H13" s="8">
        <f>-'Ardh shpenz alpha'!G73-'Ardh shpenz alpha'!G78-'Ardh shpenz alpha'!G79</f>
        <v>0</v>
      </c>
      <c r="I13" s="8" t="e">
        <f>-'Ardh shpenz alpha'!#REF!-'Ardh shpenz alpha'!#REF!-'Ardh shpenz alpha'!#REF!</f>
        <v>#REF!</v>
      </c>
      <c r="J13" s="8" t="e">
        <f>-'Ardh shpenz alpha'!#REF!-'Ardh shpenz alpha'!#REF!-'Ardh shpenz alpha'!#REF!</f>
        <v>#REF!</v>
      </c>
      <c r="K13" s="8" t="e">
        <f>-'Ardh shpenz alpha'!#REF!-'Ardh shpenz alpha'!#REF!-'Ardh shpenz alpha'!#REF!</f>
        <v>#REF!</v>
      </c>
      <c r="L13" s="8" t="e">
        <f>-'Ardh shpenz alpha'!#REF!-'Ardh shpenz alpha'!#REF!-'Ardh shpenz alpha'!#REF!</f>
        <v>#REF!</v>
      </c>
      <c r="M13" s="8" t="e">
        <f>-'Ardh shpenz alpha'!#REF!-'Ardh shpenz alpha'!#REF!-'Ardh shpenz alpha'!#REF!</f>
        <v>#REF!</v>
      </c>
      <c r="O13" s="8" t="e">
        <f>-'Ardh shpenz alpha'!#REF!-'Ardh shpenz alpha'!#REF!-'Ardh shpenz alpha'!#REF!</f>
        <v>#REF!</v>
      </c>
      <c r="P13" s="26"/>
      <c r="Q13" s="8"/>
    </row>
    <row r="14" spans="1:17" x14ac:dyDescent="0.2">
      <c r="B14" s="1" t="s">
        <v>11</v>
      </c>
      <c r="C14" s="12">
        <v>12</v>
      </c>
      <c r="D14" s="8">
        <f>-'Ardh shpenz alpha'!C74</f>
        <v>-2130535</v>
      </c>
      <c r="E14" s="8">
        <f>-'Ardh shpenz alpha'!D74</f>
        <v>-1610460</v>
      </c>
      <c r="F14" s="8">
        <f>-'Ardh shpenz alpha'!E74</f>
        <v>-1018791</v>
      </c>
      <c r="G14" s="8">
        <f>-'Ardh shpenz alpha'!F74</f>
        <v>-116548</v>
      </c>
      <c r="H14" s="8">
        <f>-'Ardh shpenz alpha'!G74</f>
        <v>0</v>
      </c>
      <c r="I14" s="8" t="e">
        <f>-'Ardh shpenz alpha'!#REF!</f>
        <v>#REF!</v>
      </c>
      <c r="J14" s="8" t="e">
        <f>-'Ardh shpenz alpha'!#REF!</f>
        <v>#REF!</v>
      </c>
      <c r="K14" s="8" t="e">
        <f>-'Ardh shpenz alpha'!#REF!</f>
        <v>#REF!</v>
      </c>
      <c r="L14" s="8" t="e">
        <f>-'Ardh shpenz alpha'!#REF!</f>
        <v>#REF!</v>
      </c>
      <c r="M14" s="8" t="e">
        <f>-'Ardh shpenz alpha'!#REF!</f>
        <v>#REF!</v>
      </c>
      <c r="O14" s="8" t="e">
        <f>-'Ardh shpenz alpha'!#REF!</f>
        <v>#REF!</v>
      </c>
      <c r="P14" s="26"/>
    </row>
    <row r="15" spans="1:17" x14ac:dyDescent="0.2">
      <c r="B15" s="1" t="s">
        <v>84</v>
      </c>
      <c r="D15" s="20">
        <f>-'Ardh shpenz alpha'!C83</f>
        <v>-685488</v>
      </c>
      <c r="E15" s="20">
        <f>-'Ardh shpenz alpha'!D83</f>
        <v>-953792</v>
      </c>
      <c r="F15" s="20">
        <f>-'Ardh shpenz alpha'!E83</f>
        <v>-214600</v>
      </c>
      <c r="G15" s="20">
        <f>-'Ardh shpenz alpha'!F83</f>
        <v>0</v>
      </c>
      <c r="H15" s="20">
        <f>-'Ardh shpenz alpha'!G83</f>
        <v>0</v>
      </c>
      <c r="I15" s="20" t="e">
        <f>-'Ardh shpenz alpha'!#REF!</f>
        <v>#REF!</v>
      </c>
      <c r="J15" s="20" t="e">
        <f>-'Ardh shpenz alpha'!#REF!</f>
        <v>#REF!</v>
      </c>
      <c r="K15" s="20" t="e">
        <f>-'Ardh shpenz alpha'!#REF!</f>
        <v>#REF!</v>
      </c>
      <c r="L15" s="20" t="e">
        <f>-'Ardh shpenz alpha'!#REF!</f>
        <v>#REF!</v>
      </c>
      <c r="M15" s="20" t="e">
        <f>-'Ardh shpenz alpha'!#REF!</f>
        <v>#REF!</v>
      </c>
      <c r="N15" s="21"/>
      <c r="O15" s="20" t="e">
        <f>-'Ardh shpenz alpha'!#REF!</f>
        <v>#REF!</v>
      </c>
      <c r="P15" s="37"/>
    </row>
    <row r="16" spans="1:17" ht="13.5" thickBot="1" x14ac:dyDescent="0.25">
      <c r="D16" s="9">
        <f>SUM(D8:D15)</f>
        <v>1500325</v>
      </c>
      <c r="E16" s="9">
        <f>SUM(E8:E15)</f>
        <v>3611073</v>
      </c>
      <c r="F16" s="9">
        <f>SUM(F8:F15)</f>
        <v>986685</v>
      </c>
      <c r="G16" s="9">
        <f>SUM(G8:G15)</f>
        <v>-276224</v>
      </c>
      <c r="H16" s="9" t="e">
        <f t="shared" ref="H16:M16" si="0">SUM(H8:H15)</f>
        <v>#VALUE!</v>
      </c>
      <c r="I16" s="9" t="e">
        <f t="shared" si="0"/>
        <v>#REF!</v>
      </c>
      <c r="J16" s="9" t="e">
        <f t="shared" si="0"/>
        <v>#REF!</v>
      </c>
      <c r="K16" s="9" t="e">
        <f t="shared" si="0"/>
        <v>#REF!</v>
      </c>
      <c r="L16" s="9" t="e">
        <f t="shared" si="0"/>
        <v>#REF!</v>
      </c>
      <c r="M16" s="9" t="e">
        <f t="shared" si="0"/>
        <v>#REF!</v>
      </c>
      <c r="N16" s="2"/>
      <c r="O16" s="15" t="e">
        <f>SUM(O8:O15)</f>
        <v>#REF!</v>
      </c>
    </row>
    <row r="17" spans="1:18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P17" s="23"/>
    </row>
    <row r="18" spans="1:18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K18" s="10"/>
      <c r="L18" s="10"/>
      <c r="M18" s="10"/>
      <c r="P18" s="23"/>
    </row>
    <row r="19" spans="1:18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1"/>
      <c r="O19" s="1"/>
      <c r="P19" s="23"/>
    </row>
    <row r="20" spans="1:18" x14ac:dyDescent="0.2">
      <c r="B20" s="4" t="s">
        <v>87</v>
      </c>
    </row>
    <row r="21" spans="1:18" x14ac:dyDescent="0.2">
      <c r="B21" s="1" t="s">
        <v>12</v>
      </c>
      <c r="C21" s="12">
        <v>13</v>
      </c>
      <c r="D21" s="8">
        <f>+'Ardh shpenz alpha'!C36-'Ardh shpenz alpha'!C91</f>
        <v>0</v>
      </c>
      <c r="E21" s="8">
        <f>+'Ardh shpenz alpha'!D36-'Ardh shpenz alpha'!D91</f>
        <v>0</v>
      </c>
      <c r="F21" s="8">
        <f>+'Ardh shpenz alpha'!E36-'Ardh shpenz alpha'!E91</f>
        <v>0</v>
      </c>
      <c r="G21" s="8">
        <f>+'Ardh shpenz alpha'!F36-'Ardh shpenz alpha'!F91</f>
        <v>0</v>
      </c>
      <c r="H21" s="8">
        <f>+'Ardh shpenz alpha'!G36-'Ardh shpenz alpha'!G91</f>
        <v>0</v>
      </c>
      <c r="I21" s="8" t="e">
        <f>+'Ardh shpenz alpha'!#REF!-'Ardh shpenz alpha'!#REF!</f>
        <v>#REF!</v>
      </c>
      <c r="J21" s="8" t="e">
        <f>+'Ardh shpenz alpha'!#REF!-'Ardh shpenz alpha'!#REF!</f>
        <v>#REF!</v>
      </c>
      <c r="K21" s="8" t="e">
        <f>+'Ardh shpenz alpha'!#REF!-'Ardh shpenz alpha'!#REF!</f>
        <v>#REF!</v>
      </c>
      <c r="L21" s="8" t="e">
        <f>+'Ardh shpenz alpha'!#REF!-'Ardh shpenz alpha'!#REF!</f>
        <v>#REF!</v>
      </c>
      <c r="M21" s="8" t="e">
        <f>+'Ardh shpenz alpha'!#REF!-'Ardh shpenz alpha'!#REF!</f>
        <v>#REF!</v>
      </c>
      <c r="O21" s="8" t="e">
        <f>+'Ardh shpenz alpha'!#REF!-'Ardh shpenz alpha'!#REF!</f>
        <v>#REF!</v>
      </c>
      <c r="Q21" s="8"/>
      <c r="R21" s="8"/>
    </row>
    <row r="22" spans="1:18" x14ac:dyDescent="0.2">
      <c r="Q22" s="8"/>
      <c r="R22" s="8"/>
    </row>
    <row r="23" spans="1:18" ht="13.5" thickBot="1" x14ac:dyDescent="0.25">
      <c r="B23" s="6" t="s">
        <v>13</v>
      </c>
      <c r="C23" s="13"/>
      <c r="D23" s="22">
        <f>+D16+D21</f>
        <v>1500325</v>
      </c>
      <c r="E23" s="22">
        <f>+E16+E21</f>
        <v>3611073</v>
      </c>
      <c r="F23" s="22">
        <f>+F16+F21</f>
        <v>986685</v>
      </c>
      <c r="G23" s="22">
        <f>+G16+G21</f>
        <v>-276224</v>
      </c>
      <c r="H23" s="22" t="e">
        <f t="shared" ref="H23:M23" si="1">+H16+H21</f>
        <v>#VALUE!</v>
      </c>
      <c r="I23" s="22" t="e">
        <f t="shared" si="1"/>
        <v>#REF!</v>
      </c>
      <c r="J23" s="22" t="e">
        <f t="shared" si="1"/>
        <v>#REF!</v>
      </c>
      <c r="K23" s="22" t="e">
        <f t="shared" si="1"/>
        <v>#REF!</v>
      </c>
      <c r="L23" s="22" t="e">
        <f t="shared" si="1"/>
        <v>#REF!</v>
      </c>
      <c r="M23" s="22" t="e">
        <f t="shared" si="1"/>
        <v>#REF!</v>
      </c>
      <c r="N23" s="23"/>
      <c r="O23" s="22" t="e">
        <f>+O16+O21</f>
        <v>#REF!</v>
      </c>
    </row>
    <row r="24" spans="1:18" s="2" customFormat="1" ht="13.5" thickTop="1" x14ac:dyDescent="0.2"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0"/>
      <c r="P24" s="23"/>
    </row>
    <row r="25" spans="1:18" s="2" customFormat="1" x14ac:dyDescent="0.2">
      <c r="B25" s="5" t="s">
        <v>14</v>
      </c>
      <c r="C25" s="13">
        <v>14</v>
      </c>
      <c r="D25" s="10">
        <f>-'Ardh shpenz alpha'!C104</f>
        <v>-225048.75</v>
      </c>
      <c r="E25" s="10">
        <f>-'Ardh shpenz alpha'!D104</f>
        <v>-541660.94999999995</v>
      </c>
      <c r="F25" s="10">
        <f>-'Ardh shpenz alpha'!E104</f>
        <v>-49334.25</v>
      </c>
      <c r="G25" s="10">
        <f>-'Ardh shpenz alpha'!F104</f>
        <v>0</v>
      </c>
      <c r="H25" s="10">
        <f>-'Ardh shpenz alpha'!G104</f>
        <v>0</v>
      </c>
      <c r="I25" s="10" t="e">
        <f>-'Ardh shpenz alpha'!#REF!</f>
        <v>#REF!</v>
      </c>
      <c r="J25" s="10" t="e">
        <f>-'Ardh shpenz alpha'!#REF!</f>
        <v>#REF!</v>
      </c>
      <c r="K25" s="10" t="e">
        <f>-'Ardh shpenz alpha'!#REF!</f>
        <v>#REF!</v>
      </c>
      <c r="L25" s="10" t="e">
        <f>-'Ardh shpenz alpha'!#REF!</f>
        <v>#REF!</v>
      </c>
      <c r="M25" s="10" t="e">
        <f>-'Ardh shpenz alpha'!#REF!</f>
        <v>#REF!</v>
      </c>
      <c r="O25" s="10" t="e">
        <f>-'Ardh shpenz alpha'!#REF!</f>
        <v>#REF!</v>
      </c>
      <c r="P25" s="23"/>
    </row>
    <row r="26" spans="1:18" s="2" customFormat="1" x14ac:dyDescent="0.2">
      <c r="B26" s="5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P26" s="23"/>
    </row>
    <row r="27" spans="1:18" s="2" customFormat="1" ht="13.5" thickBot="1" x14ac:dyDescent="0.25">
      <c r="B27" s="6" t="s">
        <v>15</v>
      </c>
      <c r="C27" s="7"/>
      <c r="D27" s="15">
        <f>+D23+D25</f>
        <v>1275276.25</v>
      </c>
      <c r="E27" s="15">
        <f t="shared" ref="E27:J27" si="2">+E23+E25</f>
        <v>3069412.05</v>
      </c>
      <c r="F27" s="15">
        <f t="shared" si="2"/>
        <v>937350.75</v>
      </c>
      <c r="G27" s="15">
        <f t="shared" si="2"/>
        <v>-276224</v>
      </c>
      <c r="H27" s="15" t="e">
        <f t="shared" si="2"/>
        <v>#VALUE!</v>
      </c>
      <c r="I27" s="15" t="e">
        <f t="shared" si="2"/>
        <v>#REF!</v>
      </c>
      <c r="J27" s="15" t="e">
        <f t="shared" si="2"/>
        <v>#REF!</v>
      </c>
      <c r="K27" s="15" t="e">
        <f>+K23+K25-1</f>
        <v>#REF!</v>
      </c>
      <c r="L27" s="15" t="e">
        <f>+L23+L25</f>
        <v>#REF!</v>
      </c>
      <c r="M27" s="15" t="e">
        <f>+M23+M25</f>
        <v>#REF!</v>
      </c>
      <c r="O27" s="15" t="e">
        <f>+O23+O25</f>
        <v>#REF!</v>
      </c>
      <c r="P27" s="23"/>
    </row>
    <row r="28" spans="1:18" s="2" customFormat="1" ht="13.5" thickTop="1" x14ac:dyDescent="0.2">
      <c r="D28" s="10"/>
      <c r="E28" s="10"/>
      <c r="F28" s="10"/>
      <c r="G28" s="10"/>
      <c r="H28" s="10"/>
      <c r="I28" s="10"/>
      <c r="J28" s="10"/>
      <c r="K28" s="10"/>
      <c r="L28" s="10"/>
      <c r="M28" s="10"/>
      <c r="P28" s="23"/>
    </row>
    <row r="29" spans="1:18" s="2" customFormat="1" x14ac:dyDescent="0.2">
      <c r="D29" s="10"/>
      <c r="E29" s="10"/>
      <c r="F29" s="10"/>
      <c r="G29" s="10"/>
      <c r="H29" s="10"/>
      <c r="I29" s="10"/>
      <c r="J29" s="10"/>
      <c r="K29" s="10"/>
      <c r="L29" s="10"/>
      <c r="M29" s="10"/>
      <c r="P29" s="23"/>
    </row>
    <row r="30" spans="1:18" s="2" customFormat="1" x14ac:dyDescent="0.2">
      <c r="D30" s="10"/>
      <c r="E30" s="10"/>
      <c r="F30" s="10"/>
      <c r="G30" s="10"/>
      <c r="H30" s="10"/>
      <c r="I30" s="10"/>
      <c r="J30" s="10"/>
      <c r="K30" s="10"/>
      <c r="L30" s="10"/>
      <c r="M30" s="10"/>
      <c r="P30" s="23"/>
    </row>
    <row r="31" spans="1:18" s="2" customFormat="1" x14ac:dyDescent="0.2">
      <c r="D31" s="10"/>
      <c r="E31" s="10"/>
      <c r="F31" s="10"/>
      <c r="G31" s="10"/>
      <c r="H31" s="10"/>
      <c r="I31" s="10"/>
      <c r="J31" s="10"/>
      <c r="K31" s="10"/>
      <c r="L31" s="10"/>
      <c r="M31" s="10"/>
      <c r="P31" s="23"/>
    </row>
    <row r="32" spans="1:18" s="2" customFormat="1" x14ac:dyDescent="0.2">
      <c r="D32" s="10"/>
      <c r="E32" s="10"/>
      <c r="F32" s="10"/>
      <c r="G32" s="10"/>
      <c r="H32" s="10"/>
      <c r="I32" s="10"/>
      <c r="J32" s="10"/>
      <c r="K32" s="10"/>
      <c r="L32" s="10"/>
      <c r="M32" s="10"/>
      <c r="P32" s="23"/>
    </row>
    <row r="33" spans="2:16" s="2" customFormat="1" x14ac:dyDescent="0.2">
      <c r="D33" s="10"/>
      <c r="E33" s="10"/>
      <c r="F33" s="10"/>
      <c r="G33" s="10"/>
      <c r="H33" s="10"/>
      <c r="I33" s="10"/>
      <c r="J33" s="10"/>
      <c r="K33" s="10"/>
      <c r="L33" s="10"/>
      <c r="M33" s="10"/>
      <c r="P33" s="23"/>
    </row>
    <row r="34" spans="2:16" s="2" customFormat="1" x14ac:dyDescent="0.2">
      <c r="C34" s="368">
        <v>3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P34" s="23"/>
    </row>
    <row r="35" spans="2:16" s="2" customFormat="1" x14ac:dyDescent="0.2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1"/>
      <c r="O35" s="8"/>
      <c r="P35" s="23"/>
    </row>
    <row r="36" spans="2:16" ht="14.25" x14ac:dyDescent="0.2">
      <c r="B36" s="18" t="s">
        <v>448</v>
      </c>
      <c r="C36" s="18"/>
      <c r="D36" s="62" t="s">
        <v>447</v>
      </c>
      <c r="E36" s="62"/>
      <c r="F36" s="62"/>
      <c r="G36" s="62"/>
      <c r="H36" s="62"/>
      <c r="J36" s="62"/>
      <c r="K36" s="62"/>
      <c r="M36" s="61"/>
      <c r="O36" s="61"/>
    </row>
    <row r="37" spans="2:16" ht="14.25" x14ac:dyDescent="0.2">
      <c r="B37" s="18"/>
      <c r="C37" s="18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2"/>
      <c r="O37" s="61"/>
    </row>
    <row r="38" spans="2:16" ht="15" x14ac:dyDescent="0.25">
      <c r="B38" s="17"/>
      <c r="C38" s="17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60"/>
      <c r="O38" s="19"/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opLeftCell="A31" zoomScaleNormal="100" workbookViewId="0">
      <selection activeCell="H37" sqref="H37"/>
    </sheetView>
  </sheetViews>
  <sheetFormatPr defaultRowHeight="15.75" x14ac:dyDescent="0.25"/>
  <cols>
    <col min="1" max="1" width="3.140625" style="93" customWidth="1"/>
    <col min="2" max="2" width="59.28515625" style="93" customWidth="1"/>
    <col min="3" max="3" width="3.28515625" style="93" customWidth="1"/>
    <col min="4" max="5" width="18.7109375" style="114" customWidth="1"/>
    <col min="6" max="11" width="18.7109375" style="114" hidden="1" customWidth="1"/>
    <col min="12" max="12" width="19.7109375" style="114" hidden="1" customWidth="1"/>
    <col min="13" max="13" width="15.7109375" style="114" hidden="1" customWidth="1"/>
    <col min="14" max="14" width="3.28515625" style="115" hidden="1" customWidth="1"/>
    <col min="15" max="15" width="16.28515625" style="114" hidden="1" customWidth="1"/>
    <col min="16" max="16" width="2.85546875" style="93" hidden="1" customWidth="1"/>
    <col min="17" max="17" width="13.140625" style="92" customWidth="1"/>
    <col min="18" max="18" width="13.140625" style="92" bestFit="1" customWidth="1"/>
    <col min="19" max="19" width="13.85546875" style="93" bestFit="1" customWidth="1"/>
    <col min="20" max="20" width="9.85546875" style="93" bestFit="1" customWidth="1"/>
    <col min="21" max="21" width="9.140625" style="93"/>
    <col min="22" max="22" width="13.140625" style="93" bestFit="1" customWidth="1"/>
    <col min="23" max="16384" width="9.140625" style="93"/>
  </cols>
  <sheetData>
    <row r="1" spans="1:21" x14ac:dyDescent="0.25">
      <c r="A1" s="28" t="s">
        <v>683</v>
      </c>
    </row>
    <row r="2" spans="1:21" x14ac:dyDescent="0.25">
      <c r="A2" s="116" t="s">
        <v>25</v>
      </c>
    </row>
    <row r="3" spans="1:21" s="90" customFormat="1" x14ac:dyDescent="0.25">
      <c r="A3" s="117" t="s">
        <v>701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  <c r="O3" s="118"/>
      <c r="Q3" s="113"/>
      <c r="R3" s="113"/>
    </row>
    <row r="4" spans="1:21" s="90" customFormat="1" x14ac:dyDescent="0.25">
      <c r="A4" s="94" t="s">
        <v>97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  <c r="O4" s="118"/>
      <c r="Q4" s="113"/>
      <c r="R4" s="113"/>
    </row>
    <row r="5" spans="1:21" s="90" customFormat="1" x14ac:dyDescent="0.25"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19"/>
      <c r="O5" s="121"/>
      <c r="Q5" s="113"/>
      <c r="R5" s="113"/>
    </row>
    <row r="6" spans="1:21" s="90" customFormat="1" ht="16.5" customHeight="1" thickBot="1" x14ac:dyDescent="0.3">
      <c r="B6" s="120"/>
      <c r="C6" s="120"/>
      <c r="D6" s="122" t="s">
        <v>700</v>
      </c>
      <c r="E6" s="122" t="s">
        <v>651</v>
      </c>
      <c r="F6" s="122" t="s">
        <v>652</v>
      </c>
      <c r="G6" s="122" t="s">
        <v>635</v>
      </c>
      <c r="H6" s="122" t="s">
        <v>629</v>
      </c>
      <c r="I6" s="122" t="s">
        <v>576</v>
      </c>
      <c r="J6" s="122" t="s">
        <v>571</v>
      </c>
      <c r="K6" s="122" t="s">
        <v>544</v>
      </c>
      <c r="L6" s="122" t="s">
        <v>534</v>
      </c>
      <c r="M6" s="122" t="s">
        <v>94</v>
      </c>
      <c r="N6" s="119"/>
      <c r="O6" s="122" t="s">
        <v>96</v>
      </c>
      <c r="Q6" s="113"/>
      <c r="R6" s="113"/>
    </row>
    <row r="7" spans="1:21" s="90" customFormat="1" ht="16.5" thickTop="1" x14ac:dyDescent="0.25">
      <c r="A7" s="95" t="s">
        <v>26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19"/>
      <c r="O7" s="121"/>
      <c r="Q7" s="113"/>
      <c r="R7" s="113"/>
    </row>
    <row r="8" spans="1:21" s="90" customFormat="1" x14ac:dyDescent="0.25">
      <c r="B8" s="90" t="s">
        <v>27</v>
      </c>
      <c r="D8" s="123">
        <f>+'ardh-shpenz'!D23</f>
        <v>1500325</v>
      </c>
      <c r="E8" s="123">
        <f>+'ardh-shpenz'!E23</f>
        <v>3611073</v>
      </c>
      <c r="F8" s="123">
        <f>+'ardh-shpenz'!F23</f>
        <v>986685</v>
      </c>
      <c r="G8" s="123">
        <f>+'ardh-shpenz'!G23</f>
        <v>-276224</v>
      </c>
      <c r="H8" s="123" t="e">
        <f>+'ardh-shpenz'!H23</f>
        <v>#VALUE!</v>
      </c>
      <c r="I8" s="123" t="e">
        <f>+'ardh-shpenz'!I23</f>
        <v>#REF!</v>
      </c>
      <c r="J8" s="123" t="e">
        <f>+'ardh-shpenz'!J23</f>
        <v>#REF!</v>
      </c>
      <c r="K8" s="123" t="e">
        <f>+'ardh-shpenz'!K23</f>
        <v>#REF!</v>
      </c>
      <c r="L8" s="123" t="e">
        <f>+'ardh-shpenz'!L23</f>
        <v>#REF!</v>
      </c>
      <c r="M8" s="123" t="e">
        <f>+'ardh-shpenz'!M23</f>
        <v>#REF!</v>
      </c>
      <c r="N8" s="119"/>
      <c r="O8" s="123" t="e">
        <f>+'ardh-shpenz'!O23</f>
        <v>#REF!</v>
      </c>
      <c r="Q8" s="113"/>
      <c r="R8" s="113"/>
    </row>
    <row r="9" spans="1:21" s="90" customFormat="1" x14ac:dyDescent="0.25">
      <c r="B9" s="90" t="s">
        <v>28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19"/>
      <c r="O9" s="118"/>
      <c r="Q9" s="113"/>
      <c r="R9" s="113"/>
    </row>
    <row r="10" spans="1:21" s="90" customFormat="1" x14ac:dyDescent="0.25">
      <c r="B10" s="90" t="s">
        <v>29</v>
      </c>
      <c r="D10" s="123">
        <f>-'ardh-shpenz'!D15</f>
        <v>685488</v>
      </c>
      <c r="E10" s="123">
        <f>-'ardh-shpenz'!E15</f>
        <v>953792</v>
      </c>
      <c r="F10" s="123">
        <f>-'ardh-shpenz'!F15</f>
        <v>214600</v>
      </c>
      <c r="G10" s="123">
        <f>-'ardh-shpenz'!G15</f>
        <v>0</v>
      </c>
      <c r="H10" s="123">
        <f>-'ardh-shpenz'!H15</f>
        <v>0</v>
      </c>
      <c r="I10" s="123" t="e">
        <f>-'ardh-shpenz'!I15</f>
        <v>#REF!</v>
      </c>
      <c r="J10" s="123" t="e">
        <f>-'ardh-shpenz'!J15</f>
        <v>#REF!</v>
      </c>
      <c r="K10" s="123" t="e">
        <f>-'ardh-shpenz'!K15</f>
        <v>#REF!</v>
      </c>
      <c r="L10" s="123" t="e">
        <f>-'ardh-shpenz'!L15</f>
        <v>#REF!</v>
      </c>
      <c r="M10" s="123" t="e">
        <f>-'ardh-shpenz'!M15</f>
        <v>#REF!</v>
      </c>
      <c r="N10" s="119"/>
      <c r="O10" s="123" t="e">
        <f>-'ardh-shpenz'!O15</f>
        <v>#REF!</v>
      </c>
      <c r="Q10" s="113"/>
      <c r="R10" s="113"/>
    </row>
    <row r="11" spans="1:21" s="90" customFormat="1" x14ac:dyDescent="0.25">
      <c r="B11" s="90" t="s">
        <v>30</v>
      </c>
      <c r="D11" s="123">
        <f>+BK!E27-BK!D27+BK!D51-BK!E51</f>
        <v>0</v>
      </c>
      <c r="E11" s="123">
        <f>+BK!F27-BK!E27+BK!E51-BK!F51</f>
        <v>0</v>
      </c>
      <c r="F11" s="123">
        <f>+BK!G27-BK!F27+BK!F51-BK!G51</f>
        <v>0</v>
      </c>
      <c r="G11" s="123">
        <f>+BK!H27-BK!G27+BK!G51-BK!H51</f>
        <v>0</v>
      </c>
      <c r="H11" s="123">
        <v>0</v>
      </c>
      <c r="I11" s="123" t="e">
        <f>+BK!J27-BK!I27+BK!I51-BK!J51</f>
        <v>#REF!</v>
      </c>
      <c r="J11" s="123" t="e">
        <f>+BK!K27-BK!J27+BK!J51-BK!K51</f>
        <v>#REF!</v>
      </c>
      <c r="K11" s="123" t="e">
        <f>+BK!L27-BK!K27+BK!K51-BK!L51</f>
        <v>#REF!</v>
      </c>
      <c r="L11" s="123" t="e">
        <f>+BK!M27-BK!L27+BK!L51-BK!M51</f>
        <v>#REF!</v>
      </c>
      <c r="N11" s="119"/>
      <c r="O11" s="123" t="e">
        <f>+BK!Q27-BK!O27+BK!O51-BK!Q51</f>
        <v>#REF!</v>
      </c>
      <c r="Q11" s="113"/>
      <c r="R11" s="113"/>
      <c r="U11" s="123"/>
    </row>
    <row r="12" spans="1:21" s="90" customFormat="1" x14ac:dyDescent="0.25">
      <c r="B12" s="90" t="s">
        <v>31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3" t="e">
        <f>+BK!O27-BK!M27+BK!M51-BK!O51</f>
        <v>#REF!</v>
      </c>
      <c r="N12" s="119"/>
      <c r="O12" s="121"/>
      <c r="Q12" s="118"/>
      <c r="R12" s="113"/>
    </row>
    <row r="13" spans="1:21" s="90" customFormat="1" x14ac:dyDescent="0.25">
      <c r="B13" s="90" t="s">
        <v>32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19"/>
      <c r="O13" s="121"/>
      <c r="Q13" s="113"/>
      <c r="R13" s="113"/>
    </row>
    <row r="14" spans="1:21" s="90" customFormat="1" x14ac:dyDescent="0.25">
      <c r="B14" s="120"/>
      <c r="C14" s="120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19"/>
      <c r="O14" s="121"/>
      <c r="Q14" s="113"/>
      <c r="R14" s="113"/>
    </row>
    <row r="15" spans="1:21" s="90" customFormat="1" ht="31.5" x14ac:dyDescent="0.25">
      <c r="B15" s="124" t="s">
        <v>89</v>
      </c>
      <c r="C15" s="124"/>
      <c r="D15" s="118">
        <f>+BK!E12-BK!D12+BK!E13-BK!D13+BK!E25-BK!D25+BK!E26-BK!D26</f>
        <v>-201103</v>
      </c>
      <c r="E15" s="118">
        <f>+BK!F12-BK!E12+BK!F13-BK!E13+BK!F25-BK!E25+BK!F26-BK!E26</f>
        <v>190315</v>
      </c>
      <c r="F15" s="118">
        <f>+BK!G12-BK!F12+BK!G13-BK!F13+BK!G25-BK!F25+BK!G26-BK!F26</f>
        <v>313484</v>
      </c>
      <c r="G15" s="118">
        <f>+BK!H12-BK!G12+BK!H13-BK!G13+BK!H25-BK!G25+BK!H26-BK!G26</f>
        <v>-608838</v>
      </c>
      <c r="H15" s="118">
        <v>0</v>
      </c>
      <c r="I15" s="118" t="e">
        <f>+BK!J12-BK!I12+BK!J13-BK!I13+BK!J25-BK!I25+BK!J26-BK!I26</f>
        <v>#REF!</v>
      </c>
      <c r="J15" s="118" t="e">
        <f>+BK!K12-BK!J12+BK!K13-BK!J13+BK!K25-BK!J25+BK!K26-BK!J26</f>
        <v>#REF!</v>
      </c>
      <c r="K15" s="118" t="e">
        <f>+BK!L12-BK!K12+BK!L13-BK!K13+BK!L25-BK!K25+BK!L26-BK!K26</f>
        <v>#REF!</v>
      </c>
      <c r="L15" s="118" t="e">
        <f>+BK!M12-BK!L12+BK!M13-BK!L13+BK!M25-BK!L25+BK!M26-BK!L26</f>
        <v>#REF!</v>
      </c>
      <c r="M15" s="118" t="e">
        <f>+BK!O12-BK!M12+BK!O13-BK!M13+BK!O25-BK!M25+BK!O26-BK!M26</f>
        <v>#REF!</v>
      </c>
      <c r="N15" s="125"/>
      <c r="O15" s="118" t="e">
        <f>+BK!Q12-BK!O12+BK!Q13-BK!O13+BK!Q25-BK!O25+BK!Q26-BK!O26</f>
        <v>#REF!</v>
      </c>
      <c r="Q15" s="113"/>
      <c r="R15" s="113"/>
    </row>
    <row r="16" spans="1:21" s="90" customFormat="1" x14ac:dyDescent="0.25"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6"/>
      <c r="O16" s="121"/>
      <c r="Q16" s="113"/>
      <c r="R16" s="113"/>
    </row>
    <row r="17" spans="1:22" s="90" customFormat="1" x14ac:dyDescent="0.25">
      <c r="B17" s="90" t="s">
        <v>33</v>
      </c>
      <c r="D17" s="123">
        <f>+BK!E18+BK!E19+BK!E20+BK!E21+BK!E22-BK!D22-BK!D21-BK!D20-BK!D19-BK!D18</f>
        <v>628182</v>
      </c>
      <c r="E17" s="123">
        <f>+BK!F18+BK!F19+BK!F20+BK!F21+BK!F22-BK!E22-BK!E21-BK!E20-BK!E19-BK!E18</f>
        <v>-1360615</v>
      </c>
      <c r="F17" s="123">
        <f>+BK!G18+BK!G19+BK!G20+BK!G21+BK!G22-BK!F22-BK!F21-BK!F20-BK!F19-BK!F18</f>
        <v>443580</v>
      </c>
      <c r="G17" s="123">
        <f>+BK!H18+BK!H19+BK!H20+BK!H21+BK!H22-BK!G22-BK!G21-BK!G20-BK!G19-BK!G18</f>
        <v>-2030772</v>
      </c>
      <c r="H17" s="123">
        <v>0</v>
      </c>
      <c r="I17" s="123" t="e">
        <f>+BK!J18+BK!J19+BK!J20+BK!J21+BK!J22-BK!I22-BK!I21-BK!I20-BK!I19-BK!I18</f>
        <v>#REF!</v>
      </c>
      <c r="J17" s="123" t="e">
        <f>+BK!K18+BK!K19+BK!K20+BK!K21+BK!K22-BK!J22-BK!J21-BK!J20-BK!J19-BK!J18</f>
        <v>#REF!</v>
      </c>
      <c r="K17" s="123" t="e">
        <f>+BK!L18+BK!L19+BK!L20+BK!L21+BK!L22-BK!K22-BK!K21-BK!K20-BK!K19-BK!K18</f>
        <v>#REF!</v>
      </c>
      <c r="L17" s="123" t="e">
        <f>+BK!M18+BK!M19+BK!M20+BK!M21+BK!M22-BK!L22-BK!L21-BK!L20-BK!L19-BK!L18</f>
        <v>#REF!</v>
      </c>
      <c r="M17" s="123" t="e">
        <f>+BK!O18+BK!O19+BK!O20+BK!O21+BK!O22-BK!M22-BK!M21-BK!M20-BK!M19-BK!M18</f>
        <v>#REF!</v>
      </c>
      <c r="N17" s="127"/>
      <c r="O17" s="123" t="e">
        <f>+BK!Q18+BK!Q19+BK!Q20+BK!Q21+BK!Q22-BK!O22-BK!O21-BK!O20-BK!O19-BK!O18</f>
        <v>#REF!</v>
      </c>
      <c r="Q17" s="113"/>
      <c r="R17" s="113"/>
    </row>
    <row r="18" spans="1:22" s="90" customFormat="1" x14ac:dyDescent="0.25">
      <c r="B18" s="90" t="s">
        <v>127</v>
      </c>
      <c r="D18" s="118">
        <f>BK!D43-BK!E43+BK!D45-BK!E45+BK!D46-BK!E46+BK!D47-BK!E47+BK!D48-BK!E48+BK!D49-BK!E49+BK!D50-BK!E50-D21+'ardh-shpenz'!D25</f>
        <v>-2915333</v>
      </c>
      <c r="E18" s="118">
        <f>BK!E43-BK!F43+BK!E45-BK!F45+BK!E46-BK!F46+BK!E47-BK!F47+BK!E48-BK!F48+BK!E49-BK!F49+BK!E50-BK!F50-E21+'ardh-shpenz'!E25</f>
        <v>-385761.99999999977</v>
      </c>
      <c r="F18" s="118">
        <f>BK!F43-BK!G43+BK!F45-BK!G45+BK!F46-BK!G46+BK!F47-BK!G47+BK!F48-BK!G48+BK!F49-BK!G49+BK!F50-BK!G50-F21+'ardh-shpenz'!F25</f>
        <v>-280859</v>
      </c>
      <c r="G18" s="118">
        <f>BK!G43-BK!H43+BK!G45-BK!H45+BK!G46-BK!H46+BK!G47-BK!H47+BK!G48-BK!H48+BK!G49-BK!H49+BK!G50-BK!H50-G21+'ardh-shpenz'!G25</f>
        <v>3363507</v>
      </c>
      <c r="H18" s="118">
        <v>0</v>
      </c>
      <c r="I18" s="118" t="e">
        <f>BK!I43-BK!J43+BK!I45-BK!J45+BK!I46-BK!J46+BK!I47-BK!J47+BK!I48-BK!J48+BK!I49-BK!J49+BK!I50-BK!J50-I21+'ardh-shpenz'!I25</f>
        <v>#REF!</v>
      </c>
      <c r="J18" s="118" t="e">
        <f>BK!J43-BK!K43+BK!J45-BK!K45+BK!J46-BK!K46+BK!J47-BK!K47+BK!J48-BK!K48+BK!J49-BK!K49+BK!J50-BK!K50-J21+'ardh-shpenz'!J25</f>
        <v>#REF!</v>
      </c>
      <c r="K18" s="118" t="e">
        <f>BK!K43-BK!L43+BK!K45-BK!L45+BK!K46-BK!L46+BK!K47-BK!L47+BK!K48-BK!L48+BK!K49-BK!L49+BK!K50-BK!L50-K21+'ardh-shpenz'!K25</f>
        <v>#REF!</v>
      </c>
      <c r="L18" s="118" t="e">
        <f>BK!L43-BK!M43+BK!L45-BK!M45+BK!L46-BK!M46+BK!L47-BK!M47+BK!L48-BK!M48+BK!L49-BK!M49+BK!L50-BK!M50-L21+'ardh-shpenz'!L25</f>
        <v>#REF!</v>
      </c>
      <c r="M18" s="118" t="e">
        <f>BK!M43-BK!O43+BK!M45-BK!O45+BK!M46-BK!O46+BK!M47-BK!O47+BK!M48-BK!O48+BK!M49-BK!O49+BK!M50-BK!O50-M21+'ardh-shpenz'!M25</f>
        <v>#REF!</v>
      </c>
      <c r="N18" s="125"/>
      <c r="O18" s="118" t="e">
        <f>BK!O43-BK!Q43+BK!O45-BK!Q45+BK!O46-BK!Q46+BK!O47-BK!Q47+BK!O48-BK!Q48+BK!O49-BK!Q49+BK!O50-BK!Q50-O21+'ardh-shpenz'!O25</f>
        <v>#REF!</v>
      </c>
      <c r="Q18" s="113"/>
      <c r="R18" s="113"/>
    </row>
    <row r="19" spans="1:22" s="90" customFormat="1" ht="21.75" customHeight="1" x14ac:dyDescent="0.25">
      <c r="B19" s="117" t="s">
        <v>34</v>
      </c>
      <c r="C19" s="117"/>
      <c r="D19" s="128">
        <f>SUM(D8:D18)</f>
        <v>-302441</v>
      </c>
      <c r="E19" s="128">
        <f>SUM(E8:E18)</f>
        <v>3008803</v>
      </c>
      <c r="F19" s="128">
        <f>SUM(F8:F18)</f>
        <v>1677490</v>
      </c>
      <c r="G19" s="128">
        <f>SUM(G8:G18)</f>
        <v>447673</v>
      </c>
      <c r="H19" s="128" t="e">
        <f t="shared" ref="H19:M19" si="0">SUM(H8:H18)</f>
        <v>#VALUE!</v>
      </c>
      <c r="I19" s="128" t="e">
        <f t="shared" si="0"/>
        <v>#REF!</v>
      </c>
      <c r="J19" s="128" t="e">
        <f t="shared" si="0"/>
        <v>#REF!</v>
      </c>
      <c r="K19" s="128" t="e">
        <f t="shared" si="0"/>
        <v>#REF!</v>
      </c>
      <c r="L19" s="128" t="e">
        <f t="shared" si="0"/>
        <v>#REF!</v>
      </c>
      <c r="M19" s="128" t="e">
        <f t="shared" si="0"/>
        <v>#REF!</v>
      </c>
      <c r="N19" s="129"/>
      <c r="O19" s="128" t="e">
        <f>SUM(O8:O18)</f>
        <v>#REF!</v>
      </c>
      <c r="Q19" s="113"/>
      <c r="R19" s="113"/>
      <c r="V19" s="130"/>
    </row>
    <row r="20" spans="1:22" s="90" customFormat="1" ht="12.75" customHeight="1" x14ac:dyDescent="0.25">
      <c r="B20" s="90" t="s">
        <v>16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6"/>
      <c r="O20" s="121"/>
      <c r="Q20" s="113"/>
      <c r="R20" s="113"/>
    </row>
    <row r="21" spans="1:22" s="90" customFormat="1" ht="20.25" customHeight="1" x14ac:dyDescent="0.25">
      <c r="B21" s="90" t="s">
        <v>17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-90504</v>
      </c>
      <c r="K21" s="123">
        <v>-266702</v>
      </c>
      <c r="L21" s="123">
        <v>-279130</v>
      </c>
      <c r="M21" s="123">
        <v>-176936</v>
      </c>
      <c r="N21" s="126"/>
      <c r="O21" s="123">
        <v>-1000000</v>
      </c>
      <c r="Q21" s="113"/>
      <c r="R21" s="113"/>
    </row>
    <row r="22" spans="1:22" s="90" customFormat="1" x14ac:dyDescent="0.25"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6"/>
      <c r="O22" s="121"/>
      <c r="Q22" s="113"/>
      <c r="R22" s="113"/>
    </row>
    <row r="23" spans="1:22" s="90" customFormat="1" x14ac:dyDescent="0.25">
      <c r="A23" s="131" t="s">
        <v>18</v>
      </c>
      <c r="D23" s="132">
        <f>SUM(D19:D22)</f>
        <v>-302441</v>
      </c>
      <c r="E23" s="132">
        <f>SUM(E19:E22)</f>
        <v>3008803</v>
      </c>
      <c r="F23" s="132">
        <f>SUM(F19:F22)</f>
        <v>1677490</v>
      </c>
      <c r="G23" s="132">
        <f>SUM(G19:G22)</f>
        <v>447673</v>
      </c>
      <c r="H23" s="132" t="e">
        <f t="shared" ref="H23:M23" si="1">SUM(H19:H22)</f>
        <v>#VALUE!</v>
      </c>
      <c r="I23" s="132" t="e">
        <f t="shared" si="1"/>
        <v>#REF!</v>
      </c>
      <c r="J23" s="132" t="e">
        <f t="shared" si="1"/>
        <v>#REF!</v>
      </c>
      <c r="K23" s="132" t="e">
        <f t="shared" si="1"/>
        <v>#REF!</v>
      </c>
      <c r="L23" s="132" t="e">
        <f t="shared" si="1"/>
        <v>#REF!</v>
      </c>
      <c r="M23" s="132" t="e">
        <f t="shared" si="1"/>
        <v>#REF!</v>
      </c>
      <c r="N23" s="126"/>
      <c r="O23" s="132" t="e">
        <f>SUM(O19:O22)</f>
        <v>#REF!</v>
      </c>
      <c r="Q23" s="113"/>
      <c r="R23" s="113"/>
    </row>
    <row r="24" spans="1:22" s="90" customFormat="1" x14ac:dyDescent="0.25">
      <c r="A24" s="131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26"/>
      <c r="O24" s="118"/>
      <c r="Q24" s="113"/>
      <c r="R24" s="113"/>
    </row>
    <row r="25" spans="1:22" s="90" customFormat="1" x14ac:dyDescent="0.25">
      <c r="B25" s="90" t="s">
        <v>35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26"/>
      <c r="O25" s="118"/>
      <c r="Q25" s="113"/>
      <c r="R25" s="113"/>
    </row>
    <row r="26" spans="1:22" s="90" customFormat="1" x14ac:dyDescent="0.25">
      <c r="B26" s="90" t="s">
        <v>36</v>
      </c>
      <c r="D26" s="123">
        <f>-BK!D33+BK!E33+'ardh-shpenz'!D15</f>
        <v>-221455</v>
      </c>
      <c r="E26" s="123">
        <f>-BK!E33+BK!F33+'ardh-shpenz'!E15</f>
        <v>-2700623</v>
      </c>
      <c r="F26" s="123">
        <f>-BK!F33+BK!G33+'ardh-shpenz'!F15</f>
        <v>-1439670</v>
      </c>
      <c r="G26" s="123">
        <f>-BK!G33+BK!H33+'ardh-shpenz'!G15</f>
        <v>-430101</v>
      </c>
      <c r="H26" s="123">
        <v>0</v>
      </c>
      <c r="I26" s="123" t="e">
        <f>-BK!I33+BK!J33+'ardh-shpenz'!I15</f>
        <v>#REF!</v>
      </c>
      <c r="J26" s="123" t="e">
        <f>-BK!J33+BK!K33+'ardh-shpenz'!J15</f>
        <v>#REF!</v>
      </c>
      <c r="K26" s="123" t="e">
        <f>-BK!K33+BK!L33+'ardh-shpenz'!K15</f>
        <v>#REF!</v>
      </c>
      <c r="L26" s="123" t="e">
        <f>-BK!L33+BK!M33+'ardh-shpenz'!L15</f>
        <v>#REF!</v>
      </c>
      <c r="M26" s="123" t="e">
        <f>-BK!M33+BK!O33+'ardh-shpenz'!M15</f>
        <v>#REF!</v>
      </c>
      <c r="N26" s="129"/>
      <c r="O26" s="123" t="e">
        <f>-BK!O33+BK!Q33+'ardh-shpenz'!O15</f>
        <v>#REF!</v>
      </c>
      <c r="Q26" s="113"/>
      <c r="R26" s="113"/>
    </row>
    <row r="27" spans="1:22" s="90" customFormat="1" x14ac:dyDescent="0.25">
      <c r="B27" s="90" t="s">
        <v>37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6"/>
      <c r="O27" s="121"/>
      <c r="Q27" s="113"/>
      <c r="R27" s="113"/>
    </row>
    <row r="28" spans="1:22" s="90" customFormat="1" ht="12.75" customHeight="1" x14ac:dyDescent="0.25">
      <c r="B28" s="90" t="s">
        <v>19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6"/>
      <c r="O28" s="121"/>
      <c r="Q28" s="113"/>
      <c r="R28" s="113"/>
    </row>
    <row r="29" spans="1:22" s="90" customFormat="1" ht="12.75" customHeight="1" x14ac:dyDescent="0.25">
      <c r="B29" s="90" t="s">
        <v>20</v>
      </c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26"/>
      <c r="O29" s="121"/>
      <c r="Q29" s="113"/>
      <c r="R29" s="113"/>
    </row>
    <row r="30" spans="1:22" s="90" customFormat="1" x14ac:dyDescent="0.25">
      <c r="B30" s="120"/>
      <c r="C30" s="120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6"/>
      <c r="O30" s="121"/>
      <c r="Q30" s="113"/>
      <c r="R30" s="113"/>
    </row>
    <row r="31" spans="1:22" s="90" customFormat="1" x14ac:dyDescent="0.25">
      <c r="B31" s="91" t="s">
        <v>90</v>
      </c>
      <c r="C31" s="91"/>
      <c r="D31" s="132">
        <f>SUM(D25:D29)</f>
        <v>-221455</v>
      </c>
      <c r="E31" s="132">
        <f>SUM(E25:E29)</f>
        <v>-2700623</v>
      </c>
      <c r="F31" s="132">
        <f>SUM(F25:F29)</f>
        <v>-1439670</v>
      </c>
      <c r="G31" s="132">
        <f>SUM(G25:G29)</f>
        <v>-430101</v>
      </c>
      <c r="H31" s="132">
        <f t="shared" ref="H31:M31" si="2">SUM(H25:H29)</f>
        <v>0</v>
      </c>
      <c r="I31" s="132" t="e">
        <f t="shared" si="2"/>
        <v>#REF!</v>
      </c>
      <c r="J31" s="132" t="e">
        <f t="shared" si="2"/>
        <v>#REF!</v>
      </c>
      <c r="K31" s="132" t="e">
        <f t="shared" si="2"/>
        <v>#REF!</v>
      </c>
      <c r="L31" s="132" t="e">
        <f t="shared" si="2"/>
        <v>#REF!</v>
      </c>
      <c r="M31" s="132" t="e">
        <f t="shared" si="2"/>
        <v>#REF!</v>
      </c>
      <c r="N31" s="126"/>
      <c r="O31" s="132" t="e">
        <f>SUM(O25:O29)</f>
        <v>#REF!</v>
      </c>
      <c r="Q31" s="113"/>
      <c r="R31" s="113"/>
    </row>
    <row r="32" spans="1:22" s="90" customFormat="1" x14ac:dyDescent="0.25">
      <c r="B32" s="120"/>
      <c r="C32" s="120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6"/>
      <c r="O32" s="121"/>
      <c r="Q32" s="113"/>
      <c r="R32" s="113"/>
    </row>
    <row r="33" spans="2:19" s="90" customFormat="1" x14ac:dyDescent="0.25">
      <c r="B33" s="90" t="s">
        <v>92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0</v>
      </c>
      <c r="M33" s="118">
        <v>0</v>
      </c>
      <c r="N33" s="126"/>
      <c r="O33" s="118">
        <v>0</v>
      </c>
      <c r="Q33" s="113"/>
      <c r="R33" s="113"/>
    </row>
    <row r="34" spans="2:19" s="90" customFormat="1" x14ac:dyDescent="0.25">
      <c r="B34" s="90" t="s">
        <v>21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26"/>
      <c r="O34" s="118"/>
      <c r="Q34" s="113"/>
      <c r="R34" s="113"/>
    </row>
    <row r="35" spans="2:19" s="90" customFormat="1" x14ac:dyDescent="0.25">
      <c r="B35" s="90" t="s">
        <v>38</v>
      </c>
      <c r="D35" s="123">
        <f>+BK!D57-BK!E57</f>
        <v>0</v>
      </c>
      <c r="E35" s="123">
        <f>+BK!E57-BK!F57</f>
        <v>0</v>
      </c>
      <c r="F35" s="123">
        <f>+BK!F57-BK!G57</f>
        <v>0</v>
      </c>
      <c r="G35" s="123">
        <f>+BK!G57-BK!H57</f>
        <v>0</v>
      </c>
      <c r="H35" s="123">
        <f>+BK!H57-BK!I57</f>
        <v>0</v>
      </c>
      <c r="I35" s="123">
        <f>+BK!I57-BK!J57</f>
        <v>0</v>
      </c>
      <c r="J35" s="123">
        <f>+BK!J57-BK!K57</f>
        <v>0</v>
      </c>
      <c r="K35" s="123">
        <f>+BK!K57-BK!L57</f>
        <v>0</v>
      </c>
      <c r="L35" s="123">
        <f>+BK!L57-BK!M57</f>
        <v>0</v>
      </c>
      <c r="M35" s="123" t="e">
        <f>+BK!M57-BK!O57</f>
        <v>#REF!</v>
      </c>
      <c r="N35" s="126"/>
      <c r="O35" s="123" t="e">
        <f>+BK!O57-BK!Q57</f>
        <v>#REF!</v>
      </c>
      <c r="Q35" s="123"/>
      <c r="R35" s="113"/>
    </row>
    <row r="36" spans="2:19" s="90" customFormat="1" x14ac:dyDescent="0.25">
      <c r="B36" s="90" t="s">
        <v>22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6"/>
      <c r="O36" s="121"/>
      <c r="Q36" s="113"/>
      <c r="R36" s="113"/>
    </row>
    <row r="37" spans="2:19" s="90" customFormat="1" ht="15.75" customHeight="1" x14ac:dyDescent="0.25">
      <c r="B37" s="90" t="s">
        <v>39</v>
      </c>
      <c r="D37" s="134">
        <f>+BK!D64+BK!D65+BK!D66+BK!D67+BK!D68+BK!D69-BK!E64-BK!E65-BK!E66-BK!E67-BK!E68-BK!E69+-BK!E70</f>
        <v>0</v>
      </c>
      <c r="E37" s="134">
        <f>+BK!E64+BK!E65+BK!E66+BK!E67+BK!E68+BK!E69-BK!F64-BK!F65-BK!F66-BK!F67-BK!F68-BK!F69+-BK!F70</f>
        <v>0</v>
      </c>
      <c r="F37" s="134">
        <f>+BK!F64+BK!F65+BK!F66+BK!F67+BK!F68+BK!F69-BK!G64-BK!G65-BK!G66-BK!G67-BK!G68-BK!G69+-BK!G70</f>
        <v>0</v>
      </c>
      <c r="G37" s="134">
        <f>+BK!G64+BK!G65+BK!G66+BK!G67+BK!G68+BK!G69-BK!H64-BK!H65-BK!H66-BK!H67-BK!H68-BK!H69+-BK!H70</f>
        <v>100000</v>
      </c>
      <c r="H37" s="134">
        <v>0</v>
      </c>
      <c r="I37" s="134" t="e">
        <f>+BK!I64+BK!I65+BK!I66+BK!I67+BK!I68+BK!I69-BK!J64-BK!J65-BK!J66-BK!J67-BK!J68-BK!J69+-BK!J70</f>
        <v>#REF!</v>
      </c>
      <c r="J37" s="134" t="e">
        <f>+BK!J64+BK!J65+BK!J66+BK!J67+BK!J68+BK!J69-BK!K64-BK!K65-BK!K66-BK!K67-BK!K68-BK!K69+-BK!K70</f>
        <v>#REF!</v>
      </c>
      <c r="K37" s="134" t="e">
        <f>+BK!K64+BK!K65+BK!K66+BK!K67+BK!K68+BK!K69-BK!L64-BK!L65-BK!L66-BK!L67-BK!L68-BK!L69+-BK!L70</f>
        <v>#REF!</v>
      </c>
      <c r="L37" s="134" t="e">
        <f>+BK!L64+BK!L65+BK!L66+BK!L67+BK!L68+BK!L69-BK!M64-BK!M65-BK!M66-BK!M67-BK!M68-BK!M69+-BK!M70</f>
        <v>#REF!</v>
      </c>
      <c r="M37" s="134" t="e">
        <f>+BK!M64+BK!M65+BK!M66+BK!M67+BK!M68+BK!M69-BK!O64-BK!O65-BK!O66-BK!O67-BK!O68-BK!O69+-BK!O70</f>
        <v>#REF!</v>
      </c>
      <c r="N37" s="129"/>
      <c r="O37" s="123">
        <v>0</v>
      </c>
      <c r="Q37" s="113"/>
      <c r="R37" s="113"/>
    </row>
    <row r="38" spans="2:19" s="90" customFormat="1" x14ac:dyDescent="0.25">
      <c r="B38" s="120"/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6"/>
      <c r="O38" s="121"/>
      <c r="Q38" s="113"/>
      <c r="R38" s="113"/>
    </row>
    <row r="39" spans="2:19" s="90" customFormat="1" x14ac:dyDescent="0.25">
      <c r="B39" s="91" t="s">
        <v>128</v>
      </c>
      <c r="C39" s="91"/>
      <c r="D39" s="132">
        <f>SUM(D33:D38)</f>
        <v>0</v>
      </c>
      <c r="E39" s="132">
        <f>SUM(E33:E38)</f>
        <v>0</v>
      </c>
      <c r="F39" s="132">
        <f>SUM(F33:F38)</f>
        <v>0</v>
      </c>
      <c r="G39" s="132">
        <f>SUM(G33:G38)</f>
        <v>100000</v>
      </c>
      <c r="H39" s="132">
        <f t="shared" ref="H39:M39" si="3">SUM(H33:H38)</f>
        <v>0</v>
      </c>
      <c r="I39" s="132" t="e">
        <f t="shared" si="3"/>
        <v>#REF!</v>
      </c>
      <c r="J39" s="132" t="e">
        <f t="shared" si="3"/>
        <v>#REF!</v>
      </c>
      <c r="K39" s="132" t="e">
        <f t="shared" si="3"/>
        <v>#REF!</v>
      </c>
      <c r="L39" s="132" t="e">
        <f t="shared" si="3"/>
        <v>#REF!</v>
      </c>
      <c r="M39" s="132" t="e">
        <f t="shared" si="3"/>
        <v>#REF!</v>
      </c>
      <c r="N39" s="126"/>
      <c r="O39" s="132" t="e">
        <f>SUM(O33:O38)</f>
        <v>#REF!</v>
      </c>
      <c r="Q39" s="113"/>
      <c r="R39" s="113"/>
      <c r="S39" s="130"/>
    </row>
    <row r="40" spans="2:19" s="90" customFormat="1" x14ac:dyDescent="0.25">
      <c r="B40" s="120"/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6"/>
      <c r="O40" s="121"/>
      <c r="Q40" s="113"/>
      <c r="R40" s="118"/>
    </row>
    <row r="41" spans="2:19" s="90" customFormat="1" x14ac:dyDescent="0.25">
      <c r="B41" s="131" t="s">
        <v>23</v>
      </c>
      <c r="C41" s="131"/>
      <c r="D41" s="135">
        <f>+D39+D23+D31</f>
        <v>-523896</v>
      </c>
      <c r="E41" s="135">
        <f>+E39+E23+E31</f>
        <v>308180</v>
      </c>
      <c r="F41" s="135">
        <f>+F39+F23+F31</f>
        <v>237820</v>
      </c>
      <c r="G41" s="135">
        <f>+G39+G23+G31</f>
        <v>117572</v>
      </c>
      <c r="H41" s="135" t="e">
        <f t="shared" ref="H41:M41" si="4">+H39+H23+H31</f>
        <v>#VALUE!</v>
      </c>
      <c r="I41" s="135" t="e">
        <f t="shared" si="4"/>
        <v>#REF!</v>
      </c>
      <c r="J41" s="135" t="e">
        <f t="shared" si="4"/>
        <v>#REF!</v>
      </c>
      <c r="K41" s="135" t="e">
        <f t="shared" si="4"/>
        <v>#REF!</v>
      </c>
      <c r="L41" s="135" t="e">
        <f t="shared" si="4"/>
        <v>#REF!</v>
      </c>
      <c r="M41" s="135" t="e">
        <f t="shared" si="4"/>
        <v>#REF!</v>
      </c>
      <c r="N41" s="126"/>
      <c r="O41" s="135" t="e">
        <f>+O39+O23+O31</f>
        <v>#REF!</v>
      </c>
      <c r="Q41" s="113"/>
      <c r="R41" s="118"/>
    </row>
    <row r="42" spans="2:19" s="90" customFormat="1" x14ac:dyDescent="0.25">
      <c r="B42" s="131"/>
      <c r="C42" s="131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6"/>
      <c r="O42" s="123"/>
      <c r="Q42" s="113"/>
      <c r="R42" s="113"/>
    </row>
    <row r="43" spans="2:19" s="90" customFormat="1" x14ac:dyDescent="0.25">
      <c r="B43" s="131" t="s">
        <v>91</v>
      </c>
      <c r="C43" s="131"/>
      <c r="D43" s="136">
        <f t="shared" ref="D43:L43" si="5">+E44</f>
        <v>663572</v>
      </c>
      <c r="E43" s="136">
        <f t="shared" si="5"/>
        <v>355392</v>
      </c>
      <c r="F43" s="136">
        <f t="shared" si="5"/>
        <v>117572</v>
      </c>
      <c r="G43" s="136">
        <f t="shared" si="5"/>
        <v>0</v>
      </c>
      <c r="H43" s="136">
        <v>0</v>
      </c>
      <c r="I43" s="136" t="e">
        <f t="shared" si="5"/>
        <v>#REF!</v>
      </c>
      <c r="J43" s="136" t="e">
        <f t="shared" si="5"/>
        <v>#REF!</v>
      </c>
      <c r="K43" s="136" t="e">
        <f t="shared" si="5"/>
        <v>#REF!</v>
      </c>
      <c r="L43" s="136" t="e">
        <f t="shared" si="5"/>
        <v>#REF!</v>
      </c>
      <c r="M43" s="136" t="e">
        <f>+O44</f>
        <v>#REF!</v>
      </c>
      <c r="N43" s="137"/>
      <c r="O43" s="136" t="e">
        <f>+BK!Q8</f>
        <v>#REF!</v>
      </c>
      <c r="Q43" s="113"/>
      <c r="R43" s="113"/>
    </row>
    <row r="44" spans="2:19" s="90" customFormat="1" x14ac:dyDescent="0.25">
      <c r="B44" s="131" t="s">
        <v>24</v>
      </c>
      <c r="C44" s="131"/>
      <c r="D44" s="138">
        <f>+D43+D41</f>
        <v>139676</v>
      </c>
      <c r="E44" s="138">
        <f>+E43+E41</f>
        <v>663572</v>
      </c>
      <c r="F44" s="138">
        <f>+F43+F41</f>
        <v>355392</v>
      </c>
      <c r="G44" s="138">
        <f>+G43+G41</f>
        <v>117572</v>
      </c>
      <c r="H44" s="138">
        <v>0</v>
      </c>
      <c r="I44" s="138" t="e">
        <f>+I43+I41</f>
        <v>#REF!</v>
      </c>
      <c r="J44" s="138" t="e">
        <f>+J43+J41</f>
        <v>#REF!</v>
      </c>
      <c r="K44" s="138" t="e">
        <f>+K43+K41-1</f>
        <v>#REF!</v>
      </c>
      <c r="L44" s="138" t="e">
        <f>+L43+L41</f>
        <v>#REF!</v>
      </c>
      <c r="M44" s="138" t="e">
        <f>+BK!M8</f>
        <v>#REF!</v>
      </c>
      <c r="N44" s="139"/>
      <c r="O44" s="138" t="e">
        <f>+BK!O8</f>
        <v>#REF!</v>
      </c>
      <c r="Q44" s="113"/>
      <c r="R44" s="113"/>
    </row>
    <row r="45" spans="2:19" s="90" customFormat="1" x14ac:dyDescent="0.25"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9"/>
      <c r="O45" s="118"/>
      <c r="Q45" s="113"/>
      <c r="R45" s="113"/>
    </row>
    <row r="46" spans="2:19" s="90" customFormat="1" x14ac:dyDescent="0.25"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25"/>
      <c r="O46" s="118"/>
      <c r="Q46" s="113"/>
      <c r="R46" s="113"/>
    </row>
    <row r="48" spans="2:19" x14ac:dyDescent="0.25">
      <c r="C48" s="28">
        <v>4</v>
      </c>
    </row>
    <row r="49" spans="2:15" x14ac:dyDescent="0.25">
      <c r="B49" s="108"/>
      <c r="C49" s="108"/>
    </row>
    <row r="50" spans="2:15" x14ac:dyDescent="0.25">
      <c r="B50" s="104" t="s">
        <v>448</v>
      </c>
      <c r="C50" s="104"/>
      <c r="D50" s="62" t="s">
        <v>447</v>
      </c>
      <c r="E50" s="62"/>
      <c r="F50" s="62"/>
      <c r="G50" s="62"/>
      <c r="H50" s="62"/>
      <c r="I50" s="62"/>
      <c r="J50" s="62"/>
      <c r="K50" s="110"/>
      <c r="L50" s="110"/>
      <c r="M50" s="110"/>
      <c r="N50" s="111" t="s">
        <v>447</v>
      </c>
      <c r="O50" s="110"/>
    </row>
    <row r="51" spans="2:15" x14ac:dyDescent="0.25">
      <c r="B51" s="104"/>
      <c r="C51" s="104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1"/>
      <c r="O51" s="110"/>
    </row>
    <row r="52" spans="2:15" x14ac:dyDescent="0.25">
      <c r="B52" s="91"/>
      <c r="C52" s="91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12"/>
      <c r="O52" s="100"/>
    </row>
  </sheetData>
  <phoneticPr fontId="3" type="noConversion"/>
  <pageMargins left="0.59" right="0.59" top="0.81" bottom="0.67" header="0.5" footer="0.5"/>
  <pageSetup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>
      <selection activeCell="H37" sqref="H37"/>
    </sheetView>
  </sheetViews>
  <sheetFormatPr defaultRowHeight="12.75" x14ac:dyDescent="0.2"/>
  <cols>
    <col min="1" max="1" width="4.28515625" style="65" customWidth="1"/>
    <col min="2" max="2" width="35.28515625" style="65" customWidth="1"/>
    <col min="3" max="3" width="9.85546875" style="65" bestFit="1" customWidth="1"/>
    <col min="4" max="4" width="11.7109375" style="65" customWidth="1"/>
    <col min="5" max="5" width="9.7109375" style="65" customWidth="1"/>
    <col min="6" max="6" width="12.5703125" style="65" customWidth="1"/>
    <col min="7" max="7" width="13.140625" style="65" customWidth="1"/>
    <col min="8" max="8" width="10.42578125" style="65" bestFit="1" customWidth="1"/>
    <col min="9" max="9" width="9.85546875" style="65" bestFit="1" customWidth="1"/>
    <col min="10" max="10" width="11.140625" style="65" customWidth="1"/>
    <col min="11" max="11" width="12" style="65" bestFit="1" customWidth="1"/>
    <col min="12" max="16384" width="9.140625" style="65"/>
  </cols>
  <sheetData>
    <row r="1" spans="1:11" ht="15.75" x14ac:dyDescent="0.25">
      <c r="A1" s="28" t="s">
        <v>683</v>
      </c>
    </row>
    <row r="2" spans="1:11" ht="16.5" x14ac:dyDescent="0.25">
      <c r="A2" s="11" t="s">
        <v>702</v>
      </c>
    </row>
    <row r="3" spans="1:11" ht="16.5" x14ac:dyDescent="0.25">
      <c r="A3" s="11" t="s">
        <v>97</v>
      </c>
    </row>
    <row r="5" spans="1:11" ht="13.5" thickBot="1" x14ac:dyDescent="0.25">
      <c r="B5" s="540"/>
      <c r="C5" s="541" t="s">
        <v>449</v>
      </c>
      <c r="D5" s="541"/>
      <c r="E5" s="541"/>
      <c r="F5" s="541"/>
      <c r="G5" s="541"/>
      <c r="H5" s="541"/>
      <c r="I5" s="541"/>
      <c r="J5" s="64"/>
      <c r="K5" s="142"/>
    </row>
    <row r="6" spans="1:11" ht="63" customHeight="1" thickBot="1" x14ac:dyDescent="0.25">
      <c r="B6" s="540"/>
      <c r="C6" s="331" t="s">
        <v>93</v>
      </c>
      <c r="D6" s="331" t="s">
        <v>450</v>
      </c>
      <c r="E6" s="331" t="s">
        <v>451</v>
      </c>
      <c r="F6" s="331" t="s">
        <v>452</v>
      </c>
      <c r="G6" s="331" t="s">
        <v>453</v>
      </c>
      <c r="H6" s="331" t="s">
        <v>454</v>
      </c>
      <c r="I6" s="331" t="s">
        <v>2</v>
      </c>
      <c r="J6" s="332" t="s">
        <v>455</v>
      </c>
      <c r="K6" s="333" t="s">
        <v>2</v>
      </c>
    </row>
    <row r="7" spans="1:11" ht="26.25" customHeight="1" thickBot="1" x14ac:dyDescent="0.25">
      <c r="A7" s="65" t="s">
        <v>469</v>
      </c>
      <c r="B7" s="330" t="s">
        <v>703</v>
      </c>
      <c r="C7" s="337">
        <v>100000</v>
      </c>
      <c r="D7" s="149"/>
      <c r="E7" s="149"/>
      <c r="F7" s="149">
        <v>0</v>
      </c>
      <c r="G7" s="149"/>
      <c r="H7" s="149">
        <f>+BK!E69</f>
        <v>661126.75</v>
      </c>
      <c r="I7" s="149">
        <f>+C7+H7+F7</f>
        <v>761126.75</v>
      </c>
      <c r="J7" s="150"/>
      <c r="K7" s="151">
        <f>+I7</f>
        <v>761126.75</v>
      </c>
    </row>
    <row r="8" spans="1:11" x14ac:dyDescent="0.2">
      <c r="A8" s="65" t="s">
        <v>164</v>
      </c>
      <c r="B8" s="68" t="s">
        <v>456</v>
      </c>
      <c r="C8" s="334"/>
      <c r="D8" s="334"/>
      <c r="E8" s="334"/>
      <c r="F8" s="334"/>
      <c r="G8" s="334"/>
      <c r="H8" s="334"/>
      <c r="I8" s="334"/>
      <c r="J8" s="335"/>
      <c r="K8" s="336"/>
    </row>
    <row r="9" spans="1:11" x14ac:dyDescent="0.2">
      <c r="A9" s="65" t="s">
        <v>166</v>
      </c>
      <c r="B9" s="68" t="s">
        <v>457</v>
      </c>
      <c r="C9" s="67"/>
      <c r="D9" s="67"/>
      <c r="E9" s="67"/>
      <c r="F9" s="67"/>
      <c r="G9" s="67"/>
      <c r="H9" s="67"/>
      <c r="I9" s="67"/>
      <c r="J9" s="141"/>
      <c r="K9" s="143"/>
    </row>
    <row r="10" spans="1:11" ht="25.5" x14ac:dyDescent="0.2">
      <c r="A10" s="65">
        <v>1</v>
      </c>
      <c r="B10" s="68" t="s">
        <v>458</v>
      </c>
      <c r="C10" s="67"/>
      <c r="D10" s="67"/>
      <c r="E10" s="67"/>
      <c r="F10" s="67"/>
      <c r="G10" s="67"/>
      <c r="H10" s="67"/>
      <c r="I10" s="67"/>
      <c r="J10" s="141"/>
      <c r="K10" s="143"/>
    </row>
    <row r="11" spans="1:11" ht="38.25" x14ac:dyDescent="0.2">
      <c r="A11" s="65">
        <v>2</v>
      </c>
      <c r="B11" s="68" t="s">
        <v>459</v>
      </c>
      <c r="C11" s="67"/>
      <c r="D11" s="67"/>
      <c r="E11" s="67"/>
      <c r="F11" s="67"/>
      <c r="G11" s="67"/>
      <c r="H11" s="67"/>
      <c r="I11" s="67"/>
      <c r="J11" s="141"/>
      <c r="K11" s="143"/>
    </row>
    <row r="12" spans="1:11" x14ac:dyDescent="0.2">
      <c r="A12" s="65">
        <v>3</v>
      </c>
      <c r="B12" s="68" t="s">
        <v>460</v>
      </c>
      <c r="C12" s="67"/>
      <c r="D12" s="67"/>
      <c r="E12" s="67"/>
      <c r="F12" s="67"/>
      <c r="G12" s="67"/>
      <c r="H12" s="67">
        <f>+BK!E70</f>
        <v>3069412.05</v>
      </c>
      <c r="I12" s="67">
        <f>+C12+H12+F12</f>
        <v>3069412.05</v>
      </c>
      <c r="J12" s="141"/>
      <c r="K12" s="143">
        <f>+H12</f>
        <v>3069412.05</v>
      </c>
    </row>
    <row r="13" spans="1:11" x14ac:dyDescent="0.2">
      <c r="A13" s="65">
        <v>4</v>
      </c>
      <c r="B13" s="68" t="s">
        <v>461</v>
      </c>
      <c r="C13" s="67"/>
      <c r="D13" s="67"/>
      <c r="E13" s="67"/>
      <c r="F13" s="67"/>
      <c r="G13" s="67"/>
      <c r="H13" s="67">
        <v>0</v>
      </c>
      <c r="I13" s="67">
        <f>+H13</f>
        <v>0</v>
      </c>
      <c r="J13" s="141"/>
      <c r="K13" s="143">
        <f>+H13</f>
        <v>0</v>
      </c>
    </row>
    <row r="14" spans="1:11" ht="25.5" x14ac:dyDescent="0.2">
      <c r="A14" s="65">
        <v>5</v>
      </c>
      <c r="B14" s="68" t="s">
        <v>462</v>
      </c>
      <c r="C14" s="67"/>
      <c r="D14" s="67"/>
      <c r="E14" s="67"/>
      <c r="F14" s="67"/>
      <c r="G14" s="67"/>
      <c r="H14" s="67"/>
      <c r="I14" s="67"/>
      <c r="J14" s="141"/>
      <c r="K14" s="143"/>
    </row>
    <row r="15" spans="1:11" ht="13.5" thickBot="1" x14ac:dyDescent="0.25">
      <c r="A15" s="65">
        <v>6</v>
      </c>
      <c r="B15" s="68" t="s">
        <v>463</v>
      </c>
      <c r="C15" s="145"/>
      <c r="D15" s="145"/>
      <c r="E15" s="145"/>
      <c r="F15" s="145"/>
      <c r="G15" s="145"/>
      <c r="H15" s="145"/>
      <c r="I15" s="145"/>
      <c r="J15" s="146"/>
      <c r="K15" s="147">
        <f>SUM(C15:H15)</f>
        <v>0</v>
      </c>
    </row>
    <row r="16" spans="1:11" ht="13.5" thickBot="1" x14ac:dyDescent="0.25">
      <c r="A16" s="65" t="s">
        <v>142</v>
      </c>
      <c r="B16" s="330" t="s">
        <v>653</v>
      </c>
      <c r="C16" s="337">
        <f>SUM(C7:C15)</f>
        <v>100000</v>
      </c>
      <c r="D16" s="149"/>
      <c r="E16" s="149"/>
      <c r="F16" s="149">
        <f>SUM(F7:F15)</f>
        <v>0</v>
      </c>
      <c r="G16" s="149"/>
      <c r="H16" s="149">
        <f>SUM(H7:H15)</f>
        <v>3730538.8</v>
      </c>
      <c r="I16" s="149">
        <f>+C16+H16+F16</f>
        <v>3830538.8</v>
      </c>
      <c r="J16" s="150"/>
      <c r="K16" s="151">
        <f>+I16</f>
        <v>3830538.8</v>
      </c>
    </row>
    <row r="17" spans="1:11" ht="25.5" x14ac:dyDescent="0.2">
      <c r="A17" s="65">
        <v>1</v>
      </c>
      <c r="B17" s="68" t="s">
        <v>464</v>
      </c>
      <c r="C17" s="334"/>
      <c r="D17" s="334"/>
      <c r="E17" s="334"/>
      <c r="F17" s="334"/>
      <c r="G17" s="334"/>
      <c r="H17" s="334"/>
      <c r="I17" s="334"/>
      <c r="J17" s="335"/>
      <c r="K17" s="336"/>
    </row>
    <row r="18" spans="1:11" ht="38.25" x14ac:dyDescent="0.2">
      <c r="A18" s="65">
        <v>2</v>
      </c>
      <c r="B18" s="68" t="s">
        <v>465</v>
      </c>
      <c r="C18" s="67"/>
      <c r="D18" s="67"/>
      <c r="E18" s="67"/>
      <c r="F18" s="67"/>
      <c r="G18" s="67"/>
      <c r="H18" s="67"/>
      <c r="I18" s="67"/>
      <c r="J18" s="141"/>
      <c r="K18" s="143"/>
    </row>
    <row r="19" spans="1:11" ht="15.75" customHeight="1" x14ac:dyDescent="0.2">
      <c r="A19" s="65">
        <v>3</v>
      </c>
      <c r="B19" s="66" t="s">
        <v>466</v>
      </c>
      <c r="C19" s="67"/>
      <c r="D19" s="67"/>
      <c r="E19" s="67"/>
      <c r="F19" s="67"/>
      <c r="G19" s="67"/>
      <c r="H19" s="67">
        <f>+BK!D70</f>
        <v>1275276.25</v>
      </c>
      <c r="I19" s="67">
        <f>+H19</f>
        <v>1275276.25</v>
      </c>
      <c r="J19" s="141"/>
      <c r="K19" s="143">
        <f>+I19</f>
        <v>1275276.25</v>
      </c>
    </row>
    <row r="20" spans="1:11" x14ac:dyDescent="0.2">
      <c r="A20" s="65">
        <v>4</v>
      </c>
      <c r="B20" s="68" t="s">
        <v>461</v>
      </c>
      <c r="C20" s="67"/>
      <c r="D20" s="67"/>
      <c r="E20" s="67"/>
      <c r="F20" s="67"/>
      <c r="G20" s="67"/>
      <c r="H20" s="67"/>
      <c r="I20" s="67">
        <f>+H20</f>
        <v>0</v>
      </c>
      <c r="J20" s="141"/>
      <c r="K20" s="143">
        <f>+I20</f>
        <v>0</v>
      </c>
    </row>
    <row r="21" spans="1:11" x14ac:dyDescent="0.2">
      <c r="A21" s="65">
        <v>5</v>
      </c>
      <c r="B21" s="68" t="s">
        <v>467</v>
      </c>
      <c r="C21" s="67"/>
      <c r="D21" s="67"/>
      <c r="E21" s="67"/>
      <c r="F21" s="67"/>
      <c r="G21" s="67"/>
      <c r="H21" s="67"/>
      <c r="I21" s="67">
        <f>+C21+F21+H21</f>
        <v>0</v>
      </c>
      <c r="J21" s="141"/>
      <c r="K21" s="143">
        <f>+I21</f>
        <v>0</v>
      </c>
    </row>
    <row r="22" spans="1:11" ht="13.5" thickBot="1" x14ac:dyDescent="0.25">
      <c r="A22" s="65">
        <v>6</v>
      </c>
      <c r="B22" s="144" t="s">
        <v>468</v>
      </c>
      <c r="C22" s="145"/>
      <c r="D22" s="145"/>
      <c r="E22" s="145"/>
      <c r="F22" s="145"/>
      <c r="G22" s="145"/>
      <c r="H22" s="145"/>
      <c r="I22" s="67">
        <f>+H22</f>
        <v>0</v>
      </c>
      <c r="J22" s="146"/>
      <c r="K22" s="143">
        <f>+I22</f>
        <v>0</v>
      </c>
    </row>
    <row r="23" spans="1:11" ht="13.5" thickBot="1" x14ac:dyDescent="0.25">
      <c r="A23" s="65" t="s">
        <v>152</v>
      </c>
      <c r="B23" s="148" t="s">
        <v>704</v>
      </c>
      <c r="C23" s="149">
        <f>SUM(C16:C22)</f>
        <v>100000</v>
      </c>
      <c r="D23" s="149">
        <f>SUM(D16:D22)</f>
        <v>0</v>
      </c>
      <c r="E23" s="149">
        <f>SUM(E16:E22)</f>
        <v>0</v>
      </c>
      <c r="F23" s="149">
        <f>SUM(F16:F22)</f>
        <v>0</v>
      </c>
      <c r="G23" s="149"/>
      <c r="H23" s="149">
        <f>SUM(H16:H22)</f>
        <v>5005815.05</v>
      </c>
      <c r="I23" s="149">
        <f>SUM(I16:I22)</f>
        <v>5105815.05</v>
      </c>
      <c r="J23" s="150"/>
      <c r="K23" s="151">
        <f>SUM(K16:K22)</f>
        <v>5105815.05</v>
      </c>
    </row>
    <row r="25" spans="1:11" x14ac:dyDescent="0.2">
      <c r="F25" s="369">
        <v>5</v>
      </c>
    </row>
    <row r="26" spans="1:11" x14ac:dyDescent="0.2">
      <c r="K26" s="338"/>
    </row>
    <row r="28" spans="1:11" x14ac:dyDescent="0.2">
      <c r="K28" s="269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95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C7" workbookViewId="0">
      <selection activeCell="H37" sqref="H37"/>
    </sheetView>
  </sheetViews>
  <sheetFormatPr defaultRowHeight="12.75" x14ac:dyDescent="0.2"/>
  <cols>
    <col min="1" max="1" width="12.140625" style="65" hidden="1" customWidth="1"/>
    <col min="2" max="2" width="9.42578125" style="65" hidden="1" customWidth="1"/>
    <col min="3" max="3" width="30.7109375" style="65" customWidth="1"/>
    <col min="4" max="4" width="21.28515625" style="65" customWidth="1"/>
    <col min="5" max="5" width="3.5703125" style="65" customWidth="1"/>
    <col min="6" max="6" width="9.7109375" style="65" customWidth="1"/>
    <col min="7" max="7" width="8.42578125" style="65" customWidth="1"/>
    <col min="8" max="8" width="12.140625" style="65" customWidth="1"/>
    <col min="9" max="9" width="13.5703125" style="65" customWidth="1"/>
    <col min="10" max="10" width="15.7109375" style="65" customWidth="1"/>
    <col min="11" max="11" width="9.140625" style="65"/>
    <col min="12" max="12" width="12.28515625" style="65" customWidth="1"/>
    <col min="13" max="17" width="0" style="65" hidden="1" customWidth="1"/>
    <col min="18" max="18" width="9.5703125" style="65" hidden="1" customWidth="1"/>
    <col min="19" max="20" width="0" style="65" hidden="1" customWidth="1"/>
    <col min="21" max="21" width="11.7109375" style="65" bestFit="1" customWidth="1"/>
    <col min="22" max="22" width="9.5703125" style="65" bestFit="1" customWidth="1"/>
    <col min="23" max="16384" width="9.140625" style="65"/>
  </cols>
  <sheetData>
    <row r="1" spans="1:22" ht="15.75" x14ac:dyDescent="0.25">
      <c r="C1" s="28" t="s">
        <v>683</v>
      </c>
    </row>
    <row r="2" spans="1:22" ht="13.5" x14ac:dyDescent="0.25">
      <c r="C2" s="157" t="s">
        <v>517</v>
      </c>
    </row>
    <row r="3" spans="1:22" x14ac:dyDescent="0.2">
      <c r="C3" s="158" t="s">
        <v>705</v>
      </c>
    </row>
    <row r="4" spans="1:22" x14ac:dyDescent="0.2">
      <c r="A4" s="159"/>
      <c r="B4" s="159"/>
      <c r="C4" s="160" t="s">
        <v>97</v>
      </c>
      <c r="D4" s="159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22" x14ac:dyDescent="0.2">
      <c r="A5" s="159"/>
      <c r="B5" s="159"/>
      <c r="C5" s="159"/>
      <c r="D5" s="159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</row>
    <row r="6" spans="1:22" ht="13.5" thickBot="1" x14ac:dyDescent="0.25">
      <c r="A6" s="159"/>
      <c r="B6" s="159"/>
      <c r="C6" s="159"/>
      <c r="D6" s="159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</row>
    <row r="7" spans="1:22" ht="12.75" customHeight="1" x14ac:dyDescent="0.2">
      <c r="A7" s="544"/>
      <c r="B7" s="544"/>
      <c r="C7" s="163" t="s">
        <v>470</v>
      </c>
      <c r="D7" s="164"/>
      <c r="E7" s="165"/>
      <c r="F7" s="166" t="s">
        <v>471</v>
      </c>
      <c r="G7" s="167" t="s">
        <v>472</v>
      </c>
      <c r="H7" s="168" t="s">
        <v>346</v>
      </c>
      <c r="I7" s="167" t="s">
        <v>473</v>
      </c>
      <c r="J7" s="169" t="s">
        <v>538</v>
      </c>
      <c r="K7" s="156" t="s">
        <v>474</v>
      </c>
      <c r="L7" s="170" t="s">
        <v>475</v>
      </c>
      <c r="M7" s="171"/>
      <c r="N7" s="172"/>
      <c r="O7" s="542" t="s">
        <v>476</v>
      </c>
    </row>
    <row r="8" spans="1:22" ht="13.5" thickBot="1" x14ac:dyDescent="0.25">
      <c r="A8" s="162"/>
      <c r="B8" s="162"/>
      <c r="C8" s="173"/>
      <c r="D8" s="174"/>
      <c r="E8" s="165"/>
      <c r="F8" s="175"/>
      <c r="G8" s="176"/>
      <c r="H8" s="176"/>
      <c r="I8" s="176"/>
      <c r="J8" s="268" t="s">
        <v>539</v>
      </c>
      <c r="K8" s="177"/>
      <c r="L8" s="177"/>
      <c r="M8" s="171"/>
      <c r="N8" s="172"/>
      <c r="O8" s="543"/>
    </row>
    <row r="9" spans="1:22" x14ac:dyDescent="0.2">
      <c r="A9" s="162"/>
      <c r="B9" s="162"/>
      <c r="C9" s="162"/>
      <c r="D9" s="162"/>
      <c r="E9" s="165"/>
      <c r="F9" s="178"/>
      <c r="G9" s="178"/>
      <c r="H9" s="179"/>
      <c r="I9" s="178"/>
      <c r="J9" s="179"/>
      <c r="K9" s="179"/>
      <c r="L9" s="171"/>
      <c r="M9" s="171"/>
      <c r="N9" s="172"/>
      <c r="O9" s="180"/>
    </row>
    <row r="10" spans="1:22" x14ac:dyDescent="0.2">
      <c r="A10" s="162"/>
      <c r="B10" s="162"/>
      <c r="C10" s="181"/>
      <c r="D10" s="182"/>
      <c r="E10" s="165"/>
      <c r="F10" s="183"/>
      <c r="G10" s="184"/>
      <c r="H10" s="185"/>
      <c r="I10" s="184"/>
      <c r="J10" s="186"/>
      <c r="K10" s="186"/>
      <c r="L10" s="187"/>
      <c r="M10" s="171"/>
      <c r="N10" s="172"/>
      <c r="O10" s="188"/>
    </row>
    <row r="11" spans="1:22" x14ac:dyDescent="0.2">
      <c r="A11" s="162"/>
      <c r="B11" s="162"/>
      <c r="C11" s="189"/>
      <c r="D11" s="190"/>
      <c r="E11" s="165"/>
      <c r="F11" s="191"/>
      <c r="G11" s="192"/>
      <c r="H11" s="193" t="s">
        <v>535</v>
      </c>
      <c r="I11" s="192"/>
      <c r="J11" s="194"/>
      <c r="K11" s="194"/>
      <c r="L11" s="195"/>
      <c r="M11" s="171"/>
      <c r="N11" s="172"/>
      <c r="O11" s="196"/>
    </row>
    <row r="12" spans="1:22" ht="13.5" thickBot="1" x14ac:dyDescent="0.25">
      <c r="A12" s="162"/>
      <c r="B12" s="162"/>
      <c r="C12" s="189"/>
      <c r="D12" s="190"/>
      <c r="E12" s="197"/>
      <c r="F12" s="198"/>
      <c r="G12" s="199"/>
      <c r="H12" s="200"/>
      <c r="I12" s="199"/>
      <c r="J12" s="201"/>
      <c r="K12" s="201"/>
      <c r="L12" s="202"/>
      <c r="M12" s="171"/>
      <c r="N12" s="172"/>
      <c r="O12" s="203"/>
    </row>
    <row r="13" spans="1:22" ht="13.5" x14ac:dyDescent="0.25">
      <c r="A13" s="204" t="s">
        <v>477</v>
      </c>
      <c r="B13" s="204" t="s">
        <v>478</v>
      </c>
      <c r="C13" s="205" t="s">
        <v>706</v>
      </c>
      <c r="D13" s="206" t="s">
        <v>479</v>
      </c>
      <c r="E13" s="207" t="s">
        <v>480</v>
      </c>
      <c r="F13" s="273"/>
      <c r="G13" s="274"/>
      <c r="H13" s="275"/>
      <c r="I13" s="276">
        <f>+'inv auto'!E13</f>
        <v>0</v>
      </c>
      <c r="J13" s="276">
        <v>4097514</v>
      </c>
      <c r="K13" s="281"/>
      <c r="L13" s="208">
        <f>SUM(F13:K13)</f>
        <v>4097514</v>
      </c>
      <c r="M13" s="209"/>
      <c r="N13" s="210"/>
      <c r="O13" s="208"/>
    </row>
    <row r="14" spans="1:22" ht="13.5" x14ac:dyDescent="0.25">
      <c r="A14" s="204" t="s">
        <v>477</v>
      </c>
      <c r="B14" s="211" t="s">
        <v>481</v>
      </c>
      <c r="C14" s="212" t="s">
        <v>706</v>
      </c>
      <c r="D14" s="213" t="s">
        <v>482</v>
      </c>
      <c r="E14" s="207" t="s">
        <v>480</v>
      </c>
      <c r="F14" s="277"/>
      <c r="G14" s="271"/>
      <c r="H14" s="272"/>
      <c r="I14" s="271">
        <v>131708</v>
      </c>
      <c r="J14" s="271">
        <v>1036684</v>
      </c>
      <c r="K14" s="282"/>
      <c r="L14" s="214">
        <f>SUM(F14:K14)</f>
        <v>1168392</v>
      </c>
      <c r="M14" s="209"/>
      <c r="N14" s="210"/>
      <c r="O14" s="214"/>
      <c r="V14" s="218"/>
    </row>
    <row r="15" spans="1:22" ht="14.25" thickBot="1" x14ac:dyDescent="0.3">
      <c r="A15" s="204" t="s">
        <v>477</v>
      </c>
      <c r="B15" s="211" t="s">
        <v>483</v>
      </c>
      <c r="C15" s="215" t="s">
        <v>706</v>
      </c>
      <c r="D15" s="216" t="s">
        <v>484</v>
      </c>
      <c r="E15" s="207" t="s">
        <v>480</v>
      </c>
      <c r="F15" s="278"/>
      <c r="G15" s="279"/>
      <c r="H15" s="280"/>
      <c r="I15" s="280"/>
      <c r="J15" s="280"/>
      <c r="K15" s="283"/>
      <c r="L15" s="284"/>
      <c r="M15" s="209"/>
      <c r="N15" s="210"/>
      <c r="O15" s="217"/>
      <c r="R15" s="218"/>
    </row>
    <row r="16" spans="1:22" ht="14.25" thickBot="1" x14ac:dyDescent="0.3">
      <c r="A16" s="204"/>
      <c r="B16" s="211"/>
      <c r="C16" s="219"/>
      <c r="D16" s="220"/>
      <c r="E16" s="207"/>
      <c r="F16" s="221"/>
      <c r="G16" s="222"/>
      <c r="H16" s="223"/>
      <c r="I16" s="222"/>
      <c r="J16" s="224"/>
      <c r="K16" s="225"/>
      <c r="L16" s="226"/>
      <c r="M16" s="227"/>
      <c r="N16" s="210"/>
      <c r="O16" s="226"/>
    </row>
    <row r="17" spans="1:22" ht="13.5" x14ac:dyDescent="0.25">
      <c r="A17" s="204" t="s">
        <v>485</v>
      </c>
      <c r="B17" s="204" t="s">
        <v>478</v>
      </c>
      <c r="C17" s="228" t="s">
        <v>707</v>
      </c>
      <c r="D17" s="229" t="s">
        <v>486</v>
      </c>
      <c r="E17" s="207" t="s">
        <v>480</v>
      </c>
      <c r="F17" s="230"/>
      <c r="G17" s="231"/>
      <c r="H17" s="232"/>
      <c r="I17" s="231">
        <v>0</v>
      </c>
      <c r="J17" s="233">
        <v>221455</v>
      </c>
      <c r="K17" s="234"/>
      <c r="L17" s="235">
        <f>SUM(F17:K17)</f>
        <v>221455</v>
      </c>
      <c r="M17" s="227"/>
      <c r="N17" s="210"/>
      <c r="O17" s="208"/>
    </row>
    <row r="18" spans="1:22" ht="13.5" x14ac:dyDescent="0.25">
      <c r="A18" s="204" t="s">
        <v>487</v>
      </c>
      <c r="B18" s="204" t="s">
        <v>478</v>
      </c>
      <c r="C18" s="228" t="s">
        <v>708</v>
      </c>
      <c r="D18" s="229" t="s">
        <v>486</v>
      </c>
      <c r="E18" s="207" t="s">
        <v>488</v>
      </c>
      <c r="F18" s="230"/>
      <c r="G18" s="231"/>
      <c r="H18" s="232"/>
      <c r="I18" s="231"/>
      <c r="J18" s="233"/>
      <c r="K18" s="236"/>
      <c r="L18" s="235">
        <f>SUM(F18:K18)</f>
        <v>0</v>
      </c>
      <c r="M18" s="227"/>
      <c r="N18" s="210"/>
      <c r="O18" s="235"/>
    </row>
    <row r="19" spans="1:22" ht="13.5" x14ac:dyDescent="0.25">
      <c r="A19" s="204" t="s">
        <v>489</v>
      </c>
      <c r="B19" s="204" t="s">
        <v>490</v>
      </c>
      <c r="C19" s="228" t="s">
        <v>491</v>
      </c>
      <c r="D19" s="229"/>
      <c r="E19" s="207" t="s">
        <v>492</v>
      </c>
      <c r="F19" s="230"/>
      <c r="G19" s="231"/>
      <c r="H19" s="232"/>
      <c r="I19" s="231"/>
      <c r="J19" s="233"/>
      <c r="K19" s="234"/>
      <c r="L19" s="235">
        <f>SUM(F19:K19)</f>
        <v>0</v>
      </c>
      <c r="M19" s="227"/>
      <c r="N19" s="210"/>
      <c r="O19" s="235"/>
    </row>
    <row r="20" spans="1:22" ht="13.5" x14ac:dyDescent="0.25">
      <c r="A20" s="204"/>
      <c r="B20" s="204"/>
      <c r="C20" s="228"/>
      <c r="D20" s="229"/>
      <c r="E20" s="207"/>
      <c r="F20" s="230"/>
      <c r="G20" s="231"/>
      <c r="H20" s="232"/>
      <c r="I20" s="231"/>
      <c r="J20" s="233"/>
      <c r="K20" s="234"/>
      <c r="L20" s="235">
        <v>0</v>
      </c>
      <c r="M20" s="227"/>
      <c r="N20" s="210"/>
      <c r="O20" s="235"/>
    </row>
    <row r="21" spans="1:22" ht="13.5" x14ac:dyDescent="0.25">
      <c r="A21" s="204" t="s">
        <v>483</v>
      </c>
      <c r="B21" s="204"/>
      <c r="C21" s="228" t="s">
        <v>493</v>
      </c>
      <c r="D21" s="229"/>
      <c r="E21" s="207" t="s">
        <v>480</v>
      </c>
      <c r="F21" s="230"/>
      <c r="G21" s="231"/>
      <c r="H21" s="232"/>
      <c r="I21" s="231"/>
      <c r="J21" s="233"/>
      <c r="K21" s="234"/>
      <c r="L21" s="235">
        <f>SUM(F21:K21)</f>
        <v>0</v>
      </c>
      <c r="M21" s="227"/>
      <c r="N21" s="210"/>
      <c r="O21" s="235"/>
    </row>
    <row r="22" spans="1:22" ht="13.5" x14ac:dyDescent="0.25">
      <c r="A22" s="204" t="s">
        <v>494</v>
      </c>
      <c r="B22" s="204"/>
      <c r="C22" s="228" t="s">
        <v>495</v>
      </c>
      <c r="D22" s="229"/>
      <c r="E22" s="207" t="s">
        <v>480</v>
      </c>
      <c r="F22" s="230"/>
      <c r="G22" s="231"/>
      <c r="H22" s="231"/>
      <c r="I22" s="231">
        <v>51176</v>
      </c>
      <c r="J22" s="233">
        <v>634312</v>
      </c>
      <c r="K22" s="234"/>
      <c r="L22" s="235">
        <f>SUM(F22:K22)</f>
        <v>685488</v>
      </c>
      <c r="M22" s="227"/>
      <c r="N22" s="210"/>
      <c r="O22" s="214"/>
      <c r="U22" s="338"/>
    </row>
    <row r="23" spans="1:22" ht="13.5" x14ac:dyDescent="0.25">
      <c r="A23" s="204"/>
      <c r="B23" s="204"/>
      <c r="C23" s="228"/>
      <c r="D23" s="229"/>
      <c r="E23" s="207"/>
      <c r="F23" s="230"/>
      <c r="G23" s="231"/>
      <c r="H23" s="232"/>
      <c r="I23" s="231"/>
      <c r="J23" s="233"/>
      <c r="K23" s="234"/>
      <c r="L23" s="235">
        <v>0</v>
      </c>
      <c r="M23" s="227"/>
      <c r="N23" s="210"/>
      <c r="O23" s="235"/>
    </row>
    <row r="24" spans="1:22" ht="13.5" x14ac:dyDescent="0.25">
      <c r="A24" s="204" t="s">
        <v>496</v>
      </c>
      <c r="B24" s="211" t="s">
        <v>481</v>
      </c>
      <c r="C24" s="228" t="s">
        <v>497</v>
      </c>
      <c r="D24" s="229"/>
      <c r="E24" s="207" t="s">
        <v>488</v>
      </c>
      <c r="F24" s="230"/>
      <c r="G24" s="231"/>
      <c r="H24" s="232"/>
      <c r="I24" s="231"/>
      <c r="J24" s="233"/>
      <c r="K24" s="234"/>
      <c r="L24" s="235">
        <f>SUM(F24:K24)</f>
        <v>0</v>
      </c>
      <c r="M24" s="227"/>
      <c r="N24" s="210"/>
      <c r="O24" s="235"/>
    </row>
    <row r="25" spans="1:22" ht="13.5" x14ac:dyDescent="0.25">
      <c r="A25" s="204" t="s">
        <v>496</v>
      </c>
      <c r="B25" s="211" t="s">
        <v>483</v>
      </c>
      <c r="C25" s="228" t="s">
        <v>498</v>
      </c>
      <c r="D25" s="229"/>
      <c r="E25" s="207" t="s">
        <v>488</v>
      </c>
      <c r="F25" s="230"/>
      <c r="G25" s="231"/>
      <c r="H25" s="232"/>
      <c r="I25" s="231"/>
      <c r="J25" s="233"/>
      <c r="K25" s="234"/>
      <c r="L25" s="235">
        <f>SUM(F25:K25)</f>
        <v>0</v>
      </c>
      <c r="M25" s="227"/>
      <c r="N25" s="210"/>
      <c r="O25" s="235"/>
    </row>
    <row r="26" spans="1:22" ht="13.5" x14ac:dyDescent="0.25">
      <c r="A26" s="204" t="s">
        <v>489</v>
      </c>
      <c r="B26" s="204" t="s">
        <v>499</v>
      </c>
      <c r="C26" s="228" t="s">
        <v>500</v>
      </c>
      <c r="D26" s="229"/>
      <c r="E26" s="207" t="s">
        <v>492</v>
      </c>
      <c r="F26" s="230"/>
      <c r="G26" s="231"/>
      <c r="H26" s="232"/>
      <c r="I26" s="231"/>
      <c r="J26" s="233"/>
      <c r="K26" s="234"/>
      <c r="L26" s="235">
        <f>SUM(F26:K26)</f>
        <v>0</v>
      </c>
      <c r="M26" s="227"/>
      <c r="N26" s="210"/>
      <c r="O26" s="235"/>
    </row>
    <row r="27" spans="1:22" ht="14.25" thickBot="1" x14ac:dyDescent="0.3">
      <c r="A27" s="204"/>
      <c r="B27" s="204"/>
      <c r="C27" s="237"/>
      <c r="D27" s="238"/>
      <c r="E27" s="207"/>
      <c r="F27" s="239"/>
      <c r="G27" s="240"/>
      <c r="H27" s="241"/>
      <c r="I27" s="240"/>
      <c r="J27" s="242"/>
      <c r="K27" s="243"/>
      <c r="L27" s="244"/>
      <c r="M27" s="227"/>
      <c r="N27" s="210"/>
      <c r="O27" s="244"/>
    </row>
    <row r="28" spans="1:22" ht="13.5" x14ac:dyDescent="0.25">
      <c r="A28" s="204" t="s">
        <v>501</v>
      </c>
      <c r="B28" s="204" t="s">
        <v>502</v>
      </c>
      <c r="C28" s="245" t="s">
        <v>709</v>
      </c>
      <c r="D28" s="246" t="s">
        <v>479</v>
      </c>
      <c r="E28" s="247"/>
      <c r="F28" s="248">
        <f t="shared" ref="F28:K28" si="0">F13+F17+F18+F19</f>
        <v>0</v>
      </c>
      <c r="G28" s="249">
        <f t="shared" si="0"/>
        <v>0</v>
      </c>
      <c r="H28" s="249">
        <f>H13+H17+H18+H19</f>
        <v>0</v>
      </c>
      <c r="I28" s="249">
        <f t="shared" si="0"/>
        <v>0</v>
      </c>
      <c r="J28" s="250">
        <f t="shared" si="0"/>
        <v>4318969</v>
      </c>
      <c r="K28" s="251">
        <f t="shared" si="0"/>
        <v>0</v>
      </c>
      <c r="L28" s="208">
        <f>SUM(F28:K28)</f>
        <v>4318969</v>
      </c>
      <c r="M28" s="209"/>
      <c r="N28" s="210"/>
      <c r="O28" s="208"/>
      <c r="V28" s="218"/>
    </row>
    <row r="29" spans="1:22" ht="13.5" x14ac:dyDescent="0.25">
      <c r="A29" s="204" t="s">
        <v>501</v>
      </c>
      <c r="B29" s="204" t="s">
        <v>503</v>
      </c>
      <c r="C29" s="252" t="s">
        <v>709</v>
      </c>
      <c r="D29" s="213" t="s">
        <v>482</v>
      </c>
      <c r="E29" s="247"/>
      <c r="F29" s="253">
        <f t="shared" ref="F29:K29" si="1">F14+F22+F24+F26</f>
        <v>0</v>
      </c>
      <c r="G29" s="254">
        <f t="shared" si="1"/>
        <v>0</v>
      </c>
      <c r="H29" s="254">
        <f>H14+H22+H24+H26</f>
        <v>0</v>
      </c>
      <c r="I29" s="254">
        <f t="shared" si="1"/>
        <v>182884</v>
      </c>
      <c r="J29" s="255">
        <f>J14+J22+J24+J26</f>
        <v>1670996</v>
      </c>
      <c r="K29" s="256">
        <f t="shared" si="1"/>
        <v>0</v>
      </c>
      <c r="L29" s="214">
        <f>SUM(F29:K29)</f>
        <v>1853880</v>
      </c>
      <c r="M29" s="209"/>
      <c r="N29" s="210"/>
      <c r="O29" s="214"/>
    </row>
    <row r="30" spans="1:22" ht="13.5" thickBot="1" x14ac:dyDescent="0.25">
      <c r="A30" s="257" t="s">
        <v>501</v>
      </c>
      <c r="B30" s="204" t="s">
        <v>504</v>
      </c>
      <c r="C30" s="258" t="s">
        <v>709</v>
      </c>
      <c r="D30" s="259" t="s">
        <v>505</v>
      </c>
      <c r="E30" s="260"/>
      <c r="F30" s="261">
        <f t="shared" ref="F30:K30" si="2">F28-F29</f>
        <v>0</v>
      </c>
      <c r="G30" s="262">
        <f t="shared" si="2"/>
        <v>0</v>
      </c>
      <c r="H30" s="262">
        <f t="shared" si="2"/>
        <v>0</v>
      </c>
      <c r="I30" s="262">
        <f t="shared" si="2"/>
        <v>-182884</v>
      </c>
      <c r="J30" s="263">
        <f t="shared" si="2"/>
        <v>2647973</v>
      </c>
      <c r="K30" s="264">
        <f t="shared" si="2"/>
        <v>0</v>
      </c>
      <c r="L30" s="217">
        <f>L28-L29</f>
        <v>2465089</v>
      </c>
      <c r="M30" s="209"/>
      <c r="N30" s="210"/>
      <c r="O30" s="217"/>
    </row>
    <row r="31" spans="1:22" x14ac:dyDescent="0.2">
      <c r="A31" s="265"/>
      <c r="B31" s="265"/>
      <c r="C31" s="265"/>
      <c r="D31" s="265"/>
      <c r="E31" s="210"/>
      <c r="F31" s="210"/>
      <c r="G31" s="210"/>
      <c r="H31" s="210"/>
      <c r="I31" s="210"/>
      <c r="J31" s="210"/>
      <c r="K31" s="210"/>
      <c r="L31" s="210"/>
      <c r="M31" s="210"/>
      <c r="N31" s="161"/>
      <c r="O31" s="161"/>
    </row>
    <row r="32" spans="1:22" x14ac:dyDescent="0.2">
      <c r="A32" s="265"/>
      <c r="B32" s="265"/>
      <c r="C32" s="265"/>
      <c r="D32" s="265"/>
      <c r="E32" s="210"/>
      <c r="F32" s="210"/>
      <c r="G32" s="210"/>
      <c r="H32" s="210"/>
      <c r="I32" s="210"/>
      <c r="J32" s="210"/>
      <c r="K32" s="210"/>
      <c r="L32" s="266"/>
      <c r="M32" s="266"/>
      <c r="N32" s="161"/>
      <c r="O32" s="161"/>
    </row>
    <row r="33" spans="1:15" x14ac:dyDescent="0.2">
      <c r="A33" s="265"/>
      <c r="B33" s="265"/>
      <c r="C33" s="265"/>
      <c r="D33" s="265"/>
      <c r="E33" s="210"/>
      <c r="F33" s="210"/>
      <c r="G33" s="370">
        <v>6</v>
      </c>
      <c r="H33" s="210"/>
      <c r="I33" s="210"/>
      <c r="J33" s="266"/>
      <c r="K33" s="210"/>
      <c r="L33" s="266"/>
      <c r="M33" s="266"/>
      <c r="N33" s="161"/>
      <c r="O33" s="161"/>
    </row>
    <row r="34" spans="1:15" x14ac:dyDescent="0.2">
      <c r="A34" s="159"/>
      <c r="B34" s="159"/>
      <c r="C34" s="159"/>
      <c r="D34" s="159"/>
      <c r="E34" s="161"/>
      <c r="F34" s="161"/>
      <c r="G34" s="161"/>
      <c r="H34" s="161"/>
      <c r="I34" s="161"/>
      <c r="J34" s="267"/>
      <c r="K34" s="161"/>
      <c r="L34" s="161"/>
      <c r="M34" s="161"/>
      <c r="N34" s="161"/>
      <c r="O34" s="161"/>
    </row>
    <row r="35" spans="1:15" x14ac:dyDescent="0.2">
      <c r="A35" s="159"/>
      <c r="B35" s="159"/>
      <c r="C35" s="159"/>
      <c r="D35" s="159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</row>
  </sheetData>
  <mergeCells count="2">
    <mergeCell ref="O7:O8"/>
    <mergeCell ref="A7:B7"/>
  </mergeCells>
  <phoneticPr fontId="3" type="noConversion"/>
  <pageMargins left="0.19685039370078741" right="0.19685039370078741" top="0.98425196850393704" bottom="0.98425196850393704" header="0.51181102362204722" footer="0.51181102362204722"/>
  <pageSetup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H37" sqref="H37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5.75" x14ac:dyDescent="0.25">
      <c r="B1" s="28" t="s">
        <v>654</v>
      </c>
    </row>
    <row r="2" spans="1:9" x14ac:dyDescent="0.2">
      <c r="B2" s="287" t="s">
        <v>655</v>
      </c>
    </row>
    <row r="3" spans="1:9" x14ac:dyDescent="0.2">
      <c r="B3" s="287"/>
    </row>
    <row r="4" spans="1:9" ht="15.75" x14ac:dyDescent="0.25">
      <c r="B4" s="545" t="s">
        <v>710</v>
      </c>
      <c r="C4" s="545"/>
      <c r="D4" s="545"/>
      <c r="E4" s="545"/>
      <c r="F4" s="545"/>
      <c r="G4" s="545"/>
    </row>
    <row r="5" spans="1:9" ht="13.5" thickBot="1" x14ac:dyDescent="0.25"/>
    <row r="6" spans="1:9" x14ac:dyDescent="0.2">
      <c r="A6" s="546" t="s">
        <v>163</v>
      </c>
      <c r="B6" s="548" t="s">
        <v>545</v>
      </c>
      <c r="C6" s="550" t="s">
        <v>546</v>
      </c>
      <c r="D6" s="341" t="s">
        <v>547</v>
      </c>
      <c r="E6" s="550" t="s">
        <v>548</v>
      </c>
      <c r="F6" s="550" t="s">
        <v>549</v>
      </c>
      <c r="G6" s="342" t="s">
        <v>547</v>
      </c>
    </row>
    <row r="7" spans="1:9" ht="13.5" thickBot="1" x14ac:dyDescent="0.25">
      <c r="A7" s="547"/>
      <c r="B7" s="549"/>
      <c r="C7" s="551"/>
      <c r="D7" s="343">
        <v>43466</v>
      </c>
      <c r="E7" s="551"/>
      <c r="F7" s="551"/>
      <c r="G7" s="344">
        <v>43830</v>
      </c>
      <c r="H7" s="288"/>
      <c r="I7" s="288"/>
    </row>
    <row r="8" spans="1:9" x14ac:dyDescent="0.2">
      <c r="A8" s="339">
        <v>1</v>
      </c>
      <c r="B8" s="290" t="s">
        <v>471</v>
      </c>
      <c r="C8" s="339"/>
      <c r="D8" s="340"/>
      <c r="E8" s="340"/>
      <c r="F8" s="340"/>
      <c r="G8" s="340">
        <f t="shared" ref="G8:G16" si="0">D8+E8-F8</f>
        <v>0</v>
      </c>
      <c r="H8" s="288"/>
      <c r="I8" s="288"/>
    </row>
    <row r="9" spans="1:9" x14ac:dyDescent="0.2">
      <c r="A9" s="289">
        <v>2</v>
      </c>
      <c r="B9" s="290" t="s">
        <v>550</v>
      </c>
      <c r="C9" s="289"/>
      <c r="D9" s="291"/>
      <c r="E9" s="291"/>
      <c r="F9" s="291"/>
      <c r="G9" s="291">
        <f t="shared" si="0"/>
        <v>0</v>
      </c>
      <c r="H9" s="292"/>
      <c r="I9" s="293"/>
    </row>
    <row r="10" spans="1:9" x14ac:dyDescent="0.2">
      <c r="A10" s="289">
        <v>3</v>
      </c>
      <c r="B10" s="294" t="s">
        <v>551</v>
      </c>
      <c r="C10" s="289"/>
      <c r="D10" s="291"/>
      <c r="E10" s="291"/>
      <c r="F10" s="291"/>
      <c r="G10" s="291">
        <f t="shared" si="0"/>
        <v>0</v>
      </c>
      <c r="H10" s="292"/>
      <c r="I10" s="293"/>
    </row>
    <row r="11" spans="1:9" x14ac:dyDescent="0.2">
      <c r="A11" s="289">
        <v>4</v>
      </c>
      <c r="B11" s="294" t="s">
        <v>552</v>
      </c>
      <c r="C11" s="289"/>
      <c r="D11" s="291">
        <f>+'Aq&amp;AM'!I13</f>
        <v>0</v>
      </c>
      <c r="E11" s="291"/>
      <c r="F11" s="291"/>
      <c r="G11" s="291">
        <f t="shared" si="0"/>
        <v>0</v>
      </c>
      <c r="H11" s="292"/>
      <c r="I11" s="293"/>
    </row>
    <row r="12" spans="1:9" x14ac:dyDescent="0.2">
      <c r="A12" s="289">
        <v>5</v>
      </c>
      <c r="B12" s="294" t="s">
        <v>685</v>
      </c>
      <c r="C12" s="289"/>
      <c r="D12" s="291">
        <f>+'Aq&amp;AM'!J13</f>
        <v>4097514</v>
      </c>
      <c r="E12" s="311">
        <f>+'Aq&amp;AM'!J17</f>
        <v>221455</v>
      </c>
      <c r="F12" s="291"/>
      <c r="G12" s="291">
        <f t="shared" si="0"/>
        <v>4318969</v>
      </c>
      <c r="H12" s="292"/>
      <c r="I12" s="293"/>
    </row>
    <row r="13" spans="1:9" x14ac:dyDescent="0.2">
      <c r="A13" s="289">
        <v>6</v>
      </c>
      <c r="B13" s="294"/>
      <c r="C13" s="289"/>
      <c r="D13" s="291"/>
      <c r="E13" s="291"/>
      <c r="F13" s="291"/>
      <c r="G13" s="291">
        <f t="shared" si="0"/>
        <v>0</v>
      </c>
      <c r="H13" s="292"/>
      <c r="I13" s="293"/>
    </row>
    <row r="14" spans="1:9" x14ac:dyDescent="0.2">
      <c r="A14" s="289">
        <v>7</v>
      </c>
      <c r="B14" s="295"/>
      <c r="C14" s="289"/>
      <c r="D14" s="291"/>
      <c r="E14" s="291"/>
      <c r="F14" s="291"/>
      <c r="G14" s="291">
        <f t="shared" si="0"/>
        <v>0</v>
      </c>
      <c r="H14" s="288"/>
      <c r="I14" s="288"/>
    </row>
    <row r="15" spans="1:9" x14ac:dyDescent="0.2">
      <c r="A15" s="289">
        <v>8</v>
      </c>
      <c r="B15" s="295"/>
      <c r="C15" s="289"/>
      <c r="D15" s="291"/>
      <c r="E15" s="291"/>
      <c r="F15" s="291"/>
      <c r="G15" s="291">
        <f t="shared" si="0"/>
        <v>0</v>
      </c>
      <c r="H15" s="288"/>
      <c r="I15" s="288"/>
    </row>
    <row r="16" spans="1:9" ht="13.5" thickBot="1" x14ac:dyDescent="0.25">
      <c r="A16" s="289">
        <v>9</v>
      </c>
      <c r="B16" s="297"/>
      <c r="C16" s="296"/>
      <c r="D16" s="298"/>
      <c r="E16" s="298"/>
      <c r="F16" s="298"/>
      <c r="G16" s="298">
        <f t="shared" si="0"/>
        <v>0</v>
      </c>
      <c r="H16" s="288"/>
      <c r="I16" s="288"/>
    </row>
    <row r="17" spans="1:9" ht="13.5" thickBot="1" x14ac:dyDescent="0.25">
      <c r="A17" s="299"/>
      <c r="B17" s="300" t="s">
        <v>553</v>
      </c>
      <c r="C17" s="301"/>
      <c r="D17" s="302">
        <f>SUM(D8:D16)</f>
        <v>4097514</v>
      </c>
      <c r="E17" s="302">
        <f>SUM(E8:E16)</f>
        <v>221455</v>
      </c>
      <c r="F17" s="302">
        <f>SUM(F8:F16)</f>
        <v>0</v>
      </c>
      <c r="G17" s="303">
        <f>SUM(G8:G16)</f>
        <v>4318969</v>
      </c>
      <c r="I17" s="304"/>
    </row>
    <row r="20" spans="1:9" ht="15.75" x14ac:dyDescent="0.25">
      <c r="B20" s="545" t="s">
        <v>711</v>
      </c>
      <c r="C20" s="545"/>
      <c r="D20" s="545"/>
      <c r="E20" s="545"/>
      <c r="F20" s="545"/>
      <c r="G20" s="545"/>
      <c r="I20" s="304"/>
    </row>
    <row r="21" spans="1:9" ht="13.5" thickBot="1" x14ac:dyDescent="0.25"/>
    <row r="22" spans="1:9" x14ac:dyDescent="0.2">
      <c r="A22" s="546" t="s">
        <v>163</v>
      </c>
      <c r="B22" s="548" t="s">
        <v>545</v>
      </c>
      <c r="C22" s="550" t="s">
        <v>546</v>
      </c>
      <c r="D22" s="341" t="s">
        <v>547</v>
      </c>
      <c r="E22" s="550" t="s">
        <v>548</v>
      </c>
      <c r="F22" s="550" t="s">
        <v>549</v>
      </c>
      <c r="G22" s="342" t="s">
        <v>547</v>
      </c>
    </row>
    <row r="23" spans="1:9" ht="13.5" thickBot="1" x14ac:dyDescent="0.25">
      <c r="A23" s="547"/>
      <c r="B23" s="549"/>
      <c r="C23" s="551"/>
      <c r="D23" s="343">
        <f>+D7</f>
        <v>43466</v>
      </c>
      <c r="E23" s="551"/>
      <c r="F23" s="551"/>
      <c r="G23" s="344">
        <f>+G7</f>
        <v>43830</v>
      </c>
    </row>
    <row r="24" spans="1:9" x14ac:dyDescent="0.2">
      <c r="A24" s="426">
        <v>1</v>
      </c>
      <c r="B24" s="309" t="s">
        <v>471</v>
      </c>
      <c r="C24" s="339"/>
      <c r="D24" s="340"/>
      <c r="E24" s="340"/>
      <c r="F24" s="340"/>
      <c r="G24" s="427">
        <f>D24+E24</f>
        <v>0</v>
      </c>
    </row>
    <row r="25" spans="1:9" x14ac:dyDescent="0.2">
      <c r="A25" s="422">
        <v>2</v>
      </c>
      <c r="B25" s="309" t="s">
        <v>550</v>
      </c>
      <c r="C25" s="289"/>
      <c r="D25" s="291"/>
      <c r="E25" s="291"/>
      <c r="F25" s="291"/>
      <c r="G25" s="423">
        <f>D25+E25</f>
        <v>0</v>
      </c>
    </row>
    <row r="26" spans="1:9" x14ac:dyDescent="0.2">
      <c r="A26" s="422">
        <v>3</v>
      </c>
      <c r="B26" s="294" t="s">
        <v>554</v>
      </c>
      <c r="C26" s="289"/>
      <c r="D26" s="291"/>
      <c r="E26" s="312"/>
      <c r="F26" s="291"/>
      <c r="G26" s="423">
        <f>D26+E26-F26</f>
        <v>0</v>
      </c>
    </row>
    <row r="27" spans="1:9" x14ac:dyDescent="0.2">
      <c r="A27" s="422">
        <v>4</v>
      </c>
      <c r="B27" s="294" t="s">
        <v>552</v>
      </c>
      <c r="C27" s="289"/>
      <c r="D27" s="291">
        <f>+'Aq&amp;AM'!I14</f>
        <v>131708</v>
      </c>
      <c r="E27" s="313">
        <f>+'Aq&amp;AM'!I22</f>
        <v>51176</v>
      </c>
      <c r="F27" s="291">
        <v>0</v>
      </c>
      <c r="G27" s="423">
        <f>D27+E27</f>
        <v>182884</v>
      </c>
    </row>
    <row r="28" spans="1:9" x14ac:dyDescent="0.2">
      <c r="A28" s="422">
        <v>5</v>
      </c>
      <c r="B28" s="294" t="s">
        <v>556</v>
      </c>
      <c r="C28" s="289"/>
      <c r="D28" s="291">
        <f>+'Aq&amp;AM'!J14</f>
        <v>1036684</v>
      </c>
      <c r="E28" s="312">
        <f>+'Aq&amp;AM'!J22</f>
        <v>634312</v>
      </c>
      <c r="F28" s="291">
        <v>0</v>
      </c>
      <c r="G28" s="423">
        <f>D28+E28-F28</f>
        <v>1670996</v>
      </c>
    </row>
    <row r="29" spans="1:9" x14ac:dyDescent="0.2">
      <c r="A29" s="422">
        <v>1</v>
      </c>
      <c r="B29" s="294"/>
      <c r="C29" s="289"/>
      <c r="D29" s="291"/>
      <c r="E29" s="291"/>
      <c r="F29" s="291"/>
      <c r="G29" s="423"/>
    </row>
    <row r="30" spans="1:9" x14ac:dyDescent="0.2">
      <c r="A30" s="422">
        <v>2</v>
      </c>
      <c r="B30" s="295"/>
      <c r="C30" s="289"/>
      <c r="D30" s="291"/>
      <c r="E30" s="291"/>
      <c r="F30" s="291"/>
      <c r="G30" s="423">
        <f>D30+E30-F30</f>
        <v>0</v>
      </c>
    </row>
    <row r="31" spans="1:9" x14ac:dyDescent="0.2">
      <c r="A31" s="422">
        <v>3</v>
      </c>
      <c r="B31" s="295"/>
      <c r="C31" s="289"/>
      <c r="D31" s="291"/>
      <c r="E31" s="291"/>
      <c r="F31" s="291"/>
      <c r="G31" s="423">
        <f>D31+E31-F31</f>
        <v>0</v>
      </c>
    </row>
    <row r="32" spans="1:9" ht="13.5" thickBot="1" x14ac:dyDescent="0.25">
      <c r="A32" s="424">
        <v>4</v>
      </c>
      <c r="B32" s="297"/>
      <c r="C32" s="296"/>
      <c r="D32" s="298"/>
      <c r="E32" s="298"/>
      <c r="F32" s="298"/>
      <c r="G32" s="425">
        <f>D32+E32-F32</f>
        <v>0</v>
      </c>
    </row>
    <row r="33" spans="1:14" ht="13.5" thickBot="1" x14ac:dyDescent="0.25">
      <c r="A33" s="299"/>
      <c r="B33" s="300" t="s">
        <v>553</v>
      </c>
      <c r="C33" s="301"/>
      <c r="D33" s="302">
        <f>SUM(D24:D32)</f>
        <v>1168392</v>
      </c>
      <c r="E33" s="302">
        <f>SUM(E24:E32)</f>
        <v>685488</v>
      </c>
      <c r="F33" s="302">
        <f>SUM(F24:F32)</f>
        <v>0</v>
      </c>
      <c r="G33" s="303">
        <f>SUM(G24:G32)</f>
        <v>1853880</v>
      </c>
      <c r="H33" s="305"/>
      <c r="I33" s="304"/>
      <c r="J33" s="304"/>
    </row>
    <row r="34" spans="1:14" x14ac:dyDescent="0.2">
      <c r="G34" s="305"/>
    </row>
    <row r="36" spans="1:14" ht="15.75" x14ac:dyDescent="0.25">
      <c r="B36" s="545" t="s">
        <v>712</v>
      </c>
      <c r="C36" s="545"/>
      <c r="D36" s="545"/>
      <c r="E36" s="545"/>
      <c r="F36" s="545"/>
      <c r="G36" s="545"/>
    </row>
    <row r="37" spans="1:14" ht="13.5" thickBot="1" x14ac:dyDescent="0.25"/>
    <row r="38" spans="1:14" x14ac:dyDescent="0.2">
      <c r="A38" s="546" t="s">
        <v>163</v>
      </c>
      <c r="B38" s="548" t="s">
        <v>545</v>
      </c>
      <c r="C38" s="550" t="s">
        <v>546</v>
      </c>
      <c r="D38" s="341" t="s">
        <v>547</v>
      </c>
      <c r="E38" s="550" t="s">
        <v>548</v>
      </c>
      <c r="F38" s="550" t="s">
        <v>549</v>
      </c>
      <c r="G38" s="342" t="s">
        <v>547</v>
      </c>
    </row>
    <row r="39" spans="1:14" ht="13.5" thickBot="1" x14ac:dyDescent="0.25">
      <c r="A39" s="547"/>
      <c r="B39" s="549"/>
      <c r="C39" s="551"/>
      <c r="D39" s="343">
        <f>+D7</f>
        <v>43466</v>
      </c>
      <c r="E39" s="551"/>
      <c r="F39" s="551"/>
      <c r="G39" s="344">
        <f>+G7</f>
        <v>43830</v>
      </c>
    </row>
    <row r="40" spans="1:14" x14ac:dyDescent="0.2">
      <c r="A40" s="339">
        <v>1</v>
      </c>
      <c r="B40" s="290" t="s">
        <v>471</v>
      </c>
      <c r="C40" s="339"/>
      <c r="D40" s="340"/>
      <c r="E40" s="340"/>
      <c r="F40" s="340"/>
      <c r="G40" s="340">
        <f t="shared" ref="G40:G48" si="1">D40+E40-F40</f>
        <v>0</v>
      </c>
    </row>
    <row r="41" spans="1:14" x14ac:dyDescent="0.2">
      <c r="A41" s="289">
        <v>2</v>
      </c>
      <c r="B41" s="294" t="s">
        <v>550</v>
      </c>
      <c r="C41" s="289"/>
      <c r="D41" s="291"/>
      <c r="E41" s="291"/>
      <c r="F41" s="291"/>
      <c r="G41" s="291">
        <f t="shared" si="1"/>
        <v>0</v>
      </c>
      <c r="M41" s="288"/>
      <c r="N41" s="288"/>
    </row>
    <row r="42" spans="1:14" x14ac:dyDescent="0.2">
      <c r="A42" s="289">
        <v>3</v>
      </c>
      <c r="B42" s="294" t="s">
        <v>554</v>
      </c>
      <c r="C42" s="289"/>
      <c r="D42" s="313">
        <f>+D10-D26</f>
        <v>0</v>
      </c>
      <c r="E42" s="312">
        <f>+E10-E26</f>
        <v>0</v>
      </c>
      <c r="F42" s="313">
        <f>+F10-F26</f>
        <v>0</v>
      </c>
      <c r="G42" s="291">
        <f t="shared" si="1"/>
        <v>0</v>
      </c>
      <c r="M42" s="288"/>
      <c r="N42" s="288"/>
    </row>
    <row r="43" spans="1:14" x14ac:dyDescent="0.2">
      <c r="A43" s="289">
        <v>4</v>
      </c>
      <c r="B43" s="294" t="s">
        <v>552</v>
      </c>
      <c r="C43" s="289"/>
      <c r="D43" s="313">
        <f t="shared" ref="D43:F44" si="2">+D11-D27</f>
        <v>-131708</v>
      </c>
      <c r="E43" s="312">
        <f t="shared" si="2"/>
        <v>-51176</v>
      </c>
      <c r="F43" s="313">
        <f t="shared" si="2"/>
        <v>0</v>
      </c>
      <c r="G43" s="291">
        <f t="shared" si="1"/>
        <v>-182884</v>
      </c>
      <c r="M43" s="288"/>
      <c r="N43" s="288"/>
    </row>
    <row r="44" spans="1:14" x14ac:dyDescent="0.2">
      <c r="A44" s="289">
        <v>5</v>
      </c>
      <c r="B44" s="294" t="s">
        <v>556</v>
      </c>
      <c r="C44" s="289"/>
      <c r="D44" s="313">
        <f t="shared" si="2"/>
        <v>3060830</v>
      </c>
      <c r="E44" s="312">
        <f t="shared" si="2"/>
        <v>-412857</v>
      </c>
      <c r="F44" s="313">
        <f t="shared" si="2"/>
        <v>0</v>
      </c>
      <c r="G44" s="291">
        <f t="shared" si="1"/>
        <v>2647973</v>
      </c>
      <c r="M44" s="288"/>
      <c r="N44" s="288"/>
    </row>
    <row r="45" spans="1:14" x14ac:dyDescent="0.2">
      <c r="A45" s="289">
        <v>1</v>
      </c>
      <c r="B45" s="294"/>
      <c r="C45" s="289"/>
      <c r="D45" s="291"/>
      <c r="E45" s="291"/>
      <c r="F45" s="291"/>
      <c r="G45" s="291">
        <f t="shared" si="1"/>
        <v>0</v>
      </c>
      <c r="M45" s="288"/>
      <c r="N45" s="288"/>
    </row>
    <row r="46" spans="1:14" x14ac:dyDescent="0.2">
      <c r="A46" s="289">
        <v>2</v>
      </c>
      <c r="B46" s="294"/>
      <c r="C46" s="289"/>
      <c r="D46" s="291"/>
      <c r="E46" s="291"/>
      <c r="F46" s="291"/>
      <c r="G46" s="291">
        <f t="shared" si="1"/>
        <v>0</v>
      </c>
      <c r="M46" s="288"/>
      <c r="N46" s="288"/>
    </row>
    <row r="47" spans="1:14" x14ac:dyDescent="0.2">
      <c r="A47" s="289">
        <v>3</v>
      </c>
      <c r="B47" s="295"/>
      <c r="C47" s="289"/>
      <c r="D47" s="291"/>
      <c r="E47" s="291"/>
      <c r="F47" s="291"/>
      <c r="G47" s="291">
        <f t="shared" si="1"/>
        <v>0</v>
      </c>
      <c r="M47" s="288"/>
      <c r="N47" s="288"/>
    </row>
    <row r="48" spans="1:14" ht="13.5" thickBot="1" x14ac:dyDescent="0.25">
      <c r="A48" s="296">
        <v>4</v>
      </c>
      <c r="B48" s="297"/>
      <c r="C48" s="296"/>
      <c r="D48" s="298"/>
      <c r="E48" s="298"/>
      <c r="F48" s="298"/>
      <c r="G48" s="298">
        <f t="shared" si="1"/>
        <v>0</v>
      </c>
      <c r="M48" s="288"/>
      <c r="N48" s="288"/>
    </row>
    <row r="49" spans="1:14" ht="13.5" thickBot="1" x14ac:dyDescent="0.25">
      <c r="A49" s="299"/>
      <c r="B49" s="300" t="s">
        <v>553</v>
      </c>
      <c r="C49" s="301"/>
      <c r="D49" s="302">
        <f>SUM(D40:D48)</f>
        <v>2929122</v>
      </c>
      <c r="E49" s="302">
        <f>SUM(E40:E48)</f>
        <v>-464033</v>
      </c>
      <c r="F49" s="302">
        <f>SUM(F40:F48)</f>
        <v>0</v>
      </c>
      <c r="G49" s="303">
        <f>SUM(G40:G48)</f>
        <v>2465089</v>
      </c>
      <c r="I49" s="305"/>
      <c r="J49" s="304"/>
      <c r="M49" s="306"/>
      <c r="N49" s="288"/>
    </row>
    <row r="50" spans="1:14" s="288" customFormat="1" x14ac:dyDescent="0.2">
      <c r="F50" s="293"/>
      <c r="G50" s="307"/>
      <c r="J50" s="293"/>
    </row>
    <row r="51" spans="1:14" x14ac:dyDescent="0.2">
      <c r="D51" s="304"/>
      <c r="G51" s="304"/>
      <c r="I51" s="305"/>
      <c r="M51" s="288"/>
      <c r="N51" s="288"/>
    </row>
    <row r="52" spans="1:14" x14ac:dyDescent="0.2">
      <c r="C52" s="308">
        <v>7</v>
      </c>
      <c r="D52" s="304"/>
      <c r="G52" s="304"/>
      <c r="I52" s="304"/>
      <c r="M52" s="288"/>
      <c r="N52" s="288"/>
    </row>
    <row r="53" spans="1:14" ht="15.75" x14ac:dyDescent="0.25">
      <c r="E53" s="552" t="s">
        <v>555</v>
      </c>
      <c r="F53" s="552"/>
      <c r="G53" s="552"/>
      <c r="M53" s="288"/>
      <c r="N53" s="288"/>
    </row>
    <row r="54" spans="1:14" x14ac:dyDescent="0.2">
      <c r="E54" s="553" t="s">
        <v>684</v>
      </c>
      <c r="F54" s="553"/>
      <c r="G54" s="553"/>
    </row>
  </sheetData>
  <mergeCells count="20">
    <mergeCell ref="E53:G53"/>
    <mergeCell ref="E54:G54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ageMargins left="0.7" right="0.7" top="0.43" bottom="0.75" header="0.24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H37" sqref="H37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4" width="27.140625" customWidth="1"/>
    <col min="5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5.75" x14ac:dyDescent="0.25">
      <c r="A1" s="28" t="s">
        <v>654</v>
      </c>
    </row>
    <row r="2" spans="1:13" x14ac:dyDescent="0.2">
      <c r="A2" s="287" t="s">
        <v>655</v>
      </c>
    </row>
    <row r="3" spans="1:13" ht="18" x14ac:dyDescent="0.25">
      <c r="A3" s="318" t="s">
        <v>557</v>
      </c>
      <c r="F3" s="324" t="s">
        <v>713</v>
      </c>
    </row>
    <row r="5" spans="1:13" ht="15.75" x14ac:dyDescent="0.25">
      <c r="A5" s="522" t="s">
        <v>163</v>
      </c>
      <c r="B5" s="523" t="s">
        <v>722</v>
      </c>
      <c r="C5" s="523" t="s">
        <v>723</v>
      </c>
      <c r="D5" s="523" t="s">
        <v>724</v>
      </c>
      <c r="E5" s="523" t="s">
        <v>725</v>
      </c>
      <c r="F5" s="523" t="s">
        <v>726</v>
      </c>
      <c r="G5" s="523" t="s">
        <v>727</v>
      </c>
      <c r="H5" s="523" t="s">
        <v>728</v>
      </c>
      <c r="I5" s="523" t="s">
        <v>558</v>
      </c>
      <c r="J5" s="523" t="s">
        <v>729</v>
      </c>
      <c r="K5" s="523" t="s">
        <v>730</v>
      </c>
      <c r="L5" s="523" t="s">
        <v>731</v>
      </c>
      <c r="M5" s="523" t="s">
        <v>732</v>
      </c>
    </row>
    <row r="6" spans="1:13" ht="15.95" customHeight="1" x14ac:dyDescent="0.2">
      <c r="A6" s="319">
        <v>1</v>
      </c>
      <c r="B6" s="320" t="s">
        <v>643</v>
      </c>
      <c r="C6" s="320" t="s">
        <v>733</v>
      </c>
      <c r="D6" s="320" t="s">
        <v>734</v>
      </c>
      <c r="E6" s="320" t="s">
        <v>735</v>
      </c>
      <c r="F6" s="320" t="s">
        <v>676</v>
      </c>
      <c r="G6" s="320" t="s">
        <v>733</v>
      </c>
      <c r="H6" s="320">
        <v>1275043</v>
      </c>
      <c r="I6" s="320" t="s">
        <v>736</v>
      </c>
      <c r="J6" s="524">
        <v>273080</v>
      </c>
      <c r="K6" s="524">
        <v>273080</v>
      </c>
      <c r="L6" s="320">
        <v>2010</v>
      </c>
      <c r="M6" s="525" t="s">
        <v>737</v>
      </c>
    </row>
    <row r="7" spans="1:13" ht="15.95" customHeight="1" x14ac:dyDescent="0.2">
      <c r="A7" s="321">
        <v>2</v>
      </c>
      <c r="B7" s="322" t="s">
        <v>643</v>
      </c>
      <c r="C7" s="322" t="s">
        <v>733</v>
      </c>
      <c r="D7" s="322" t="s">
        <v>738</v>
      </c>
      <c r="E7" s="322" t="s">
        <v>739</v>
      </c>
      <c r="F7" s="322" t="s">
        <v>679</v>
      </c>
      <c r="G7" s="322" t="s">
        <v>733</v>
      </c>
      <c r="H7" s="322">
        <v>1277043</v>
      </c>
      <c r="I7" s="322" t="s">
        <v>740</v>
      </c>
      <c r="J7" s="526">
        <v>132980</v>
      </c>
      <c r="K7" s="526">
        <v>132980</v>
      </c>
      <c r="L7" s="322">
        <v>2006</v>
      </c>
      <c r="M7" s="527" t="s">
        <v>737</v>
      </c>
    </row>
    <row r="8" spans="1:13" ht="15.95" customHeight="1" x14ac:dyDescent="0.2">
      <c r="A8" s="321">
        <v>3</v>
      </c>
      <c r="B8" s="322" t="s">
        <v>643</v>
      </c>
      <c r="C8" s="322" t="s">
        <v>733</v>
      </c>
      <c r="D8" s="322" t="s">
        <v>738</v>
      </c>
      <c r="E8" s="322" t="s">
        <v>741</v>
      </c>
      <c r="F8" s="322" t="s">
        <v>680</v>
      </c>
      <c r="G8" s="322" t="s">
        <v>733</v>
      </c>
      <c r="H8" s="322">
        <v>1279481</v>
      </c>
      <c r="I8" s="322" t="s">
        <v>740</v>
      </c>
      <c r="J8" s="526">
        <v>66820</v>
      </c>
      <c r="K8" s="526">
        <v>66820</v>
      </c>
      <c r="L8" s="322">
        <v>2009</v>
      </c>
      <c r="M8" s="528" t="s">
        <v>737</v>
      </c>
    </row>
    <row r="9" spans="1:13" ht="15.95" customHeight="1" x14ac:dyDescent="0.2">
      <c r="A9" s="321"/>
      <c r="B9" s="529"/>
      <c r="C9" s="529"/>
      <c r="D9" s="529"/>
      <c r="E9" s="529"/>
      <c r="F9" s="529"/>
      <c r="G9" s="529"/>
      <c r="H9" s="529"/>
      <c r="I9" s="529"/>
      <c r="J9" s="322"/>
      <c r="K9" s="322"/>
      <c r="L9" s="530"/>
      <c r="M9" s="528"/>
    </row>
    <row r="10" spans="1:13" ht="15.95" customHeight="1" x14ac:dyDescent="0.2">
      <c r="A10" s="321"/>
      <c r="B10" s="529"/>
      <c r="C10" s="529"/>
      <c r="D10" s="529"/>
      <c r="E10" s="529"/>
      <c r="F10" s="529"/>
      <c r="G10" s="529"/>
      <c r="H10" s="529"/>
      <c r="I10" s="529"/>
      <c r="J10" s="322"/>
      <c r="K10" s="322"/>
      <c r="L10" s="530"/>
      <c r="M10" s="528"/>
    </row>
    <row r="11" spans="1:13" ht="15.95" customHeight="1" x14ac:dyDescent="0.2">
      <c r="A11" s="321"/>
      <c r="B11" s="529"/>
      <c r="C11" s="529"/>
      <c r="D11" s="529"/>
      <c r="E11" s="529"/>
      <c r="F11" s="529"/>
      <c r="G11" s="529"/>
      <c r="H11" s="529"/>
      <c r="I11" s="529"/>
      <c r="J11" s="322"/>
      <c r="K11" s="322"/>
      <c r="L11" s="530"/>
      <c r="M11" s="528"/>
    </row>
    <row r="12" spans="1:13" ht="15.95" customHeight="1" x14ac:dyDescent="0.2">
      <c r="A12" s="321"/>
      <c r="B12" s="529"/>
      <c r="C12" s="529"/>
      <c r="D12" s="529"/>
      <c r="E12" s="529"/>
      <c r="F12" s="529"/>
      <c r="G12" s="529"/>
      <c r="H12" s="529"/>
      <c r="I12" s="529"/>
      <c r="J12" s="322"/>
      <c r="K12" s="322"/>
      <c r="L12" s="530"/>
      <c r="M12" s="528"/>
    </row>
    <row r="13" spans="1:13" ht="15.95" customHeight="1" x14ac:dyDescent="0.2">
      <c r="A13" s="321"/>
      <c r="B13" s="529"/>
      <c r="C13" s="529"/>
      <c r="D13" s="529"/>
      <c r="E13" s="529"/>
      <c r="F13" s="529"/>
      <c r="G13" s="529"/>
      <c r="H13" s="529"/>
      <c r="I13" s="529"/>
      <c r="J13" s="322"/>
      <c r="K13" s="322"/>
      <c r="L13" s="530"/>
      <c r="M13" s="528"/>
    </row>
    <row r="14" spans="1:13" ht="15.95" customHeight="1" x14ac:dyDescent="0.2">
      <c r="A14" s="321"/>
      <c r="B14" s="529"/>
      <c r="C14" s="529"/>
      <c r="D14" s="529"/>
      <c r="E14" s="529"/>
      <c r="F14" s="529"/>
      <c r="G14" s="529"/>
      <c r="H14" s="529"/>
      <c r="I14" s="529"/>
      <c r="J14" s="322"/>
      <c r="K14" s="322"/>
      <c r="L14" s="530"/>
      <c r="M14" s="528"/>
    </row>
    <row r="15" spans="1:13" ht="15.95" customHeight="1" x14ac:dyDescent="0.2">
      <c r="A15" s="321"/>
      <c r="B15" s="529"/>
      <c r="C15" s="529"/>
      <c r="D15" s="529"/>
      <c r="E15" s="529"/>
      <c r="F15" s="529"/>
      <c r="G15" s="529"/>
      <c r="H15" s="529"/>
      <c r="I15" s="529"/>
      <c r="J15" s="322"/>
      <c r="K15" s="322"/>
      <c r="L15" s="530"/>
      <c r="M15" s="528"/>
    </row>
    <row r="16" spans="1:13" ht="15.95" customHeight="1" x14ac:dyDescent="0.2">
      <c r="A16" s="321"/>
      <c r="B16" s="529"/>
      <c r="C16" s="529"/>
      <c r="D16" s="529"/>
      <c r="E16" s="529"/>
      <c r="F16" s="529"/>
      <c r="G16" s="529"/>
      <c r="H16" s="529"/>
      <c r="I16" s="529"/>
      <c r="J16" s="322"/>
      <c r="K16" s="322"/>
      <c r="L16" s="530"/>
      <c r="M16" s="528"/>
    </row>
    <row r="17" spans="1:13" ht="15.95" customHeight="1" x14ac:dyDescent="0.2">
      <c r="A17" s="321"/>
      <c r="B17" s="529"/>
      <c r="C17" s="529"/>
      <c r="D17" s="529"/>
      <c r="E17" s="529"/>
      <c r="F17" s="529"/>
      <c r="G17" s="529"/>
      <c r="H17" s="529"/>
      <c r="I17" s="529"/>
      <c r="J17" s="322"/>
      <c r="K17" s="322"/>
      <c r="L17" s="530"/>
      <c r="M17" s="528"/>
    </row>
    <row r="18" spans="1:13" ht="15.95" customHeight="1" x14ac:dyDescent="0.2">
      <c r="A18" s="321"/>
      <c r="B18" s="529"/>
      <c r="C18" s="529"/>
      <c r="D18" s="529"/>
      <c r="E18" s="529"/>
      <c r="F18" s="529"/>
      <c r="G18" s="529"/>
      <c r="H18" s="529"/>
      <c r="I18" s="529"/>
      <c r="J18" s="322"/>
      <c r="K18" s="322"/>
      <c r="L18" s="530"/>
      <c r="M18" s="528"/>
    </row>
    <row r="19" spans="1:13" ht="15.95" customHeight="1" x14ac:dyDescent="0.2">
      <c r="A19" s="321"/>
      <c r="B19" s="529"/>
      <c r="C19" s="529"/>
      <c r="D19" s="529"/>
      <c r="E19" s="529"/>
      <c r="F19" s="529"/>
      <c r="G19" s="529"/>
      <c r="H19" s="529"/>
      <c r="I19" s="529"/>
      <c r="J19" s="322"/>
      <c r="K19" s="322"/>
      <c r="L19" s="530"/>
      <c r="M19" s="528"/>
    </row>
    <row r="20" spans="1:13" ht="15.95" customHeight="1" x14ac:dyDescent="0.2">
      <c r="A20" s="321"/>
      <c r="B20" s="529"/>
      <c r="C20" s="529"/>
      <c r="D20" s="529"/>
      <c r="E20" s="529"/>
      <c r="F20" s="529"/>
      <c r="G20" s="529"/>
      <c r="H20" s="529"/>
      <c r="I20" s="529"/>
      <c r="J20" s="322"/>
      <c r="K20" s="322"/>
      <c r="L20" s="530"/>
      <c r="M20" s="528"/>
    </row>
    <row r="21" spans="1:13" ht="15.95" customHeight="1" x14ac:dyDescent="0.2">
      <c r="A21" s="321"/>
      <c r="B21" s="529"/>
      <c r="C21" s="529"/>
      <c r="D21" s="529"/>
      <c r="E21" s="529"/>
      <c r="F21" s="529"/>
      <c r="G21" s="529"/>
      <c r="H21" s="529"/>
      <c r="I21" s="529"/>
      <c r="J21" s="322"/>
      <c r="K21" s="322"/>
      <c r="L21" s="530"/>
      <c r="M21" s="528"/>
    </row>
    <row r="22" spans="1:13" ht="15.95" customHeight="1" x14ac:dyDescent="0.2">
      <c r="A22" s="488"/>
      <c r="B22" s="531"/>
      <c r="C22" s="531"/>
      <c r="D22" s="531"/>
      <c r="E22" s="531"/>
      <c r="F22" s="531"/>
      <c r="G22" s="531"/>
      <c r="H22" s="531"/>
      <c r="I22" s="531"/>
      <c r="J22" s="489"/>
      <c r="K22" s="489"/>
      <c r="L22" s="532"/>
      <c r="M22" s="533"/>
    </row>
    <row r="23" spans="1:13" ht="15.95" customHeight="1" thickBot="1" x14ac:dyDescent="0.25">
      <c r="A23" s="486"/>
      <c r="B23" s="534"/>
      <c r="C23" s="534"/>
      <c r="D23" s="534"/>
      <c r="E23" s="534"/>
      <c r="F23" s="534"/>
      <c r="G23" s="534"/>
      <c r="H23" s="534"/>
      <c r="I23" s="534"/>
      <c r="J23" s="535">
        <f>SUM(J6:J22)</f>
        <v>472880</v>
      </c>
      <c r="K23" s="487"/>
      <c r="L23" s="536"/>
      <c r="M23" s="537">
        <f>SUM(M6:M22)</f>
        <v>0</v>
      </c>
    </row>
    <row r="25" spans="1:13" ht="15.75" x14ac:dyDescent="0.25">
      <c r="A25" s="316" t="s">
        <v>559</v>
      </c>
      <c r="J25" s="317"/>
      <c r="K25" s="317"/>
      <c r="L25" s="317"/>
    </row>
    <row r="27" spans="1:13" ht="15" x14ac:dyDescent="0.2">
      <c r="J27" s="317"/>
    </row>
    <row r="32" spans="1:13" x14ac:dyDescent="0.2">
      <c r="J32" s="315">
        <v>8</v>
      </c>
    </row>
  </sheetData>
  <pageMargins left="0.39370078740157483" right="0.70866141732283472" top="0.74803149606299213" bottom="0.74803149606299213" header="0.31496062992125984" footer="0.31496062992125984"/>
  <pageSetup scale="52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"/>
  <sheetViews>
    <sheetView workbookViewId="0">
      <selection activeCell="H37" sqref="H37"/>
    </sheetView>
  </sheetViews>
  <sheetFormatPr defaultColWidth="15.85546875" defaultRowHeight="12.75" x14ac:dyDescent="0.2"/>
  <cols>
    <col min="1" max="1" width="5.5703125" customWidth="1"/>
    <col min="2" max="2" width="29.7109375" customWidth="1"/>
    <col min="3" max="3" width="14" customWidth="1"/>
    <col min="4" max="4" width="7.5703125" customWidth="1"/>
    <col min="5" max="5" width="13.85546875" customWidth="1"/>
    <col min="6" max="6" width="15.140625" customWidth="1"/>
    <col min="7" max="253" width="9.140625" customWidth="1"/>
    <col min="254" max="254" width="10.5703125" customWidth="1"/>
    <col min="255" max="255" width="27.5703125" customWidth="1"/>
  </cols>
  <sheetData>
    <row r="1" spans="1:6" ht="18" x14ac:dyDescent="0.25">
      <c r="B1" s="500" t="s">
        <v>560</v>
      </c>
      <c r="C1" s="323" t="s">
        <v>661</v>
      </c>
      <c r="D1" s="323"/>
    </row>
    <row r="3" spans="1:6" ht="15.75" x14ac:dyDescent="0.25">
      <c r="C3" s="324" t="s">
        <v>713</v>
      </c>
    </row>
    <row r="5" spans="1:6" ht="18" x14ac:dyDescent="0.25">
      <c r="A5" s="317" t="s">
        <v>656</v>
      </c>
    </row>
    <row r="6" spans="1:6" ht="18" x14ac:dyDescent="0.25">
      <c r="A6" s="317" t="s">
        <v>657</v>
      </c>
    </row>
    <row r="7" spans="1:6" ht="18" x14ac:dyDescent="0.25">
      <c r="A7" s="317" t="s">
        <v>658</v>
      </c>
    </row>
    <row r="8" spans="1:6" ht="18" x14ac:dyDescent="0.25">
      <c r="A8" s="317" t="s">
        <v>659</v>
      </c>
    </row>
    <row r="9" spans="1:6" ht="18" x14ac:dyDescent="0.25">
      <c r="A9" s="317" t="s">
        <v>660</v>
      </c>
    </row>
    <row r="10" spans="1:6" ht="13.5" thickBot="1" x14ac:dyDescent="0.25"/>
    <row r="11" spans="1:6" ht="15.75" thickBot="1" x14ac:dyDescent="0.25">
      <c r="A11" s="465" t="s">
        <v>561</v>
      </c>
      <c r="B11" s="466" t="s">
        <v>562</v>
      </c>
      <c r="C11" s="466" t="s">
        <v>563</v>
      </c>
      <c r="D11" s="466" t="s">
        <v>546</v>
      </c>
      <c r="E11" s="466" t="s">
        <v>564</v>
      </c>
      <c r="F11" s="467" t="s">
        <v>565</v>
      </c>
    </row>
    <row r="12" spans="1:6" x14ac:dyDescent="0.2">
      <c r="A12" s="468">
        <v>1</v>
      </c>
      <c r="B12" s="469" t="s">
        <v>662</v>
      </c>
      <c r="C12" s="469" t="s">
        <v>663</v>
      </c>
      <c r="D12" s="469">
        <v>3125</v>
      </c>
      <c r="E12" s="469">
        <v>609</v>
      </c>
      <c r="F12" s="470">
        <f>+D12*E12</f>
        <v>1903125</v>
      </c>
    </row>
    <row r="13" spans="1:6" x14ac:dyDescent="0.2">
      <c r="A13" s="471">
        <v>2</v>
      </c>
      <c r="B13" s="295" t="s">
        <v>664</v>
      </c>
      <c r="C13" s="295" t="s">
        <v>663</v>
      </c>
      <c r="D13" s="295">
        <v>281</v>
      </c>
      <c r="E13" s="295">
        <v>1455</v>
      </c>
      <c r="F13" s="472">
        <f>+D13*E13</f>
        <v>408855</v>
      </c>
    </row>
    <row r="14" spans="1:6" x14ac:dyDescent="0.2">
      <c r="A14" s="471">
        <v>3</v>
      </c>
      <c r="B14" s="295" t="s">
        <v>665</v>
      </c>
      <c r="C14" s="295" t="s">
        <v>663</v>
      </c>
      <c r="D14" s="295">
        <v>139</v>
      </c>
      <c r="E14" s="295">
        <v>55</v>
      </c>
      <c r="F14" s="472">
        <f>+D14*E14</f>
        <v>7645</v>
      </c>
    </row>
    <row r="15" spans="1:6" x14ac:dyDescent="0.2">
      <c r="A15" s="471">
        <v>4</v>
      </c>
      <c r="B15" s="295"/>
      <c r="C15" s="295"/>
      <c r="D15" s="295"/>
      <c r="E15" s="295"/>
      <c r="F15" s="472"/>
    </row>
    <row r="16" spans="1:6" x14ac:dyDescent="0.2">
      <c r="A16" s="471">
        <v>5</v>
      </c>
      <c r="B16" s="295"/>
      <c r="C16" s="295"/>
      <c r="D16" s="295"/>
      <c r="E16" s="295"/>
      <c r="F16" s="472"/>
    </row>
    <row r="17" spans="1:6" x14ac:dyDescent="0.2">
      <c r="A17" s="471">
        <v>6</v>
      </c>
      <c r="B17" s="295"/>
      <c r="C17" s="295"/>
      <c r="D17" s="295"/>
      <c r="E17" s="295"/>
      <c r="F17" s="472"/>
    </row>
    <row r="18" spans="1:6" x14ac:dyDescent="0.2">
      <c r="A18" s="471">
        <v>7</v>
      </c>
      <c r="B18" s="295"/>
      <c r="C18" s="295"/>
      <c r="D18" s="295"/>
      <c r="E18" s="295"/>
      <c r="F18" s="472"/>
    </row>
    <row r="19" spans="1:6" x14ac:dyDescent="0.2">
      <c r="A19" s="471">
        <v>8</v>
      </c>
      <c r="B19" s="295"/>
      <c r="C19" s="295"/>
      <c r="D19" s="295"/>
      <c r="E19" s="295"/>
      <c r="F19" s="472"/>
    </row>
    <row r="20" spans="1:6" x14ac:dyDescent="0.2">
      <c r="A20" s="471">
        <v>9</v>
      </c>
      <c r="B20" s="295"/>
      <c r="C20" s="295"/>
      <c r="D20" s="295"/>
      <c r="E20" s="295"/>
      <c r="F20" s="472"/>
    </row>
    <row r="21" spans="1:6" x14ac:dyDescent="0.2">
      <c r="A21" s="471"/>
      <c r="B21" s="295"/>
      <c r="C21" s="295"/>
      <c r="D21" s="295"/>
      <c r="E21" s="295"/>
      <c r="F21" s="472"/>
    </row>
    <row r="22" spans="1:6" x14ac:dyDescent="0.2">
      <c r="A22" s="471"/>
      <c r="B22" s="295"/>
      <c r="C22" s="295"/>
      <c r="D22" s="295"/>
      <c r="E22" s="295"/>
      <c r="F22" s="472"/>
    </row>
    <row r="23" spans="1:6" x14ac:dyDescent="0.2">
      <c r="A23" s="471"/>
      <c r="B23" s="295"/>
      <c r="C23" s="295"/>
      <c r="D23" s="295"/>
      <c r="E23" s="295"/>
      <c r="F23" s="472"/>
    </row>
    <row r="24" spans="1:6" x14ac:dyDescent="0.2">
      <c r="A24" s="471"/>
      <c r="B24" s="295"/>
      <c r="C24" s="295"/>
      <c r="D24" s="295"/>
      <c r="E24" s="295"/>
      <c r="F24" s="472"/>
    </row>
    <row r="25" spans="1:6" x14ac:dyDescent="0.2">
      <c r="A25" s="471"/>
      <c r="B25" s="295"/>
      <c r="C25" s="295"/>
      <c r="D25" s="295"/>
      <c r="E25" s="295"/>
      <c r="F25" s="472"/>
    </row>
    <row r="26" spans="1:6" x14ac:dyDescent="0.2">
      <c r="A26" s="471"/>
      <c r="B26" s="295"/>
      <c r="C26" s="295"/>
      <c r="D26" s="295"/>
      <c r="E26" s="295"/>
      <c r="F26" s="472"/>
    </row>
    <row r="27" spans="1:6" ht="13.5" thickBot="1" x14ac:dyDescent="0.25">
      <c r="A27" s="473"/>
      <c r="B27" s="474"/>
      <c r="C27" s="474"/>
      <c r="D27" s="474"/>
      <c r="E27" s="474"/>
      <c r="F27" s="475"/>
    </row>
    <row r="28" spans="1:6" ht="19.5" thickBot="1" x14ac:dyDescent="0.35">
      <c r="A28" s="476"/>
      <c r="B28" s="477" t="s">
        <v>566</v>
      </c>
      <c r="C28" s="478"/>
      <c r="D28" s="478"/>
      <c r="E28" s="478"/>
      <c r="F28" s="479">
        <f>SUM(F12:F27)</f>
        <v>2319625</v>
      </c>
    </row>
    <row r="29" spans="1:6" ht="18" x14ac:dyDescent="0.25">
      <c r="A29" s="480"/>
      <c r="B29" s="481"/>
      <c r="C29" s="480"/>
      <c r="D29" s="480"/>
      <c r="E29" s="480"/>
      <c r="F29" s="482"/>
    </row>
    <row r="30" spans="1:6" ht="20.25" x14ac:dyDescent="0.3">
      <c r="D30" s="325" t="s">
        <v>567</v>
      </c>
    </row>
    <row r="33" spans="1:1" x14ac:dyDescent="0.2">
      <c r="A33" s="326" t="s">
        <v>568</v>
      </c>
    </row>
    <row r="34" spans="1:1" x14ac:dyDescent="0.2">
      <c r="A34" s="326" t="s">
        <v>569</v>
      </c>
    </row>
    <row r="49" spans="1:6" ht="18" x14ac:dyDescent="0.25">
      <c r="B49" s="500" t="s">
        <v>560</v>
      </c>
      <c r="C49" s="323" t="s">
        <v>714</v>
      </c>
      <c r="D49" s="323"/>
    </row>
    <row r="51" spans="1:6" ht="15.75" x14ac:dyDescent="0.25">
      <c r="C51" s="324" t="str">
        <f>+C3</f>
        <v>31,12,2019</v>
      </c>
    </row>
    <row r="53" spans="1:6" ht="18" x14ac:dyDescent="0.25">
      <c r="A53" s="317" t="s">
        <v>656</v>
      </c>
    </row>
    <row r="54" spans="1:6" ht="18" x14ac:dyDescent="0.25">
      <c r="A54" s="317" t="s">
        <v>657</v>
      </c>
    </row>
    <row r="55" spans="1:6" ht="18" x14ac:dyDescent="0.25">
      <c r="A55" s="317" t="s">
        <v>658</v>
      </c>
    </row>
    <row r="56" spans="1:6" ht="18" x14ac:dyDescent="0.25">
      <c r="A56" s="317" t="s">
        <v>659</v>
      </c>
    </row>
    <row r="57" spans="1:6" ht="18" x14ac:dyDescent="0.25">
      <c r="A57" s="317" t="s">
        <v>660</v>
      </c>
    </row>
    <row r="58" spans="1:6" ht="13.5" thickBot="1" x14ac:dyDescent="0.25"/>
    <row r="59" spans="1:6" ht="15.75" thickBot="1" x14ac:dyDescent="0.25">
      <c r="A59" s="501" t="s">
        <v>561</v>
      </c>
      <c r="B59" s="502" t="s">
        <v>562</v>
      </c>
      <c r="C59" s="502" t="s">
        <v>563</v>
      </c>
      <c r="D59" s="502" t="s">
        <v>546</v>
      </c>
      <c r="E59" s="502" t="s">
        <v>715</v>
      </c>
      <c r="F59" s="503" t="s">
        <v>565</v>
      </c>
    </row>
    <row r="60" spans="1:6" ht="15" x14ac:dyDescent="0.25">
      <c r="A60" s="504">
        <v>1</v>
      </c>
      <c r="B60" s="505"/>
      <c r="C60" s="506"/>
      <c r="D60" s="507"/>
      <c r="E60" s="507"/>
      <c r="F60" s="508"/>
    </row>
    <row r="61" spans="1:6" ht="15" x14ac:dyDescent="0.25">
      <c r="A61" s="509">
        <v>2</v>
      </c>
      <c r="B61" s="510"/>
      <c r="C61" s="511"/>
      <c r="D61" s="512"/>
      <c r="E61" s="512"/>
      <c r="F61" s="513"/>
    </row>
    <row r="62" spans="1:6" ht="15" x14ac:dyDescent="0.25">
      <c r="A62" s="509">
        <v>3</v>
      </c>
      <c r="B62" s="510"/>
      <c r="C62" s="511"/>
      <c r="D62" s="512"/>
      <c r="E62" s="512"/>
      <c r="F62" s="513"/>
    </row>
    <row r="63" spans="1:6" ht="15" x14ac:dyDescent="0.25">
      <c r="A63" s="509">
        <v>4</v>
      </c>
      <c r="B63" s="510"/>
      <c r="C63" s="511"/>
      <c r="D63" s="512"/>
      <c r="E63" s="512"/>
      <c r="F63" s="513"/>
    </row>
    <row r="64" spans="1:6" ht="15" x14ac:dyDescent="0.25">
      <c r="A64" s="509">
        <v>5</v>
      </c>
      <c r="B64" s="510"/>
      <c r="C64" s="511"/>
      <c r="D64" s="512"/>
      <c r="E64" s="512"/>
      <c r="F64" s="513"/>
    </row>
    <row r="65" spans="1:6" ht="15" x14ac:dyDescent="0.25">
      <c r="A65" s="509">
        <v>6</v>
      </c>
      <c r="B65" s="510"/>
      <c r="C65" s="511"/>
      <c r="D65" s="512"/>
      <c r="E65" s="512"/>
      <c r="F65" s="513"/>
    </row>
    <row r="66" spans="1:6" ht="15" x14ac:dyDescent="0.25">
      <c r="A66" s="509">
        <v>7</v>
      </c>
      <c r="B66" s="510"/>
      <c r="C66" s="511"/>
      <c r="D66" s="512"/>
      <c r="E66" s="512"/>
      <c r="F66" s="513"/>
    </row>
    <row r="67" spans="1:6" ht="15" x14ac:dyDescent="0.25">
      <c r="A67" s="509">
        <v>8</v>
      </c>
      <c r="B67" s="510"/>
      <c r="C67" s="511"/>
      <c r="D67" s="512"/>
      <c r="E67" s="512"/>
      <c r="F67" s="513"/>
    </row>
    <row r="68" spans="1:6" ht="15" x14ac:dyDescent="0.25">
      <c r="A68" s="509">
        <v>9</v>
      </c>
      <c r="B68" s="510"/>
      <c r="C68" s="511"/>
      <c r="D68" s="512"/>
      <c r="E68" s="512"/>
      <c r="F68" s="513"/>
    </row>
    <row r="69" spans="1:6" ht="15.75" thickBot="1" x14ac:dyDescent="0.3">
      <c r="A69" s="514"/>
      <c r="B69" s="510"/>
      <c r="C69" s="515"/>
      <c r="D69" s="515"/>
      <c r="E69" s="516"/>
      <c r="F69" s="515"/>
    </row>
    <row r="70" spans="1:6" ht="19.5" thickBot="1" x14ac:dyDescent="0.35">
      <c r="A70" s="517"/>
      <c r="B70" s="518"/>
      <c r="C70" s="518"/>
      <c r="D70" s="554" t="s">
        <v>716</v>
      </c>
      <c r="E70" s="554"/>
      <c r="F70" s="479">
        <f>SUM(F60:F69)</f>
        <v>0</v>
      </c>
    </row>
    <row r="71" spans="1:6" x14ac:dyDescent="0.2">
      <c r="A71" s="519"/>
      <c r="B71" s="519"/>
      <c r="C71" s="519"/>
      <c r="D71" s="519"/>
      <c r="E71" s="519"/>
      <c r="F71" s="520"/>
    </row>
    <row r="72" spans="1:6" ht="20.25" x14ac:dyDescent="0.3">
      <c r="A72" s="519"/>
      <c r="D72" s="325" t="s">
        <v>567</v>
      </c>
      <c r="F72" s="519"/>
    </row>
    <row r="73" spans="1:6" x14ac:dyDescent="0.2">
      <c r="A73" s="519"/>
    </row>
    <row r="74" spans="1:6" x14ac:dyDescent="0.2">
      <c r="A74" s="519"/>
    </row>
    <row r="75" spans="1:6" x14ac:dyDescent="0.2">
      <c r="A75" s="519"/>
      <c r="B75" s="326" t="s">
        <v>568</v>
      </c>
    </row>
    <row r="76" spans="1:6" x14ac:dyDescent="0.2">
      <c r="A76" s="519"/>
      <c r="B76" s="326" t="s">
        <v>569</v>
      </c>
    </row>
    <row r="97" spans="1:6" ht="18" x14ac:dyDescent="0.25">
      <c r="B97" s="500" t="s">
        <v>560</v>
      </c>
      <c r="C97" s="323" t="s">
        <v>717</v>
      </c>
      <c r="D97" s="323"/>
    </row>
    <row r="99" spans="1:6" ht="15.75" x14ac:dyDescent="0.25">
      <c r="C99" s="324" t="str">
        <f>+C51</f>
        <v>31,12,2019</v>
      </c>
    </row>
    <row r="101" spans="1:6" ht="18" x14ac:dyDescent="0.25">
      <c r="A101" s="317" t="s">
        <v>656</v>
      </c>
    </row>
    <row r="102" spans="1:6" ht="18" x14ac:dyDescent="0.25">
      <c r="A102" s="317" t="s">
        <v>657</v>
      </c>
    </row>
    <row r="103" spans="1:6" ht="18" x14ac:dyDescent="0.25">
      <c r="A103" s="317" t="s">
        <v>658</v>
      </c>
    </row>
    <row r="104" spans="1:6" ht="18" x14ac:dyDescent="0.25">
      <c r="A104" s="317" t="s">
        <v>659</v>
      </c>
    </row>
    <row r="105" spans="1:6" ht="18" x14ac:dyDescent="0.25">
      <c r="A105" s="317" t="s">
        <v>660</v>
      </c>
    </row>
    <row r="106" spans="1:6" ht="13.5" thickBot="1" x14ac:dyDescent="0.25"/>
    <row r="107" spans="1:6" ht="15.75" thickBot="1" x14ac:dyDescent="0.25">
      <c r="A107" s="501" t="s">
        <v>561</v>
      </c>
      <c r="B107" s="502" t="s">
        <v>562</v>
      </c>
      <c r="C107" s="502" t="s">
        <v>563</v>
      </c>
      <c r="D107" s="502" t="s">
        <v>546</v>
      </c>
      <c r="E107" s="502" t="s">
        <v>715</v>
      </c>
      <c r="F107" s="503" t="s">
        <v>565</v>
      </c>
    </row>
    <row r="108" spans="1:6" ht="15" x14ac:dyDescent="0.25">
      <c r="A108" s="504">
        <v>1</v>
      </c>
      <c r="B108" s="505"/>
      <c r="C108" s="506"/>
      <c r="D108" s="507"/>
      <c r="E108" s="507"/>
      <c r="F108" s="508"/>
    </row>
    <row r="109" spans="1:6" ht="15" x14ac:dyDescent="0.25">
      <c r="A109" s="509">
        <v>2</v>
      </c>
      <c r="B109" s="510"/>
      <c r="C109" s="511"/>
      <c r="D109" s="512"/>
      <c r="E109" s="512"/>
      <c r="F109" s="513"/>
    </row>
    <row r="110" spans="1:6" ht="15" x14ac:dyDescent="0.25">
      <c r="A110" s="509">
        <v>3</v>
      </c>
      <c r="B110" s="510"/>
      <c r="C110" s="511"/>
      <c r="D110" s="512"/>
      <c r="E110" s="512"/>
      <c r="F110" s="513"/>
    </row>
    <row r="111" spans="1:6" ht="15" x14ac:dyDescent="0.25">
      <c r="A111" s="509">
        <v>4</v>
      </c>
      <c r="B111" s="510"/>
      <c r="C111" s="511"/>
      <c r="D111" s="512"/>
      <c r="E111" s="512"/>
      <c r="F111" s="513"/>
    </row>
    <row r="112" spans="1:6" ht="15" x14ac:dyDescent="0.25">
      <c r="A112" s="509">
        <v>5</v>
      </c>
      <c r="B112" s="510"/>
      <c r="C112" s="511"/>
      <c r="D112" s="512"/>
      <c r="E112" s="512"/>
      <c r="F112" s="513"/>
    </row>
    <row r="113" spans="1:6" ht="15" x14ac:dyDescent="0.25">
      <c r="A113" s="509">
        <v>6</v>
      </c>
      <c r="B113" s="510"/>
      <c r="C113" s="511"/>
      <c r="D113" s="512"/>
      <c r="E113" s="512"/>
      <c r="F113" s="513"/>
    </row>
    <row r="114" spans="1:6" ht="15" x14ac:dyDescent="0.25">
      <c r="A114" s="509">
        <v>7</v>
      </c>
      <c r="B114" s="510"/>
      <c r="C114" s="511"/>
      <c r="D114" s="512"/>
      <c r="E114" s="512"/>
      <c r="F114" s="513"/>
    </row>
    <row r="115" spans="1:6" ht="15" x14ac:dyDescent="0.25">
      <c r="A115" s="509">
        <v>8</v>
      </c>
      <c r="B115" s="510"/>
      <c r="C115" s="511"/>
      <c r="D115" s="512"/>
      <c r="E115" s="512"/>
      <c r="F115" s="513"/>
    </row>
    <row r="116" spans="1:6" ht="15" x14ac:dyDescent="0.25">
      <c r="A116" s="509">
        <v>9</v>
      </c>
      <c r="B116" s="510"/>
      <c r="C116" s="511"/>
      <c r="D116" s="512"/>
      <c r="E116" s="512"/>
      <c r="F116" s="513"/>
    </row>
    <row r="117" spans="1:6" ht="15.75" thickBot="1" x14ac:dyDescent="0.3">
      <c r="A117" s="514"/>
      <c r="B117" s="510"/>
      <c r="C117" s="515"/>
      <c r="D117" s="515"/>
      <c r="E117" s="516"/>
      <c r="F117" s="515"/>
    </row>
    <row r="118" spans="1:6" ht="19.5" thickBot="1" x14ac:dyDescent="0.35">
      <c r="A118" s="517"/>
      <c r="B118" s="518"/>
      <c r="C118" s="518"/>
      <c r="D118" s="554" t="s">
        <v>716</v>
      </c>
      <c r="E118" s="554"/>
      <c r="F118" s="479">
        <f>SUM(F108:F117)</f>
        <v>0</v>
      </c>
    </row>
    <row r="119" spans="1:6" x14ac:dyDescent="0.2">
      <c r="A119" s="519"/>
      <c r="B119" s="519"/>
      <c r="C119" s="519"/>
      <c r="D119" s="519"/>
      <c r="E119" s="519"/>
      <c r="F119" s="520"/>
    </row>
    <row r="120" spans="1:6" ht="20.25" x14ac:dyDescent="0.3">
      <c r="A120" s="519"/>
      <c r="D120" s="325" t="s">
        <v>567</v>
      </c>
      <c r="F120" s="519"/>
    </row>
    <row r="121" spans="1:6" x14ac:dyDescent="0.2">
      <c r="A121" s="519"/>
    </row>
    <row r="122" spans="1:6" x14ac:dyDescent="0.2">
      <c r="A122" s="519"/>
    </row>
    <row r="123" spans="1:6" x14ac:dyDescent="0.2">
      <c r="A123" s="519"/>
      <c r="B123" s="326" t="s">
        <v>568</v>
      </c>
    </row>
    <row r="124" spans="1:6" x14ac:dyDescent="0.2">
      <c r="A124" s="519"/>
      <c r="B124" s="326" t="s">
        <v>569</v>
      </c>
    </row>
    <row r="145" spans="1:6" ht="18" x14ac:dyDescent="0.25">
      <c r="B145" s="500" t="s">
        <v>560</v>
      </c>
      <c r="C145" s="323" t="s">
        <v>718</v>
      </c>
      <c r="D145" s="323"/>
    </row>
    <row r="147" spans="1:6" ht="15.75" x14ac:dyDescent="0.25">
      <c r="C147" s="324" t="str">
        <f>+C3</f>
        <v>31,12,2019</v>
      </c>
    </row>
    <row r="149" spans="1:6" ht="18" x14ac:dyDescent="0.25">
      <c r="A149" s="317" t="s">
        <v>656</v>
      </c>
    </row>
    <row r="150" spans="1:6" ht="18" x14ac:dyDescent="0.25">
      <c r="A150" s="317" t="s">
        <v>657</v>
      </c>
    </row>
    <row r="151" spans="1:6" ht="18" x14ac:dyDescent="0.25">
      <c r="A151" s="317" t="s">
        <v>658</v>
      </c>
    </row>
    <row r="152" spans="1:6" ht="18" x14ac:dyDescent="0.25">
      <c r="A152" s="317" t="s">
        <v>659</v>
      </c>
    </row>
    <row r="153" spans="1:6" ht="18" x14ac:dyDescent="0.25">
      <c r="A153" s="317" t="s">
        <v>660</v>
      </c>
    </row>
    <row r="154" spans="1:6" ht="13.5" thickBot="1" x14ac:dyDescent="0.25"/>
    <row r="155" spans="1:6" ht="15.75" thickBot="1" x14ac:dyDescent="0.25">
      <c r="A155" s="501" t="s">
        <v>561</v>
      </c>
      <c r="B155" s="502" t="s">
        <v>562</v>
      </c>
      <c r="C155" s="502" t="s">
        <v>563</v>
      </c>
      <c r="D155" s="502" t="s">
        <v>546</v>
      </c>
      <c r="E155" s="502" t="s">
        <v>715</v>
      </c>
      <c r="F155" s="503" t="s">
        <v>565</v>
      </c>
    </row>
    <row r="156" spans="1:6" ht="15" x14ac:dyDescent="0.25">
      <c r="A156" s="504">
        <v>1</v>
      </c>
      <c r="B156" s="505"/>
      <c r="C156" s="506"/>
      <c r="D156" s="507"/>
      <c r="E156" s="507"/>
      <c r="F156" s="508"/>
    </row>
    <row r="157" spans="1:6" ht="15" x14ac:dyDescent="0.25">
      <c r="A157" s="509">
        <v>2</v>
      </c>
      <c r="B157" s="510"/>
      <c r="C157" s="511"/>
      <c r="D157" s="512"/>
      <c r="E157" s="512"/>
      <c r="F157" s="513"/>
    </row>
    <row r="158" spans="1:6" ht="15" x14ac:dyDescent="0.25">
      <c r="A158" s="509">
        <v>3</v>
      </c>
      <c r="B158" s="510"/>
      <c r="C158" s="511"/>
      <c r="D158" s="512"/>
      <c r="E158" s="512"/>
      <c r="F158" s="513"/>
    </row>
    <row r="159" spans="1:6" ht="15" x14ac:dyDescent="0.25">
      <c r="A159" s="509">
        <v>4</v>
      </c>
      <c r="B159" s="510"/>
      <c r="C159" s="511"/>
      <c r="D159" s="512"/>
      <c r="E159" s="512"/>
      <c r="F159" s="513"/>
    </row>
    <row r="160" spans="1:6" ht="15" x14ac:dyDescent="0.25">
      <c r="A160" s="509">
        <v>5</v>
      </c>
      <c r="B160" s="510"/>
      <c r="C160" s="511"/>
      <c r="D160" s="512"/>
      <c r="E160" s="512"/>
      <c r="F160" s="513"/>
    </row>
    <row r="161" spans="1:6" ht="15" x14ac:dyDescent="0.25">
      <c r="A161" s="509">
        <v>6</v>
      </c>
      <c r="B161" s="510"/>
      <c r="C161" s="511"/>
      <c r="D161" s="512"/>
      <c r="E161" s="512"/>
      <c r="F161" s="513"/>
    </row>
    <row r="162" spans="1:6" ht="15" x14ac:dyDescent="0.25">
      <c r="A162" s="509">
        <v>7</v>
      </c>
      <c r="B162" s="510"/>
      <c r="C162" s="511"/>
      <c r="D162" s="512"/>
      <c r="E162" s="512"/>
      <c r="F162" s="513"/>
    </row>
    <row r="163" spans="1:6" ht="15" x14ac:dyDescent="0.25">
      <c r="A163" s="509">
        <v>8</v>
      </c>
      <c r="B163" s="510"/>
      <c r="C163" s="511"/>
      <c r="D163" s="512"/>
      <c r="E163" s="512"/>
      <c r="F163" s="513"/>
    </row>
    <row r="164" spans="1:6" ht="15" x14ac:dyDescent="0.25">
      <c r="A164" s="509">
        <v>9</v>
      </c>
      <c r="B164" s="510"/>
      <c r="C164" s="511"/>
      <c r="D164" s="512"/>
      <c r="E164" s="512"/>
      <c r="F164" s="513"/>
    </row>
    <row r="165" spans="1:6" ht="15.75" thickBot="1" x14ac:dyDescent="0.3">
      <c r="A165" s="514"/>
      <c r="B165" s="510"/>
      <c r="C165" s="515"/>
      <c r="D165" s="515"/>
      <c r="E165" s="516"/>
      <c r="F165" s="515"/>
    </row>
    <row r="166" spans="1:6" ht="19.5" thickBot="1" x14ac:dyDescent="0.35">
      <c r="A166" s="517"/>
      <c r="B166" s="518"/>
      <c r="C166" s="518"/>
      <c r="D166" s="554" t="s">
        <v>716</v>
      </c>
      <c r="E166" s="554"/>
      <c r="F166" s="479">
        <f>SUM(F156:F165)</f>
        <v>0</v>
      </c>
    </row>
    <row r="167" spans="1:6" x14ac:dyDescent="0.2">
      <c r="A167" s="519"/>
      <c r="B167" s="519"/>
      <c r="C167" s="519"/>
      <c r="D167" s="519"/>
      <c r="E167" s="519"/>
      <c r="F167" s="520"/>
    </row>
    <row r="168" spans="1:6" ht="20.25" x14ac:dyDescent="0.3">
      <c r="A168" s="519"/>
      <c r="D168" s="325" t="s">
        <v>567</v>
      </c>
      <c r="F168" s="519"/>
    </row>
    <row r="169" spans="1:6" x14ac:dyDescent="0.2">
      <c r="A169" s="519"/>
    </row>
    <row r="170" spans="1:6" x14ac:dyDescent="0.2">
      <c r="A170" s="519"/>
    </row>
    <row r="171" spans="1:6" x14ac:dyDescent="0.2">
      <c r="A171" s="519"/>
      <c r="B171" s="326" t="s">
        <v>568</v>
      </c>
    </row>
    <row r="172" spans="1:6" x14ac:dyDescent="0.2">
      <c r="A172" s="519"/>
      <c r="B172" s="326" t="s">
        <v>569</v>
      </c>
    </row>
  </sheetData>
  <mergeCells count="3">
    <mergeCell ref="D70:E70"/>
    <mergeCell ref="D118:E118"/>
    <mergeCell ref="D166:E166"/>
  </mergeCells>
  <pageMargins left="0.70866141732283472" right="0.70866141732283472" top="0.74803149606299213" bottom="0.74803149606299213" header="0.31496062992125984" footer="0.31496062992125984"/>
  <pageSetup paperSize="9" scale="3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H37" sqref="H37"/>
    </sheetView>
  </sheetViews>
  <sheetFormatPr defaultRowHeight="12.75" x14ac:dyDescent="0.2"/>
  <cols>
    <col min="1" max="1" width="5.42578125" style="458" customWidth="1"/>
    <col min="2" max="2" width="21.7109375" style="458" customWidth="1"/>
    <col min="3" max="5" width="9.140625" style="458"/>
    <col min="6" max="6" width="15.5703125" style="458" customWidth="1"/>
    <col min="7" max="16384" width="9.140625" style="458"/>
  </cols>
  <sheetData>
    <row r="1" spans="1:6" ht="15.75" x14ac:dyDescent="0.25">
      <c r="A1" s="28" t="s">
        <v>620</v>
      </c>
      <c r="B1" s="1"/>
      <c r="C1" s="1"/>
      <c r="D1" s="1"/>
      <c r="E1" s="1"/>
      <c r="F1" s="1"/>
    </row>
    <row r="2" spans="1:6" ht="16.5" thickBot="1" x14ac:dyDescent="0.3">
      <c r="A2" s="28">
        <v>2019</v>
      </c>
      <c r="B2" s="1"/>
      <c r="C2" s="1"/>
      <c r="D2" s="1"/>
      <c r="E2" s="1"/>
      <c r="F2" s="1"/>
    </row>
    <row r="3" spans="1:6" ht="13.5" thickBot="1" x14ac:dyDescent="0.25">
      <c r="A3" s="459" t="s">
        <v>621</v>
      </c>
      <c r="B3" s="460" t="s">
        <v>622</v>
      </c>
      <c r="C3" s="460" t="s">
        <v>623</v>
      </c>
      <c r="D3" s="460" t="s">
        <v>624</v>
      </c>
      <c r="E3" s="460" t="s">
        <v>625</v>
      </c>
      <c r="F3" s="461" t="s">
        <v>626</v>
      </c>
    </row>
    <row r="4" spans="1:6" x14ac:dyDescent="0.2">
      <c r="A4" s="444">
        <v>1</v>
      </c>
      <c r="B4" t="s">
        <v>677</v>
      </c>
      <c r="C4" s="436" t="s">
        <v>672</v>
      </c>
      <c r="D4" s="436">
        <v>1</v>
      </c>
      <c r="E4" s="437">
        <v>273080</v>
      </c>
      <c r="F4" s="445">
        <f>SUM(D4*E4)</f>
        <v>273080</v>
      </c>
    </row>
    <row r="5" spans="1:6" x14ac:dyDescent="0.2">
      <c r="A5" s="446">
        <v>2</v>
      </c>
      <c r="B5" s="438" t="s">
        <v>673</v>
      </c>
      <c r="C5" s="438" t="s">
        <v>672</v>
      </c>
      <c r="D5" s="438">
        <v>9</v>
      </c>
      <c r="E5" s="439">
        <v>17447</v>
      </c>
      <c r="F5" s="447">
        <v>157021</v>
      </c>
    </row>
    <row r="6" spans="1:6" x14ac:dyDescent="0.2">
      <c r="A6" s="446">
        <v>3</v>
      </c>
      <c r="B6" t="s">
        <v>678</v>
      </c>
      <c r="C6" s="438" t="s">
        <v>672</v>
      </c>
      <c r="D6" s="438">
        <v>1</v>
      </c>
      <c r="E6" s="439">
        <v>132980</v>
      </c>
      <c r="F6" s="447">
        <f t="shared" ref="F6:F15" si="0">SUM(D6*E6)</f>
        <v>132980</v>
      </c>
    </row>
    <row r="7" spans="1:6" x14ac:dyDescent="0.2">
      <c r="A7" s="446">
        <v>4</v>
      </c>
      <c r="B7" s="438" t="s">
        <v>681</v>
      </c>
      <c r="C7" s="438" t="s">
        <v>672</v>
      </c>
      <c r="D7" s="438">
        <v>40</v>
      </c>
      <c r="E7" s="439">
        <f>+F7/D7</f>
        <v>30996.75</v>
      </c>
      <c r="F7" s="447">
        <v>1239870</v>
      </c>
    </row>
    <row r="8" spans="1:6" x14ac:dyDescent="0.2">
      <c r="A8" s="446">
        <v>5</v>
      </c>
      <c r="B8" t="s">
        <v>682</v>
      </c>
      <c r="C8" s="438" t="s">
        <v>672</v>
      </c>
      <c r="D8" s="438">
        <v>1</v>
      </c>
      <c r="E8" s="439">
        <v>66820</v>
      </c>
      <c r="F8" s="447">
        <f t="shared" si="0"/>
        <v>66820</v>
      </c>
    </row>
    <row r="9" spans="1:6" x14ac:dyDescent="0.2">
      <c r="A9" s="446">
        <v>6</v>
      </c>
      <c r="B9" s="438" t="s">
        <v>681</v>
      </c>
      <c r="C9" s="438" t="s">
        <v>672</v>
      </c>
      <c r="D9" s="438">
        <v>71</v>
      </c>
      <c r="E9" s="439">
        <f>+F9/D9</f>
        <v>38036.943661971833</v>
      </c>
      <c r="F9" s="447">
        <v>2700623</v>
      </c>
    </row>
    <row r="10" spans="1:6" x14ac:dyDescent="0.2">
      <c r="A10" s="446">
        <v>1</v>
      </c>
      <c r="B10" s="438" t="s">
        <v>548</v>
      </c>
      <c r="C10" s="438"/>
      <c r="D10" s="438">
        <v>1</v>
      </c>
      <c r="E10" s="443">
        <f>+'Aq&amp;AM'!J17</f>
        <v>221455</v>
      </c>
      <c r="F10" s="447">
        <f t="shared" si="0"/>
        <v>221455</v>
      </c>
    </row>
    <row r="11" spans="1:6" x14ac:dyDescent="0.2">
      <c r="A11" s="446">
        <v>2</v>
      </c>
      <c r="B11" s="438"/>
      <c r="C11" s="438"/>
      <c r="D11" s="438"/>
      <c r="E11" s="443"/>
      <c r="F11" s="447">
        <f t="shared" si="0"/>
        <v>0</v>
      </c>
    </row>
    <row r="12" spans="1:6" x14ac:dyDescent="0.2">
      <c r="A12" s="446">
        <v>3</v>
      </c>
      <c r="B12" s="438"/>
      <c r="C12" s="438"/>
      <c r="D12" s="438"/>
      <c r="E12" s="443"/>
      <c r="F12" s="447">
        <f t="shared" si="0"/>
        <v>0</v>
      </c>
    </row>
    <row r="13" spans="1:6" x14ac:dyDescent="0.2">
      <c r="A13" s="446">
        <v>4</v>
      </c>
      <c r="B13" s="438"/>
      <c r="C13" s="438"/>
      <c r="D13" s="438"/>
      <c r="E13" s="443"/>
      <c r="F13" s="447">
        <f t="shared" si="0"/>
        <v>0</v>
      </c>
    </row>
    <row r="14" spans="1:6" x14ac:dyDescent="0.2">
      <c r="A14" s="446">
        <v>5</v>
      </c>
      <c r="B14" s="438"/>
      <c r="C14" s="438"/>
      <c r="D14" s="438"/>
      <c r="E14" s="443"/>
      <c r="F14" s="447">
        <f t="shared" si="0"/>
        <v>0</v>
      </c>
    </row>
    <row r="15" spans="1:6" ht="13.5" thickBot="1" x14ac:dyDescent="0.25">
      <c r="A15" s="448">
        <v>6</v>
      </c>
      <c r="B15" s="449"/>
      <c r="C15" s="449"/>
      <c r="D15" s="449"/>
      <c r="E15" s="450"/>
      <c r="F15" s="447">
        <f t="shared" si="0"/>
        <v>0</v>
      </c>
    </row>
    <row r="16" spans="1:6" ht="13.5" thickBot="1" x14ac:dyDescent="0.25">
      <c r="A16" s="440"/>
      <c r="B16" s="462" t="s">
        <v>2</v>
      </c>
      <c r="C16" s="441"/>
      <c r="D16" s="441"/>
      <c r="E16" s="442"/>
      <c r="F16" s="463">
        <f>SUM(F4:F15)</f>
        <v>4791849</v>
      </c>
    </row>
    <row r="17" spans="1:6" ht="13.5" thickBot="1" x14ac:dyDescent="0.25"/>
    <row r="18" spans="1:6" ht="13.5" thickBot="1" x14ac:dyDescent="0.25">
      <c r="A18" s="440"/>
      <c r="B18" s="462" t="s">
        <v>630</v>
      </c>
      <c r="C18" s="441"/>
      <c r="D18" s="441"/>
      <c r="E18" s="442"/>
      <c r="F18" s="464">
        <f>+F16</f>
        <v>4791849</v>
      </c>
    </row>
    <row r="21" spans="1:6" x14ac:dyDescent="0.2">
      <c r="D21" s="458">
        <v>10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workbookViewId="0">
      <selection activeCell="D104" sqref="D104"/>
    </sheetView>
  </sheetViews>
  <sheetFormatPr defaultColWidth="11.42578125" defaultRowHeight="12.75" x14ac:dyDescent="0.2"/>
  <cols>
    <col min="1" max="1" width="4.140625" style="38" customWidth="1"/>
    <col min="2" max="2" width="42.7109375" style="38" bestFit="1" customWidth="1"/>
    <col min="3" max="3" width="4.7109375" style="38" customWidth="1"/>
    <col min="4" max="5" width="14.5703125" style="38" customWidth="1"/>
    <col min="6" max="8" width="14.5703125" style="38" hidden="1" customWidth="1"/>
    <col min="9" max="9" width="11.42578125" style="38"/>
    <col min="10" max="10" width="12.85546875" style="38" bestFit="1" customWidth="1"/>
    <col min="11" max="16384" width="11.42578125" style="38"/>
  </cols>
  <sheetData>
    <row r="1" spans="1:8" ht="18" customHeight="1" x14ac:dyDescent="0.2">
      <c r="B1" s="54" t="s">
        <v>161</v>
      </c>
    </row>
    <row r="2" spans="1:8" x14ac:dyDescent="0.2">
      <c r="B2" s="39" t="s">
        <v>611</v>
      </c>
    </row>
    <row r="3" spans="1:8" x14ac:dyDescent="0.2">
      <c r="B3" s="53" t="s">
        <v>424</v>
      </c>
    </row>
    <row r="6" spans="1:8" ht="15" x14ac:dyDescent="0.2">
      <c r="B6" s="56" t="s">
        <v>162</v>
      </c>
      <c r="C6" s="40" t="s">
        <v>163</v>
      </c>
      <c r="D6" s="428" t="s">
        <v>693</v>
      </c>
      <c r="E6" s="428" t="s">
        <v>675</v>
      </c>
      <c r="F6" s="428" t="s">
        <v>674</v>
      </c>
      <c r="G6" s="428" t="s">
        <v>636</v>
      </c>
      <c r="H6" s="428" t="s">
        <v>581</v>
      </c>
    </row>
    <row r="8" spans="1:8" x14ac:dyDescent="0.2">
      <c r="D8" s="89"/>
      <c r="E8" s="89"/>
      <c r="F8" s="89"/>
      <c r="G8" s="89"/>
      <c r="H8" s="89"/>
    </row>
    <row r="9" spans="1:8" x14ac:dyDescent="0.2">
      <c r="A9" s="41" t="s">
        <v>164</v>
      </c>
      <c r="B9" s="42" t="s">
        <v>165</v>
      </c>
      <c r="C9" s="42" t="s">
        <v>131</v>
      </c>
    </row>
    <row r="10" spans="1:8" x14ac:dyDescent="0.2">
      <c r="A10" s="41" t="s">
        <v>166</v>
      </c>
      <c r="B10" s="42" t="s">
        <v>167</v>
      </c>
      <c r="C10" s="42" t="s">
        <v>132</v>
      </c>
      <c r="D10" s="429">
        <f>+D18</f>
        <v>2937969</v>
      </c>
      <c r="E10" s="429">
        <f>+E18</f>
        <v>3402002</v>
      </c>
      <c r="F10" s="429">
        <f>+F18</f>
        <v>1655171</v>
      </c>
      <c r="G10" s="429">
        <f>+G18</f>
        <v>430101</v>
      </c>
      <c r="H10" s="429">
        <f>+H18</f>
        <v>0</v>
      </c>
    </row>
    <row r="11" spans="1:8" x14ac:dyDescent="0.2">
      <c r="A11" s="41" t="s">
        <v>141</v>
      </c>
      <c r="B11" s="42" t="s">
        <v>168</v>
      </c>
      <c r="C11" s="42" t="s">
        <v>133</v>
      </c>
    </row>
    <row r="12" spans="1:8" x14ac:dyDescent="0.2">
      <c r="A12" s="41" t="s">
        <v>146</v>
      </c>
      <c r="B12" s="42" t="s">
        <v>169</v>
      </c>
      <c r="C12" s="42" t="s">
        <v>134</v>
      </c>
    </row>
    <row r="13" spans="1:8" x14ac:dyDescent="0.2">
      <c r="A13" s="41" t="s">
        <v>147</v>
      </c>
      <c r="B13" s="42" t="s">
        <v>170</v>
      </c>
      <c r="C13" s="42" t="s">
        <v>135</v>
      </c>
    </row>
    <row r="14" spans="1:8" x14ac:dyDescent="0.2">
      <c r="A14" s="41" t="s">
        <v>148</v>
      </c>
      <c r="B14" s="42" t="s">
        <v>171</v>
      </c>
      <c r="C14" s="42" t="s">
        <v>143</v>
      </c>
    </row>
    <row r="15" spans="1:8" x14ac:dyDescent="0.2">
      <c r="A15" s="41" t="s">
        <v>150</v>
      </c>
      <c r="B15" s="42" t="s">
        <v>172</v>
      </c>
      <c r="C15" s="42" t="s">
        <v>144</v>
      </c>
    </row>
    <row r="16" spans="1:8" x14ac:dyDescent="0.2">
      <c r="A16" s="41" t="s">
        <v>151</v>
      </c>
      <c r="B16" s="42" t="s">
        <v>173</v>
      </c>
      <c r="C16" s="42" t="s">
        <v>145</v>
      </c>
    </row>
    <row r="17" spans="1:8" x14ac:dyDescent="0.2">
      <c r="A17" s="41" t="s">
        <v>174</v>
      </c>
      <c r="B17" s="42" t="s">
        <v>175</v>
      </c>
      <c r="C17" s="42" t="s">
        <v>149</v>
      </c>
      <c r="D17" s="89"/>
      <c r="E17" s="89"/>
      <c r="F17" s="89"/>
      <c r="G17" s="89"/>
      <c r="H17" s="89"/>
    </row>
    <row r="18" spans="1:8" x14ac:dyDescent="0.2">
      <c r="A18" s="41" t="s">
        <v>142</v>
      </c>
      <c r="B18" s="42" t="s">
        <v>176</v>
      </c>
      <c r="C18" s="42" t="s">
        <v>153</v>
      </c>
      <c r="D18" s="429">
        <f>+D20+D23</f>
        <v>2937969</v>
      </c>
      <c r="E18" s="429">
        <f>+E20+E23</f>
        <v>3402002</v>
      </c>
      <c r="F18" s="429">
        <f>+F20+F23</f>
        <v>1655171</v>
      </c>
      <c r="G18" s="429">
        <f>+G20+G23</f>
        <v>430101</v>
      </c>
      <c r="H18" s="429">
        <f>+H20+H23</f>
        <v>0</v>
      </c>
    </row>
    <row r="19" spans="1:8" x14ac:dyDescent="0.2">
      <c r="A19" s="41" t="s">
        <v>146</v>
      </c>
      <c r="B19" s="42" t="s">
        <v>177</v>
      </c>
      <c r="C19" s="42" t="s">
        <v>154</v>
      </c>
    </row>
    <row r="20" spans="1:8" x14ac:dyDescent="0.2">
      <c r="A20" s="41" t="s">
        <v>147</v>
      </c>
      <c r="B20" s="42" t="s">
        <v>178</v>
      </c>
      <c r="C20" s="42" t="s">
        <v>155</v>
      </c>
      <c r="D20" s="430">
        <v>4791849</v>
      </c>
      <c r="E20" s="430">
        <f>+F20+2700623</f>
        <v>4570394</v>
      </c>
      <c r="F20" s="430">
        <f>+G20+9000+1430670</f>
        <v>1869771</v>
      </c>
      <c r="G20" s="430">
        <v>430101</v>
      </c>
      <c r="H20" s="430">
        <v>0</v>
      </c>
    </row>
    <row r="21" spans="1:8" x14ac:dyDescent="0.2">
      <c r="A21" s="41" t="s">
        <v>148</v>
      </c>
      <c r="B21" s="42" t="s">
        <v>179</v>
      </c>
      <c r="C21" s="42" t="s">
        <v>156</v>
      </c>
      <c r="D21" s="430">
        <v>0</v>
      </c>
      <c r="E21" s="430">
        <v>0</v>
      </c>
      <c r="F21" s="430">
        <v>0</v>
      </c>
      <c r="G21" s="430">
        <v>0</v>
      </c>
      <c r="H21" s="430">
        <v>0</v>
      </c>
    </row>
    <row r="22" spans="1:8" x14ac:dyDescent="0.2">
      <c r="A22" s="41" t="s">
        <v>150</v>
      </c>
      <c r="B22" s="42" t="s">
        <v>180</v>
      </c>
      <c r="C22" s="42" t="s">
        <v>157</v>
      </c>
    </row>
    <row r="23" spans="1:8" x14ac:dyDescent="0.2">
      <c r="A23" s="41" t="s">
        <v>151</v>
      </c>
      <c r="B23" s="42" t="s">
        <v>173</v>
      </c>
      <c r="C23" s="42" t="s">
        <v>181</v>
      </c>
      <c r="D23" s="430">
        <f>+(E23)-'Ardh shpenz alpha'!C84</f>
        <v>-1853880</v>
      </c>
      <c r="E23" s="430">
        <f>+(F23)-'Ardh shpenz alpha'!D84</f>
        <v>-1168392</v>
      </c>
      <c r="F23" s="430">
        <f>+-('Ardh shpenz alpha'!E83+'Ardh shpenz alpha'!F83)</f>
        <v>-214600</v>
      </c>
      <c r="G23" s="430">
        <v>0</v>
      </c>
      <c r="H23" s="430">
        <v>0</v>
      </c>
    </row>
    <row r="24" spans="1:8" x14ac:dyDescent="0.2">
      <c r="A24" s="41" t="s">
        <v>174</v>
      </c>
      <c r="B24" s="42" t="s">
        <v>175</v>
      </c>
      <c r="C24" s="42" t="s">
        <v>182</v>
      </c>
    </row>
    <row r="25" spans="1:8" x14ac:dyDescent="0.2">
      <c r="A25" s="41" t="s">
        <v>152</v>
      </c>
      <c r="B25" s="42" t="s">
        <v>183</v>
      </c>
      <c r="C25" s="42" t="s">
        <v>184</v>
      </c>
    </row>
    <row r="26" spans="1:8" x14ac:dyDescent="0.2">
      <c r="A26" s="41" t="s">
        <v>146</v>
      </c>
      <c r="B26" s="42" t="s">
        <v>185</v>
      </c>
      <c r="C26" s="42" t="s">
        <v>186</v>
      </c>
    </row>
    <row r="27" spans="1:8" x14ac:dyDescent="0.2">
      <c r="A27" s="41" t="s">
        <v>147</v>
      </c>
      <c r="B27" s="42" t="s">
        <v>187</v>
      </c>
      <c r="C27" s="42" t="s">
        <v>188</v>
      </c>
    </row>
    <row r="28" spans="1:8" x14ac:dyDescent="0.2">
      <c r="A28" s="41" t="s">
        <v>148</v>
      </c>
      <c r="B28" s="42" t="s">
        <v>189</v>
      </c>
      <c r="C28" s="42" t="s">
        <v>190</v>
      </c>
    </row>
    <row r="29" spans="1:8" x14ac:dyDescent="0.2">
      <c r="A29" s="41" t="s">
        <v>150</v>
      </c>
      <c r="B29" s="42" t="s">
        <v>191</v>
      </c>
      <c r="C29" s="42" t="s">
        <v>192</v>
      </c>
    </row>
    <row r="30" spans="1:8" x14ac:dyDescent="0.2">
      <c r="A30" s="41" t="s">
        <v>158</v>
      </c>
      <c r="B30" s="42" t="s">
        <v>193</v>
      </c>
      <c r="C30" s="42" t="s">
        <v>194</v>
      </c>
      <c r="D30" s="430">
        <v>-4.6566128730773926E-10</v>
      </c>
      <c r="E30" s="430">
        <v>-4.6566128730773926E-10</v>
      </c>
      <c r="F30" s="430">
        <v>-4.6566128730773926E-10</v>
      </c>
      <c r="G30" s="430">
        <v>-4.6566128730773926E-10</v>
      </c>
      <c r="H30" s="430">
        <v>-4.6566128730773926E-10</v>
      </c>
    </row>
    <row r="31" spans="1:8" x14ac:dyDescent="0.2">
      <c r="A31" s="41" t="s">
        <v>195</v>
      </c>
      <c r="B31" s="42" t="s">
        <v>196</v>
      </c>
      <c r="C31" s="42" t="s">
        <v>197</v>
      </c>
      <c r="D31" s="429">
        <f>+D38+D48+D32</f>
        <v>2765443</v>
      </c>
      <c r="E31" s="429">
        <f>+E38+E48+E32</f>
        <v>3716418</v>
      </c>
      <c r="F31" s="429">
        <f>+F38+F48+F32</f>
        <v>2237938</v>
      </c>
      <c r="G31" s="429">
        <f>+G38+G48+G32</f>
        <v>2757182</v>
      </c>
      <c r="H31" s="429">
        <f>+H38+H48</f>
        <v>0</v>
      </c>
    </row>
    <row r="32" spans="1:8" x14ac:dyDescent="0.2">
      <c r="A32" s="41" t="s">
        <v>141</v>
      </c>
      <c r="B32" s="42" t="s">
        <v>198</v>
      </c>
      <c r="C32" s="42" t="s">
        <v>199</v>
      </c>
      <c r="D32" s="431">
        <f>SUM(D33:D37)</f>
        <v>2319625</v>
      </c>
      <c r="E32" s="431">
        <f>SUM(E33:E37)</f>
        <v>2947807</v>
      </c>
      <c r="F32" s="431">
        <f>SUM(F33:F37)</f>
        <v>1587192</v>
      </c>
      <c r="G32" s="431">
        <f>SUM(G33:G37)</f>
        <v>2030772</v>
      </c>
      <c r="H32" s="431"/>
    </row>
    <row r="33" spans="1:8" x14ac:dyDescent="0.2">
      <c r="A33" s="41" t="s">
        <v>146</v>
      </c>
      <c r="B33" s="42" t="s">
        <v>200</v>
      </c>
      <c r="C33" s="42" t="s">
        <v>201</v>
      </c>
      <c r="D33" s="328"/>
      <c r="E33" s="328"/>
      <c r="F33" s="328"/>
      <c r="G33" s="328"/>
      <c r="H33" s="328"/>
    </row>
    <row r="34" spans="1:8" x14ac:dyDescent="0.2">
      <c r="A34" s="41" t="s">
        <v>147</v>
      </c>
      <c r="B34" s="42" t="s">
        <v>202</v>
      </c>
      <c r="C34" s="42" t="s">
        <v>203</v>
      </c>
    </row>
    <row r="35" spans="1:8" x14ac:dyDescent="0.2">
      <c r="A35" s="41" t="s">
        <v>148</v>
      </c>
      <c r="B35" s="42" t="s">
        <v>138</v>
      </c>
      <c r="C35" s="42" t="s">
        <v>204</v>
      </c>
      <c r="D35" s="430">
        <v>2319625</v>
      </c>
      <c r="E35" s="430">
        <v>2947807</v>
      </c>
      <c r="F35" s="430">
        <v>1587192</v>
      </c>
      <c r="G35" s="430">
        <v>2030772</v>
      </c>
      <c r="H35" s="430"/>
    </row>
    <row r="36" spans="1:8" x14ac:dyDescent="0.2">
      <c r="A36" s="41" t="s">
        <v>150</v>
      </c>
      <c r="B36" s="42" t="s">
        <v>205</v>
      </c>
      <c r="C36" s="42" t="s">
        <v>206</v>
      </c>
      <c r="D36" s="328"/>
      <c r="E36" s="328"/>
      <c r="F36" s="328"/>
      <c r="G36" s="328"/>
      <c r="H36" s="328"/>
    </row>
    <row r="37" spans="1:8" x14ac:dyDescent="0.2">
      <c r="A37" s="41" t="s">
        <v>151</v>
      </c>
      <c r="B37" s="42" t="s">
        <v>191</v>
      </c>
      <c r="C37" s="42" t="s">
        <v>207</v>
      </c>
      <c r="D37" s="328"/>
      <c r="E37" s="328"/>
      <c r="F37" s="328"/>
      <c r="G37" s="328"/>
      <c r="H37" s="328"/>
    </row>
    <row r="38" spans="1:8" x14ac:dyDescent="0.2">
      <c r="A38" s="41" t="s">
        <v>142</v>
      </c>
      <c r="B38" s="42" t="s">
        <v>208</v>
      </c>
      <c r="C38" s="42" t="s">
        <v>209</v>
      </c>
      <c r="D38" s="431">
        <f>+D40+D43</f>
        <v>306142</v>
      </c>
      <c r="E38" s="431">
        <f>+E40+E43</f>
        <v>105039</v>
      </c>
      <c r="F38" s="431">
        <f>+F40+F43</f>
        <v>295354</v>
      </c>
      <c r="G38" s="431">
        <f>+G40+G43</f>
        <v>608838</v>
      </c>
      <c r="H38" s="431">
        <f>+H40+H43</f>
        <v>0</v>
      </c>
    </row>
    <row r="39" spans="1:8" x14ac:dyDescent="0.2">
      <c r="B39" s="42" t="s">
        <v>210</v>
      </c>
      <c r="D39" s="328"/>
      <c r="E39" s="328"/>
      <c r="F39" s="328"/>
      <c r="G39" s="328"/>
      <c r="H39" s="328"/>
    </row>
    <row r="40" spans="1:8" x14ac:dyDescent="0.2">
      <c r="A40" s="41" t="s">
        <v>146</v>
      </c>
      <c r="B40" s="42" t="s">
        <v>211</v>
      </c>
      <c r="C40" s="42" t="s">
        <v>212</v>
      </c>
      <c r="D40" s="430"/>
      <c r="E40" s="430"/>
      <c r="F40" s="430"/>
      <c r="G40" s="430"/>
      <c r="H40" s="430">
        <v>0</v>
      </c>
    </row>
    <row r="41" spans="1:8" x14ac:dyDescent="0.2">
      <c r="A41" s="41" t="s">
        <v>147</v>
      </c>
      <c r="B41" s="42" t="s">
        <v>213</v>
      </c>
      <c r="C41" s="42" t="s">
        <v>214</v>
      </c>
    </row>
    <row r="42" spans="1:8" x14ac:dyDescent="0.2">
      <c r="A42" s="41" t="s">
        <v>148</v>
      </c>
      <c r="B42" s="140" t="s">
        <v>536</v>
      </c>
      <c r="C42" s="42" t="s">
        <v>215</v>
      </c>
      <c r="D42" s="430">
        <v>0</v>
      </c>
      <c r="E42" s="430">
        <v>0</v>
      </c>
      <c r="F42" s="430">
        <v>0</v>
      </c>
      <c r="G42" s="430">
        <v>0</v>
      </c>
      <c r="H42" s="430">
        <v>0</v>
      </c>
    </row>
    <row r="43" spans="1:8" x14ac:dyDescent="0.2">
      <c r="A43" s="41" t="s">
        <v>150</v>
      </c>
      <c r="B43" s="42" t="s">
        <v>216</v>
      </c>
      <c r="C43" s="42" t="s">
        <v>217</v>
      </c>
      <c r="D43" s="430">
        <f>230290+75852</f>
        <v>306142</v>
      </c>
      <c r="E43" s="430">
        <v>105039</v>
      </c>
      <c r="F43" s="430">
        <v>295354</v>
      </c>
      <c r="G43" s="430">
        <v>608838</v>
      </c>
      <c r="H43" s="430">
        <v>0</v>
      </c>
    </row>
    <row r="44" spans="1:8" x14ac:dyDescent="0.2">
      <c r="A44" s="41" t="s">
        <v>151</v>
      </c>
      <c r="B44" s="42" t="s">
        <v>191</v>
      </c>
      <c r="C44" s="42" t="s">
        <v>218</v>
      </c>
    </row>
    <row r="45" spans="1:8" x14ac:dyDescent="0.2">
      <c r="A45" s="41" t="s">
        <v>152</v>
      </c>
      <c r="B45" s="42" t="s">
        <v>219</v>
      </c>
      <c r="C45" s="42" t="s">
        <v>220</v>
      </c>
    </row>
    <row r="46" spans="1:8" x14ac:dyDescent="0.2">
      <c r="A46" s="41" t="s">
        <v>146</v>
      </c>
      <c r="B46" s="42" t="s">
        <v>221</v>
      </c>
      <c r="C46" s="42" t="s">
        <v>222</v>
      </c>
    </row>
    <row r="47" spans="1:8" x14ac:dyDescent="0.2">
      <c r="A47" s="41" t="s">
        <v>147</v>
      </c>
      <c r="B47" s="42" t="s">
        <v>191</v>
      </c>
      <c r="C47" s="42" t="s">
        <v>223</v>
      </c>
      <c r="D47" s="328"/>
      <c r="E47" s="328"/>
      <c r="F47" s="328"/>
      <c r="G47" s="328"/>
      <c r="H47" s="328"/>
    </row>
    <row r="48" spans="1:8" x14ac:dyDescent="0.2">
      <c r="A48" s="41" t="s">
        <v>158</v>
      </c>
      <c r="B48" s="42" t="s">
        <v>224</v>
      </c>
      <c r="C48" s="42" t="s">
        <v>225</v>
      </c>
      <c r="D48" s="431">
        <f>+D49+D50</f>
        <v>139676</v>
      </c>
      <c r="E48" s="431">
        <f>+E49+E50</f>
        <v>663572</v>
      </c>
      <c r="F48" s="431">
        <f>+F49+F50</f>
        <v>355392</v>
      </c>
      <c r="G48" s="431">
        <f>+G49+G50</f>
        <v>117572</v>
      </c>
      <c r="H48" s="431">
        <f>+H49+H50</f>
        <v>0</v>
      </c>
    </row>
    <row r="49" spans="1:8" x14ac:dyDescent="0.2">
      <c r="A49" s="41" t="s">
        <v>146</v>
      </c>
      <c r="B49" s="42" t="s">
        <v>226</v>
      </c>
      <c r="C49" s="42" t="s">
        <v>227</v>
      </c>
      <c r="D49" s="430">
        <v>17926</v>
      </c>
      <c r="E49" s="430">
        <v>431272</v>
      </c>
      <c r="F49" s="430">
        <v>232992</v>
      </c>
      <c r="G49" s="430">
        <f>120002-2430</f>
        <v>117572</v>
      </c>
      <c r="H49" s="430">
        <v>0</v>
      </c>
    </row>
    <row r="50" spans="1:8" x14ac:dyDescent="0.2">
      <c r="A50" s="41" t="s">
        <v>147</v>
      </c>
      <c r="B50" s="42" t="s">
        <v>228</v>
      </c>
      <c r="C50" s="42" t="s">
        <v>229</v>
      </c>
      <c r="D50" s="430">
        <v>121750</v>
      </c>
      <c r="E50" s="430">
        <v>232300</v>
      </c>
      <c r="F50" s="430">
        <v>122400</v>
      </c>
      <c r="G50" s="430"/>
      <c r="H50" s="430">
        <v>0</v>
      </c>
    </row>
    <row r="51" spans="1:8" x14ac:dyDescent="0.2">
      <c r="A51" s="41" t="s">
        <v>148</v>
      </c>
      <c r="B51" s="42" t="s">
        <v>230</v>
      </c>
      <c r="C51" s="42" t="s">
        <v>231</v>
      </c>
      <c r="D51" s="430">
        <v>0</v>
      </c>
      <c r="E51" s="430">
        <v>0</v>
      </c>
      <c r="F51" s="430">
        <v>0</v>
      </c>
      <c r="G51" s="430">
        <v>0</v>
      </c>
      <c r="H51" s="430">
        <v>0</v>
      </c>
    </row>
    <row r="52" spans="1:8" x14ac:dyDescent="0.2">
      <c r="A52" s="41" t="s">
        <v>159</v>
      </c>
      <c r="B52" s="42" t="s">
        <v>232</v>
      </c>
      <c r="C52" s="42" t="s">
        <v>233</v>
      </c>
      <c r="D52" s="431"/>
      <c r="E52" s="431"/>
      <c r="F52" s="431"/>
      <c r="G52" s="431">
        <v>0</v>
      </c>
      <c r="H52" s="431">
        <v>0</v>
      </c>
    </row>
    <row r="53" spans="1:8" x14ac:dyDescent="0.2">
      <c r="B53" s="42" t="s">
        <v>234</v>
      </c>
    </row>
    <row r="54" spans="1:8" x14ac:dyDescent="0.2">
      <c r="A54" s="41" t="s">
        <v>235</v>
      </c>
      <c r="B54" s="42" t="s">
        <v>236</v>
      </c>
      <c r="C54" s="42" t="s">
        <v>237</v>
      </c>
      <c r="D54" s="431"/>
      <c r="E54" s="431"/>
      <c r="F54" s="431"/>
      <c r="G54" s="431"/>
      <c r="H54" s="431"/>
    </row>
    <row r="55" spans="1:8" x14ac:dyDescent="0.2">
      <c r="A55" s="41" t="s">
        <v>146</v>
      </c>
      <c r="B55" s="42" t="s">
        <v>238</v>
      </c>
      <c r="C55" s="42" t="s">
        <v>239</v>
      </c>
      <c r="D55" s="430"/>
      <c r="E55" s="430"/>
      <c r="F55" s="430"/>
      <c r="G55" s="430"/>
      <c r="H55" s="430"/>
    </row>
    <row r="56" spans="1:8" x14ac:dyDescent="0.2">
      <c r="A56" s="41" t="s">
        <v>147</v>
      </c>
      <c r="B56" s="42" t="s">
        <v>240</v>
      </c>
      <c r="C56" s="42" t="s">
        <v>241</v>
      </c>
      <c r="D56" s="430"/>
      <c r="E56" s="430"/>
      <c r="F56" s="430"/>
      <c r="G56" s="430"/>
      <c r="H56" s="430"/>
    </row>
    <row r="57" spans="1:8" x14ac:dyDescent="0.2">
      <c r="A57" s="41" t="s">
        <v>148</v>
      </c>
      <c r="B57" s="42" t="s">
        <v>137</v>
      </c>
      <c r="C57" s="42" t="s">
        <v>242</v>
      </c>
    </row>
    <row r="58" spans="1:8" x14ac:dyDescent="0.2">
      <c r="B58" s="42" t="s">
        <v>243</v>
      </c>
      <c r="C58" s="42" t="s">
        <v>244</v>
      </c>
      <c r="D58" s="431">
        <f>+D10+D31+D52</f>
        <v>5703412</v>
      </c>
      <c r="E58" s="431">
        <f>+E10+E31+E52</f>
        <v>7118420</v>
      </c>
      <c r="F58" s="431">
        <f>+F10+F31+F52</f>
        <v>3893109</v>
      </c>
      <c r="G58" s="431">
        <f>+G10+G31</f>
        <v>3187283</v>
      </c>
      <c r="H58" s="431">
        <f>+H10+H31</f>
        <v>0</v>
      </c>
    </row>
    <row r="59" spans="1:8" x14ac:dyDescent="0.2">
      <c r="A59" s="41" t="s">
        <v>245</v>
      </c>
      <c r="B59" s="42" t="s">
        <v>246</v>
      </c>
      <c r="C59" s="42" t="s">
        <v>247</v>
      </c>
    </row>
    <row r="60" spans="1:8" x14ac:dyDescent="0.2">
      <c r="A60" s="41" t="s">
        <v>141</v>
      </c>
      <c r="B60" s="42" t="s">
        <v>248</v>
      </c>
      <c r="C60" s="42" t="s">
        <v>249</v>
      </c>
    </row>
    <row r="61" spans="1:8" x14ac:dyDescent="0.2">
      <c r="A61" s="41" t="s">
        <v>142</v>
      </c>
      <c r="B61" s="42" t="s">
        <v>250</v>
      </c>
      <c r="C61" s="42" t="s">
        <v>251</v>
      </c>
    </row>
    <row r="62" spans="1:8" x14ac:dyDescent="0.2">
      <c r="A62" s="41" t="s">
        <v>152</v>
      </c>
      <c r="B62" s="42" t="s">
        <v>252</v>
      </c>
      <c r="C62" s="42" t="s">
        <v>253</v>
      </c>
    </row>
    <row r="63" spans="1:8" ht="16.5" x14ac:dyDescent="0.2">
      <c r="A63" s="41"/>
      <c r="B63" s="54" t="s">
        <v>161</v>
      </c>
      <c r="C63" s="42"/>
    </row>
    <row r="64" spans="1:8" x14ac:dyDescent="0.2">
      <c r="A64" s="41"/>
      <c r="B64" s="39" t="s">
        <v>611</v>
      </c>
      <c r="C64" s="42"/>
    </row>
    <row r="65" spans="1:10" x14ac:dyDescent="0.2">
      <c r="B65" s="53" t="s">
        <v>424</v>
      </c>
      <c r="D65" s="328"/>
      <c r="E65" s="328"/>
      <c r="F65" s="328"/>
      <c r="G65" s="328"/>
      <c r="H65" s="328"/>
    </row>
    <row r="66" spans="1:10" x14ac:dyDescent="0.2">
      <c r="B66" s="53"/>
      <c r="D66" s="328"/>
      <c r="E66" s="328"/>
      <c r="F66" s="328"/>
      <c r="G66" s="328"/>
      <c r="H66" s="328"/>
    </row>
    <row r="67" spans="1:10" x14ac:dyDescent="0.2">
      <c r="A67" s="41" t="s">
        <v>164</v>
      </c>
      <c r="B67" s="55" t="s">
        <v>254</v>
      </c>
      <c r="C67" s="42" t="s">
        <v>255</v>
      </c>
      <c r="D67" s="430">
        <f>+D68</f>
        <v>5105815.05</v>
      </c>
      <c r="E67" s="430">
        <f>+E68</f>
        <v>3830538.8</v>
      </c>
      <c r="F67" s="430">
        <f>+F68</f>
        <v>761126.75</v>
      </c>
      <c r="G67" s="430">
        <f>+G68</f>
        <v>-176224</v>
      </c>
      <c r="H67" s="430">
        <f>+H68</f>
        <v>0</v>
      </c>
    </row>
    <row r="68" spans="1:10" x14ac:dyDescent="0.2">
      <c r="A68" s="41" t="s">
        <v>141</v>
      </c>
      <c r="B68" s="42" t="s">
        <v>256</v>
      </c>
      <c r="C68" s="42" t="s">
        <v>257</v>
      </c>
      <c r="D68" s="430">
        <f>+D70+D73+D77+D78</f>
        <v>5105815.05</v>
      </c>
      <c r="E68" s="430">
        <f>+E70+E73+E77+E78</f>
        <v>3830538.8</v>
      </c>
      <c r="F68" s="430">
        <f>+F70+F73+F77+F78</f>
        <v>761126.75</v>
      </c>
      <c r="G68" s="430">
        <f>+G70+G73+G77+G78</f>
        <v>-176224</v>
      </c>
      <c r="H68" s="430">
        <f>+H70+H73+H77+H78</f>
        <v>0</v>
      </c>
    </row>
    <row r="69" spans="1:10" x14ac:dyDescent="0.2">
      <c r="B69" s="42" t="s">
        <v>258</v>
      </c>
    </row>
    <row r="70" spans="1:10" x14ac:dyDescent="0.2">
      <c r="A70" s="41" t="s">
        <v>146</v>
      </c>
      <c r="B70" s="42" t="s">
        <v>259</v>
      </c>
      <c r="C70" s="42" t="s">
        <v>260</v>
      </c>
      <c r="D70" s="430">
        <v>100000</v>
      </c>
      <c r="E70" s="430">
        <v>100000</v>
      </c>
      <c r="F70" s="430">
        <v>100000</v>
      </c>
      <c r="G70" s="430">
        <v>100000</v>
      </c>
      <c r="H70" s="430">
        <v>0</v>
      </c>
      <c r="J70" s="89"/>
    </row>
    <row r="71" spans="1:10" x14ac:dyDescent="0.2">
      <c r="A71" s="41" t="s">
        <v>147</v>
      </c>
      <c r="B71" s="42" t="s">
        <v>261</v>
      </c>
      <c r="C71" s="42" t="s">
        <v>262</v>
      </c>
      <c r="D71" s="430"/>
      <c r="E71" s="430"/>
      <c r="F71" s="430"/>
      <c r="G71" s="430"/>
      <c r="H71" s="430"/>
    </row>
    <row r="72" spans="1:10" x14ac:dyDescent="0.2">
      <c r="A72" s="41" t="s">
        <v>148</v>
      </c>
      <c r="B72" s="42" t="s">
        <v>263</v>
      </c>
      <c r="C72" s="42" t="s">
        <v>264</v>
      </c>
      <c r="D72" s="89"/>
      <c r="E72" s="89"/>
      <c r="F72" s="89"/>
      <c r="G72" s="89"/>
      <c r="H72" s="89"/>
    </row>
    <row r="73" spans="1:10" x14ac:dyDescent="0.2">
      <c r="A73" s="41" t="s">
        <v>150</v>
      </c>
      <c r="B73" s="42" t="s">
        <v>265</v>
      </c>
      <c r="C73" s="42" t="s">
        <v>266</v>
      </c>
      <c r="D73" s="430">
        <v>0</v>
      </c>
      <c r="E73" s="430">
        <v>0</v>
      </c>
      <c r="F73" s="430">
        <v>0</v>
      </c>
      <c r="G73" s="430">
        <v>0</v>
      </c>
      <c r="H73" s="430">
        <v>0</v>
      </c>
    </row>
    <row r="74" spans="1:10" x14ac:dyDescent="0.2">
      <c r="B74" s="42" t="s">
        <v>267</v>
      </c>
      <c r="C74" s="42" t="s">
        <v>268</v>
      </c>
      <c r="D74" s="430">
        <v>0</v>
      </c>
      <c r="E74" s="430">
        <v>0</v>
      </c>
      <c r="F74" s="430">
        <v>0</v>
      </c>
      <c r="G74" s="430">
        <v>0</v>
      </c>
      <c r="H74" s="430">
        <v>0</v>
      </c>
    </row>
    <row r="75" spans="1:10" x14ac:dyDescent="0.2">
      <c r="B75" s="42" t="s">
        <v>269</v>
      </c>
      <c r="C75" s="42" t="s">
        <v>270</v>
      </c>
      <c r="D75" s="430">
        <v>0</v>
      </c>
      <c r="E75" s="430">
        <v>0</v>
      </c>
      <c r="F75" s="430">
        <v>0</v>
      </c>
      <c r="G75" s="430">
        <v>0</v>
      </c>
      <c r="H75" s="430">
        <v>0</v>
      </c>
    </row>
    <row r="76" spans="1:10" x14ac:dyDescent="0.2">
      <c r="B76" s="42" t="s">
        <v>271</v>
      </c>
      <c r="C76" s="42" t="s">
        <v>272</v>
      </c>
      <c r="D76" s="430"/>
      <c r="E76" s="430"/>
      <c r="F76" s="430"/>
      <c r="G76" s="430"/>
      <c r="H76" s="430"/>
    </row>
    <row r="77" spans="1:10" x14ac:dyDescent="0.2">
      <c r="A77" s="41" t="s">
        <v>151</v>
      </c>
      <c r="B77" s="42" t="s">
        <v>273</v>
      </c>
      <c r="C77" s="42" t="s">
        <v>274</v>
      </c>
      <c r="D77" s="430">
        <f>+E77+E78</f>
        <v>3730538.8</v>
      </c>
      <c r="E77" s="430">
        <f>+F77+F78</f>
        <v>661126.75</v>
      </c>
      <c r="F77" s="430">
        <f>+G77+G78</f>
        <v>-276224</v>
      </c>
      <c r="G77" s="430">
        <f>+H77+H78</f>
        <v>0</v>
      </c>
      <c r="H77" s="430">
        <v>0</v>
      </c>
    </row>
    <row r="78" spans="1:10" x14ac:dyDescent="0.2">
      <c r="A78" s="41" t="s">
        <v>174</v>
      </c>
      <c r="B78" s="42" t="s">
        <v>275</v>
      </c>
      <c r="C78" s="42" t="s">
        <v>276</v>
      </c>
      <c r="D78" s="430">
        <f>+'Ardh shpenz alpha'!C107</f>
        <v>1275276.25</v>
      </c>
      <c r="E78" s="430">
        <f>+'Ardh shpenz alpha'!D107</f>
        <v>3069412.05</v>
      </c>
      <c r="F78" s="430">
        <f>+'Ardh shpenz alpha'!E107</f>
        <v>937350.75</v>
      </c>
      <c r="G78" s="430">
        <f>+'Ardh shpenz alpha'!F107</f>
        <v>-276224</v>
      </c>
      <c r="H78" s="430">
        <f>+'Ardh shpenz alpha'!G107</f>
        <v>0</v>
      </c>
    </row>
    <row r="79" spans="1:10" x14ac:dyDescent="0.2">
      <c r="A79" s="41" t="s">
        <v>160</v>
      </c>
      <c r="B79" s="42" t="s">
        <v>277</v>
      </c>
      <c r="C79" s="42" t="s">
        <v>278</v>
      </c>
    </row>
    <row r="80" spans="1:10" x14ac:dyDescent="0.2">
      <c r="A80" s="41" t="s">
        <v>142</v>
      </c>
      <c r="B80" s="42" t="s">
        <v>279</v>
      </c>
      <c r="C80" s="42" t="s">
        <v>280</v>
      </c>
    </row>
    <row r="81" spans="1:8" x14ac:dyDescent="0.2">
      <c r="A81" s="41" t="s">
        <v>146</v>
      </c>
      <c r="B81" s="42" t="s">
        <v>281</v>
      </c>
      <c r="C81" s="42" t="s">
        <v>282</v>
      </c>
    </row>
    <row r="82" spans="1:8" x14ac:dyDescent="0.2">
      <c r="A82" s="41" t="s">
        <v>147</v>
      </c>
      <c r="B82" s="42" t="s">
        <v>283</v>
      </c>
      <c r="C82" s="42" t="s">
        <v>284</v>
      </c>
    </row>
    <row r="83" spans="1:8" x14ac:dyDescent="0.2">
      <c r="A83" s="41" t="s">
        <v>148</v>
      </c>
      <c r="B83" s="42" t="s">
        <v>285</v>
      </c>
      <c r="C83" s="42" t="s">
        <v>286</v>
      </c>
    </row>
    <row r="84" spans="1:8" x14ac:dyDescent="0.2">
      <c r="A84" s="41" t="s">
        <v>150</v>
      </c>
      <c r="B84" s="42" t="s">
        <v>287</v>
      </c>
      <c r="C84" s="42" t="s">
        <v>288</v>
      </c>
    </row>
    <row r="85" spans="1:8" x14ac:dyDescent="0.2">
      <c r="A85" s="41" t="s">
        <v>152</v>
      </c>
      <c r="B85" s="42" t="s">
        <v>289</v>
      </c>
      <c r="C85" s="42" t="s">
        <v>290</v>
      </c>
    </row>
    <row r="86" spans="1:8" x14ac:dyDescent="0.2">
      <c r="A86" s="41" t="s">
        <v>158</v>
      </c>
      <c r="B86" s="42" t="s">
        <v>291</v>
      </c>
      <c r="C86" s="42" t="s">
        <v>292</v>
      </c>
    </row>
    <row r="87" spans="1:8" x14ac:dyDescent="0.2">
      <c r="A87" s="41" t="s">
        <v>146</v>
      </c>
      <c r="B87" s="42" t="s">
        <v>293</v>
      </c>
      <c r="C87" s="42" t="s">
        <v>294</v>
      </c>
    </row>
    <row r="88" spans="1:8" x14ac:dyDescent="0.2">
      <c r="A88" s="41" t="s">
        <v>147</v>
      </c>
      <c r="B88" s="42" t="s">
        <v>295</v>
      </c>
      <c r="C88" s="42" t="s">
        <v>296</v>
      </c>
    </row>
    <row r="89" spans="1:8" x14ac:dyDescent="0.2">
      <c r="A89" s="41" t="s">
        <v>166</v>
      </c>
      <c r="B89" s="42" t="s">
        <v>297</v>
      </c>
      <c r="C89" s="42" t="s">
        <v>298</v>
      </c>
      <c r="D89" s="430">
        <f>+D98</f>
        <v>597596.94999999995</v>
      </c>
      <c r="E89" s="430">
        <f>+E98</f>
        <v>3287881.2</v>
      </c>
      <c r="F89" s="430">
        <f>+F98</f>
        <v>3131982.25</v>
      </c>
      <c r="G89" s="430">
        <f>+G98</f>
        <v>3363507</v>
      </c>
      <c r="H89" s="430">
        <f>+H98</f>
        <v>0</v>
      </c>
    </row>
    <row r="90" spans="1:8" x14ac:dyDescent="0.2">
      <c r="A90" s="41" t="s">
        <v>141</v>
      </c>
      <c r="B90" s="42" t="s">
        <v>299</v>
      </c>
      <c r="C90" s="42" t="s">
        <v>300</v>
      </c>
      <c r="D90" s="430"/>
      <c r="E90" s="430"/>
      <c r="F90" s="430"/>
      <c r="G90" s="430"/>
      <c r="H90" s="430"/>
    </row>
    <row r="91" spans="1:8" x14ac:dyDescent="0.2">
      <c r="A91" s="41" t="s">
        <v>146</v>
      </c>
      <c r="B91" s="42" t="s">
        <v>301</v>
      </c>
      <c r="C91" s="42" t="s">
        <v>302</v>
      </c>
      <c r="D91" s="430"/>
      <c r="E91" s="430"/>
      <c r="F91" s="430"/>
      <c r="G91" s="430"/>
      <c r="H91" s="430"/>
    </row>
    <row r="92" spans="1:8" x14ac:dyDescent="0.2">
      <c r="A92" s="41" t="s">
        <v>147</v>
      </c>
      <c r="B92" s="42" t="s">
        <v>303</v>
      </c>
      <c r="C92" s="42" t="s">
        <v>304</v>
      </c>
    </row>
    <row r="93" spans="1:8" x14ac:dyDescent="0.2">
      <c r="A93" s="41" t="s">
        <v>148</v>
      </c>
      <c r="B93" s="42" t="s">
        <v>305</v>
      </c>
      <c r="C93" s="42" t="s">
        <v>306</v>
      </c>
      <c r="D93" s="430"/>
      <c r="E93" s="430"/>
      <c r="F93" s="430"/>
      <c r="G93" s="430"/>
      <c r="H93" s="430"/>
    </row>
    <row r="94" spans="1:8" x14ac:dyDescent="0.2">
      <c r="A94" s="41" t="s">
        <v>150</v>
      </c>
      <c r="B94" s="42" t="s">
        <v>307</v>
      </c>
      <c r="C94" s="42" t="s">
        <v>308</v>
      </c>
      <c r="D94" s="430"/>
      <c r="E94" s="430"/>
      <c r="F94" s="430"/>
      <c r="G94" s="430"/>
      <c r="H94" s="430"/>
    </row>
    <row r="95" spans="1:8" x14ac:dyDescent="0.2">
      <c r="A95" s="41" t="s">
        <v>151</v>
      </c>
      <c r="B95" s="42" t="s">
        <v>309</v>
      </c>
      <c r="C95" s="42" t="s">
        <v>310</v>
      </c>
    </row>
    <row r="96" spans="1:8" x14ac:dyDescent="0.2">
      <c r="A96" s="41" t="s">
        <v>174</v>
      </c>
      <c r="B96" s="42" t="s">
        <v>120</v>
      </c>
      <c r="C96" s="42" t="s">
        <v>311</v>
      </c>
    </row>
    <row r="97" spans="1:8" x14ac:dyDescent="0.2">
      <c r="A97" s="41" t="s">
        <v>160</v>
      </c>
      <c r="B97" s="42" t="s">
        <v>312</v>
      </c>
      <c r="C97" s="42" t="s">
        <v>313</v>
      </c>
      <c r="D97" s="430"/>
      <c r="E97" s="430"/>
      <c r="F97" s="430"/>
      <c r="G97" s="430"/>
      <c r="H97" s="430"/>
    </row>
    <row r="98" spans="1:8" x14ac:dyDescent="0.2">
      <c r="A98" s="41" t="s">
        <v>142</v>
      </c>
      <c r="B98" s="42" t="s">
        <v>314</v>
      </c>
      <c r="C98" s="42" t="s">
        <v>315</v>
      </c>
      <c r="D98" s="430">
        <f>SUM(D99:D107)</f>
        <v>597596.94999999995</v>
      </c>
      <c r="E98" s="430">
        <f>SUM(E99:E107)</f>
        <v>3287881.2</v>
      </c>
      <c r="F98" s="430">
        <f>SUM(F99:F107)</f>
        <v>3131982.25</v>
      </c>
      <c r="G98" s="430">
        <f>SUM(G99:G107)</f>
        <v>3363507</v>
      </c>
      <c r="H98" s="430">
        <f>+H102+H104+H105+H106+H107+H103</f>
        <v>0</v>
      </c>
    </row>
    <row r="99" spans="1:8" x14ac:dyDescent="0.2">
      <c r="A99" s="41" t="s">
        <v>146</v>
      </c>
      <c r="B99" s="42" t="s">
        <v>301</v>
      </c>
      <c r="C99" s="42" t="s">
        <v>316</v>
      </c>
      <c r="D99" s="430"/>
      <c r="E99" s="430"/>
      <c r="F99" s="430"/>
      <c r="G99" s="430"/>
      <c r="H99" s="430">
        <v>0</v>
      </c>
    </row>
    <row r="100" spans="1:8" x14ac:dyDescent="0.2">
      <c r="A100" s="41" t="s">
        <v>147</v>
      </c>
      <c r="B100" s="42" t="s">
        <v>303</v>
      </c>
      <c r="C100" s="42" t="s">
        <v>317</v>
      </c>
      <c r="D100" s="430"/>
      <c r="E100" s="430"/>
      <c r="F100" s="430"/>
    </row>
    <row r="101" spans="1:8" x14ac:dyDescent="0.2">
      <c r="A101" s="41" t="s">
        <v>148</v>
      </c>
      <c r="B101" s="42" t="s">
        <v>318</v>
      </c>
      <c r="C101" s="42" t="s">
        <v>319</v>
      </c>
    </row>
    <row r="102" spans="1:8" x14ac:dyDescent="0.2">
      <c r="A102" s="41" t="s">
        <v>150</v>
      </c>
      <c r="B102" s="42" t="s">
        <v>307</v>
      </c>
      <c r="C102" s="42" t="s">
        <v>320</v>
      </c>
      <c r="D102" s="430">
        <v>0</v>
      </c>
      <c r="E102" s="430">
        <v>2884354.2</v>
      </c>
      <c r="F102" s="430">
        <v>2991763.25</v>
      </c>
      <c r="G102" s="430">
        <v>3356997</v>
      </c>
      <c r="H102" s="430">
        <v>0</v>
      </c>
    </row>
    <row r="103" spans="1:8" x14ac:dyDescent="0.2">
      <c r="A103" s="41" t="s">
        <v>151</v>
      </c>
      <c r="B103" s="42" t="s">
        <v>321</v>
      </c>
      <c r="C103" s="42" t="s">
        <v>322</v>
      </c>
      <c r="D103" s="521">
        <v>543415.94999999995</v>
      </c>
      <c r="E103" s="430">
        <v>0</v>
      </c>
      <c r="F103" s="430"/>
      <c r="G103" s="430"/>
      <c r="H103" s="430">
        <v>0</v>
      </c>
    </row>
    <row r="104" spans="1:8" x14ac:dyDescent="0.2">
      <c r="A104" s="41" t="s">
        <v>174</v>
      </c>
      <c r="B104" s="42" t="s">
        <v>323</v>
      </c>
      <c r="C104" s="42" t="s">
        <v>324</v>
      </c>
      <c r="D104" s="430">
        <v>51181</v>
      </c>
      <c r="E104" s="430">
        <v>38870</v>
      </c>
      <c r="F104" s="430">
        <v>87885</v>
      </c>
      <c r="G104" s="430">
        <v>3060</v>
      </c>
      <c r="H104" s="430">
        <v>0</v>
      </c>
    </row>
    <row r="105" spans="1:8" x14ac:dyDescent="0.2">
      <c r="A105" s="41" t="s">
        <v>160</v>
      </c>
      <c r="B105" s="140" t="s">
        <v>616</v>
      </c>
      <c r="C105" s="42" t="s">
        <v>325</v>
      </c>
      <c r="D105" s="430">
        <f>3000</f>
        <v>3000</v>
      </c>
      <c r="E105" s="430">
        <f>3000+361657</f>
        <v>364657</v>
      </c>
      <c r="F105" s="430">
        <f>3000+49334</f>
        <v>52334</v>
      </c>
      <c r="G105" s="430">
        <v>3450</v>
      </c>
      <c r="H105" s="430">
        <v>0</v>
      </c>
    </row>
    <row r="106" spans="1:8" x14ac:dyDescent="0.2">
      <c r="A106" s="41" t="s">
        <v>326</v>
      </c>
      <c r="B106" s="42" t="s">
        <v>120</v>
      </c>
      <c r="C106" s="42" t="s">
        <v>327</v>
      </c>
      <c r="D106" s="430">
        <v>0</v>
      </c>
      <c r="E106" s="430">
        <v>0</v>
      </c>
      <c r="F106" s="430">
        <v>0</v>
      </c>
      <c r="G106" s="430">
        <v>0</v>
      </c>
      <c r="H106" s="430">
        <v>0</v>
      </c>
    </row>
    <row r="107" spans="1:8" x14ac:dyDescent="0.2">
      <c r="A107" s="41" t="s">
        <v>328</v>
      </c>
      <c r="B107" s="140" t="s">
        <v>574</v>
      </c>
      <c r="C107" s="42" t="s">
        <v>329</v>
      </c>
      <c r="D107" s="430">
        <v>0</v>
      </c>
      <c r="E107" s="430">
        <v>0</v>
      </c>
      <c r="F107" s="430">
        <v>0</v>
      </c>
      <c r="G107" s="430">
        <v>0</v>
      </c>
      <c r="H107" s="430">
        <v>0</v>
      </c>
    </row>
    <row r="108" spans="1:8" x14ac:dyDescent="0.2">
      <c r="A108" s="41" t="s">
        <v>152</v>
      </c>
      <c r="B108" s="42" t="s">
        <v>330</v>
      </c>
      <c r="C108" s="42" t="s">
        <v>331</v>
      </c>
    </row>
    <row r="109" spans="1:8" x14ac:dyDescent="0.2">
      <c r="A109" s="41" t="s">
        <v>195</v>
      </c>
      <c r="B109" s="42" t="s">
        <v>236</v>
      </c>
      <c r="C109" s="42" t="s">
        <v>332</v>
      </c>
      <c r="D109" s="430"/>
      <c r="E109" s="430"/>
      <c r="F109" s="430"/>
      <c r="G109" s="430"/>
      <c r="H109" s="430"/>
    </row>
    <row r="110" spans="1:8" x14ac:dyDescent="0.2">
      <c r="A110" s="41" t="s">
        <v>146</v>
      </c>
      <c r="B110" s="42" t="s">
        <v>333</v>
      </c>
      <c r="C110" s="42" t="s">
        <v>334</v>
      </c>
      <c r="D110" s="430"/>
      <c r="E110" s="430"/>
      <c r="F110" s="430"/>
      <c r="G110" s="430"/>
      <c r="H110" s="430"/>
    </row>
    <row r="111" spans="1:8" x14ac:dyDescent="0.2">
      <c r="A111" s="41" t="s">
        <v>147</v>
      </c>
      <c r="B111" s="42" t="s">
        <v>110</v>
      </c>
      <c r="C111" s="42" t="s">
        <v>335</v>
      </c>
    </row>
    <row r="112" spans="1:8" x14ac:dyDescent="0.2">
      <c r="B112" s="42" t="s">
        <v>336</v>
      </c>
      <c r="C112" s="42" t="s">
        <v>337</v>
      </c>
      <c r="D112" s="431">
        <f>+D109+D89+D67</f>
        <v>5703412</v>
      </c>
      <c r="E112" s="431">
        <f>+E109+E89+E67</f>
        <v>7118420</v>
      </c>
      <c r="F112" s="431">
        <f>+F109+F89+F67</f>
        <v>3893109</v>
      </c>
      <c r="G112" s="431">
        <f>+G109+G89+G67</f>
        <v>3187283</v>
      </c>
      <c r="H112" s="431">
        <f>+H109+H89+H67</f>
        <v>0</v>
      </c>
    </row>
    <row r="113" spans="1:8" x14ac:dyDescent="0.2">
      <c r="B113" s="42" t="s">
        <v>246</v>
      </c>
      <c r="C113" s="42" t="s">
        <v>338</v>
      </c>
    </row>
    <row r="114" spans="1:8" x14ac:dyDescent="0.2">
      <c r="A114" s="41" t="s">
        <v>146</v>
      </c>
      <c r="B114" s="42" t="s">
        <v>339</v>
      </c>
      <c r="C114" s="42" t="s">
        <v>340</v>
      </c>
    </row>
    <row r="115" spans="1:8" x14ac:dyDescent="0.2">
      <c r="A115" s="41" t="s">
        <v>147</v>
      </c>
      <c r="B115" s="42" t="s">
        <v>341</v>
      </c>
      <c r="C115" s="42" t="s">
        <v>342</v>
      </c>
    </row>
    <row r="116" spans="1:8" x14ac:dyDescent="0.2">
      <c r="A116" s="41" t="s">
        <v>148</v>
      </c>
      <c r="B116" s="42" t="s">
        <v>343</v>
      </c>
      <c r="C116" s="42" t="s">
        <v>344</v>
      </c>
    </row>
    <row r="117" spans="1:8" x14ac:dyDescent="0.2">
      <c r="C117" s="42" t="s">
        <v>345</v>
      </c>
    </row>
    <row r="119" spans="1:8" x14ac:dyDescent="0.2">
      <c r="A119" s="43"/>
      <c r="D119" s="63">
        <f>+D58-D112</f>
        <v>0</v>
      </c>
      <c r="E119" s="63">
        <f>+E58-E112</f>
        <v>0</v>
      </c>
      <c r="F119" s="63">
        <f>+F58-F112</f>
        <v>0</v>
      </c>
      <c r="G119" s="63">
        <f>+G58-G112</f>
        <v>0</v>
      </c>
      <c r="H119" s="63">
        <f>+H58-H112</f>
        <v>0</v>
      </c>
    </row>
    <row r="120" spans="1:8" x14ac:dyDescent="0.2">
      <c r="D120" s="328"/>
      <c r="E120" s="328"/>
      <c r="F120" s="328"/>
      <c r="G120" s="328"/>
      <c r="H120" s="328"/>
    </row>
    <row r="121" spans="1:8" x14ac:dyDescent="0.2">
      <c r="D121" s="89"/>
      <c r="E121" s="89"/>
      <c r="F121" s="89"/>
      <c r="G121" s="89"/>
      <c r="H121" s="89"/>
    </row>
    <row r="124" spans="1:8" x14ac:dyDescent="0.2">
      <c r="D124" s="89"/>
      <c r="E124" s="89"/>
    </row>
    <row r="125" spans="1:8" x14ac:dyDescent="0.2">
      <c r="D125" s="89"/>
      <c r="E125" s="89"/>
      <c r="F125" s="89"/>
      <c r="G125" s="89"/>
      <c r="H125" s="89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76" workbookViewId="0">
      <selection activeCell="C104" sqref="C104"/>
    </sheetView>
  </sheetViews>
  <sheetFormatPr defaultColWidth="11.42578125" defaultRowHeight="12.75" x14ac:dyDescent="0.2"/>
  <cols>
    <col min="1" max="1" width="8.28515625" style="44" customWidth="1"/>
    <col min="2" max="2" width="47.42578125" style="44" bestFit="1" customWidth="1"/>
    <col min="3" max="4" width="14.140625" style="44" customWidth="1"/>
    <col min="5" max="7" width="14.140625" style="44" hidden="1" customWidth="1"/>
    <col min="8" max="8" width="12.85546875" style="44" bestFit="1" customWidth="1"/>
    <col min="9" max="9" width="11.7109375" style="44" bestFit="1" customWidth="1"/>
    <col min="10" max="16384" width="11.42578125" style="44"/>
  </cols>
  <sheetData>
    <row r="1" spans="1:7" ht="18" x14ac:dyDescent="0.2">
      <c r="B1" s="45" t="s">
        <v>347</v>
      </c>
    </row>
    <row r="3" spans="1:7" ht="14.25" x14ac:dyDescent="0.2">
      <c r="B3" s="46" t="s">
        <v>348</v>
      </c>
    </row>
    <row r="9" spans="1:7" ht="15" x14ac:dyDescent="0.2">
      <c r="A9" s="47" t="s">
        <v>349</v>
      </c>
      <c r="B9" s="48" t="s">
        <v>350</v>
      </c>
      <c r="C9" s="47" t="s">
        <v>692</v>
      </c>
      <c r="D9" s="47" t="s">
        <v>670</v>
      </c>
      <c r="E9" s="47" t="s">
        <v>671</v>
      </c>
      <c r="F9" s="47" t="s">
        <v>637</v>
      </c>
      <c r="G9" s="47" t="s">
        <v>580</v>
      </c>
    </row>
    <row r="11" spans="1:7" x14ac:dyDescent="0.2">
      <c r="B11" s="327"/>
    </row>
    <row r="12" spans="1:7" x14ac:dyDescent="0.2">
      <c r="A12" s="49" t="s">
        <v>141</v>
      </c>
      <c r="B12" s="50" t="s">
        <v>351</v>
      </c>
      <c r="C12" s="57">
        <f>+C14+C15</f>
        <v>15746000</v>
      </c>
      <c r="D12" s="57">
        <f>+D14+D15</f>
        <v>14803750</v>
      </c>
      <c r="E12" s="57">
        <f>+E14+E15</f>
        <v>8392500</v>
      </c>
      <c r="F12" s="57">
        <f>+F14+F15</f>
        <v>138750</v>
      </c>
      <c r="G12" s="57" t="e">
        <f>+G14+G15</f>
        <v>#VALUE!</v>
      </c>
    </row>
    <row r="13" spans="1:7" x14ac:dyDescent="0.2">
      <c r="A13" s="49" t="s">
        <v>131</v>
      </c>
      <c r="B13" s="50" t="s">
        <v>352</v>
      </c>
    </row>
    <row r="14" spans="1:7" x14ac:dyDescent="0.2">
      <c r="A14" s="49" t="s">
        <v>132</v>
      </c>
      <c r="B14" s="50" t="s">
        <v>353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x14ac:dyDescent="0.2">
      <c r="A15" s="49" t="s">
        <v>133</v>
      </c>
      <c r="B15" s="50" t="s">
        <v>354</v>
      </c>
      <c r="C15" s="270">
        <v>15746000</v>
      </c>
      <c r="D15" s="270">
        <v>14803750</v>
      </c>
      <c r="E15" s="270">
        <v>8392500</v>
      </c>
      <c r="F15" s="270">
        <v>138750</v>
      </c>
      <c r="G15" s="270" t="s">
        <v>535</v>
      </c>
    </row>
    <row r="16" spans="1:7" x14ac:dyDescent="0.2">
      <c r="A16" s="49" t="s">
        <v>134</v>
      </c>
      <c r="B16" s="50" t="s">
        <v>355</v>
      </c>
    </row>
    <row r="17" spans="1:7" x14ac:dyDescent="0.2">
      <c r="B17" s="50" t="s">
        <v>356</v>
      </c>
      <c r="C17" s="51">
        <f>+C14+C15</f>
        <v>15746000</v>
      </c>
      <c r="D17" s="51">
        <f>+D14+D15</f>
        <v>14803750</v>
      </c>
      <c r="E17" s="51">
        <f>+E14+E15</f>
        <v>8392500</v>
      </c>
      <c r="F17" s="51">
        <f>+F14+F15</f>
        <v>138750</v>
      </c>
      <c r="G17" s="51">
        <f>+G14</f>
        <v>0</v>
      </c>
    </row>
    <row r="18" spans="1:7" x14ac:dyDescent="0.2">
      <c r="B18" s="50" t="s">
        <v>357</v>
      </c>
    </row>
    <row r="19" spans="1:7" x14ac:dyDescent="0.2">
      <c r="A19" s="49" t="s">
        <v>142</v>
      </c>
      <c r="B19" s="50" t="s">
        <v>358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">
      <c r="A20" s="49" t="s">
        <v>135</v>
      </c>
      <c r="B20" s="50" t="s">
        <v>359</v>
      </c>
    </row>
    <row r="21" spans="1:7" x14ac:dyDescent="0.2">
      <c r="A21" s="49" t="s">
        <v>143</v>
      </c>
      <c r="B21" s="50" t="s">
        <v>360</v>
      </c>
    </row>
    <row r="22" spans="1:7" x14ac:dyDescent="0.2">
      <c r="A22" s="49" t="s">
        <v>144</v>
      </c>
      <c r="B22" s="50" t="s">
        <v>361</v>
      </c>
    </row>
    <row r="23" spans="1:7" x14ac:dyDescent="0.2">
      <c r="A23" s="49" t="s">
        <v>145</v>
      </c>
      <c r="B23" s="50" t="s">
        <v>362</v>
      </c>
      <c r="C23" s="51"/>
      <c r="D23" s="51"/>
      <c r="E23" s="51"/>
      <c r="F23" s="51"/>
      <c r="G23" s="51"/>
    </row>
    <row r="24" spans="1:7" x14ac:dyDescent="0.2">
      <c r="A24" s="49" t="s">
        <v>146</v>
      </c>
      <c r="B24" s="50" t="s">
        <v>363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x14ac:dyDescent="0.2">
      <c r="A25" s="49" t="s">
        <v>147</v>
      </c>
      <c r="B25" s="50" t="s">
        <v>364</v>
      </c>
    </row>
    <row r="26" spans="1:7" x14ac:dyDescent="0.2">
      <c r="A26" s="49" t="s">
        <v>148</v>
      </c>
      <c r="B26" s="50" t="s">
        <v>110</v>
      </c>
      <c r="C26" s="51"/>
      <c r="D26" s="51"/>
      <c r="E26" s="51"/>
      <c r="F26" s="51"/>
      <c r="G26" s="51"/>
    </row>
    <row r="28" spans="1:7" x14ac:dyDescent="0.2">
      <c r="A28" s="49" t="s">
        <v>149</v>
      </c>
      <c r="B28" s="50" t="s">
        <v>365</v>
      </c>
    </row>
    <row r="29" spans="1:7" x14ac:dyDescent="0.2">
      <c r="A29" s="49" t="s">
        <v>146</v>
      </c>
      <c r="B29" s="50" t="s">
        <v>366</v>
      </c>
    </row>
    <row r="30" spans="1:7" x14ac:dyDescent="0.2">
      <c r="A30" s="49" t="s">
        <v>147</v>
      </c>
      <c r="B30" s="50" t="s">
        <v>367</v>
      </c>
    </row>
    <row r="31" spans="1:7" x14ac:dyDescent="0.2">
      <c r="A31" s="49" t="s">
        <v>148</v>
      </c>
      <c r="B31" s="50" t="s">
        <v>368</v>
      </c>
    </row>
    <row r="32" spans="1:7" x14ac:dyDescent="0.2">
      <c r="A32" s="49" t="s">
        <v>150</v>
      </c>
      <c r="B32" s="50" t="s">
        <v>369</v>
      </c>
    </row>
    <row r="33" spans="1:7" x14ac:dyDescent="0.2">
      <c r="A33" s="49" t="s">
        <v>151</v>
      </c>
      <c r="B33" s="50" t="s">
        <v>370</v>
      </c>
    </row>
    <row r="34" spans="1:7" x14ac:dyDescent="0.2">
      <c r="B34" s="50" t="s">
        <v>371</v>
      </c>
      <c r="C34" s="51">
        <f>+C17</f>
        <v>15746000</v>
      </c>
      <c r="D34" s="51">
        <f>+D17</f>
        <v>14803750</v>
      </c>
      <c r="E34" s="51">
        <f>+E17</f>
        <v>8392500</v>
      </c>
      <c r="F34" s="51">
        <f>+F17</f>
        <v>138750</v>
      </c>
      <c r="G34" s="51">
        <f>+G17</f>
        <v>0</v>
      </c>
    </row>
    <row r="35" spans="1:7" x14ac:dyDescent="0.2">
      <c r="C35" s="327"/>
      <c r="D35" s="327"/>
      <c r="E35" s="327"/>
      <c r="F35" s="327"/>
      <c r="G35" s="327"/>
    </row>
    <row r="36" spans="1:7" x14ac:dyDescent="0.2">
      <c r="A36" s="49" t="s">
        <v>152</v>
      </c>
      <c r="B36" s="50" t="s">
        <v>372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">
      <c r="A37" s="49" t="s">
        <v>153</v>
      </c>
      <c r="B37" s="50" t="s">
        <v>373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</row>
    <row r="38" spans="1:7" x14ac:dyDescent="0.2">
      <c r="A38" s="49" t="s">
        <v>154</v>
      </c>
      <c r="B38" s="50" t="s">
        <v>374</v>
      </c>
    </row>
    <row r="39" spans="1:7" x14ac:dyDescent="0.2">
      <c r="A39" s="49" t="s">
        <v>155</v>
      </c>
      <c r="B39" s="50" t="s">
        <v>375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</row>
    <row r="40" spans="1:7" x14ac:dyDescent="0.2">
      <c r="A40" s="49" t="s">
        <v>156</v>
      </c>
      <c r="B40" s="50" t="s">
        <v>376</v>
      </c>
    </row>
    <row r="41" spans="1:7" x14ac:dyDescent="0.2">
      <c r="A41" s="49" t="s">
        <v>157</v>
      </c>
      <c r="B41" s="50" t="s">
        <v>377</v>
      </c>
      <c r="C41" s="51">
        <v>-1.7462298274040222E-10</v>
      </c>
      <c r="D41" s="51">
        <v>-1.7462298274040222E-10</v>
      </c>
      <c r="E41" s="51">
        <v>-1.7462298274040222E-10</v>
      </c>
      <c r="F41" s="51">
        <v>-1.7462298274040222E-10</v>
      </c>
      <c r="G41" s="51">
        <v>-1.7462298274040222E-10</v>
      </c>
    </row>
    <row r="42" spans="1:7" x14ac:dyDescent="0.2">
      <c r="C42" s="327"/>
      <c r="D42" s="327"/>
      <c r="E42" s="327"/>
      <c r="F42" s="327"/>
      <c r="G42" s="327"/>
    </row>
    <row r="43" spans="1:7" x14ac:dyDescent="0.2">
      <c r="B43" s="50" t="s">
        <v>378</v>
      </c>
      <c r="C43" s="57">
        <f>+C34</f>
        <v>15746000</v>
      </c>
      <c r="D43" s="57">
        <f>+D34</f>
        <v>14803750</v>
      </c>
      <c r="E43" s="57">
        <f>+E34</f>
        <v>8392500</v>
      </c>
      <c r="F43" s="57">
        <f>+F34</f>
        <v>138750</v>
      </c>
      <c r="G43" s="57">
        <f>+G34</f>
        <v>0</v>
      </c>
    </row>
    <row r="44" spans="1:7" x14ac:dyDescent="0.2">
      <c r="C44" s="327"/>
      <c r="D44" s="327"/>
      <c r="E44" s="327"/>
      <c r="F44" s="327"/>
      <c r="G44" s="327"/>
    </row>
    <row r="45" spans="1:7" x14ac:dyDescent="0.2">
      <c r="B45" s="50" t="s">
        <v>379</v>
      </c>
    </row>
    <row r="46" spans="1:7" x14ac:dyDescent="0.2">
      <c r="B46" s="50" t="s">
        <v>380</v>
      </c>
    </row>
    <row r="47" spans="1:7" x14ac:dyDescent="0.2">
      <c r="A47" s="49" t="s">
        <v>158</v>
      </c>
      <c r="B47" s="50" t="s">
        <v>381</v>
      </c>
    </row>
    <row r="48" spans="1:7" x14ac:dyDescent="0.2">
      <c r="B48" s="50" t="s">
        <v>382</v>
      </c>
    </row>
    <row r="49" spans="1:7" x14ac:dyDescent="0.2">
      <c r="B49" s="50" t="s">
        <v>380</v>
      </c>
    </row>
    <row r="50" spans="1:7" x14ac:dyDescent="0.2">
      <c r="A50" s="49" t="s">
        <v>159</v>
      </c>
      <c r="B50" s="50" t="s">
        <v>383</v>
      </c>
    </row>
    <row r="51" spans="1:7" x14ac:dyDescent="0.2">
      <c r="B51" s="50" t="s">
        <v>380</v>
      </c>
    </row>
    <row r="52" spans="1:7" x14ac:dyDescent="0.2">
      <c r="B52" s="50"/>
    </row>
    <row r="53" spans="1:7" x14ac:dyDescent="0.2">
      <c r="B53" s="50"/>
    </row>
    <row r="54" spans="1:7" x14ac:dyDescent="0.2">
      <c r="B54" s="50"/>
    </row>
    <row r="55" spans="1:7" x14ac:dyDescent="0.2">
      <c r="B55" s="50"/>
    </row>
    <row r="56" spans="1:7" x14ac:dyDescent="0.2">
      <c r="B56" s="50"/>
    </row>
    <row r="57" spans="1:7" x14ac:dyDescent="0.2">
      <c r="B57" s="50"/>
    </row>
    <row r="58" spans="1:7" x14ac:dyDescent="0.2">
      <c r="B58" s="50"/>
    </row>
    <row r="62" spans="1:7" ht="15" x14ac:dyDescent="0.2">
      <c r="A62" s="47" t="s">
        <v>349</v>
      </c>
      <c r="B62" s="48" t="s">
        <v>384</v>
      </c>
      <c r="C62" s="47" t="str">
        <f>+C9</f>
        <v>Vlefta 2019</v>
      </c>
      <c r="D62" s="47" t="str">
        <f>+D9</f>
        <v>Vlefta 2018</v>
      </c>
      <c r="E62" s="47" t="str">
        <f>+E9</f>
        <v>Vlefta 2017</v>
      </c>
      <c r="F62" s="47" t="s">
        <v>573</v>
      </c>
      <c r="G62" s="47" t="s">
        <v>573</v>
      </c>
    </row>
    <row r="65" spans="1:8" x14ac:dyDescent="0.2">
      <c r="A65" s="49" t="s">
        <v>141</v>
      </c>
      <c r="B65" s="50" t="s">
        <v>385</v>
      </c>
      <c r="C65" s="327"/>
      <c r="D65" s="327"/>
      <c r="E65" s="327"/>
      <c r="F65" s="327"/>
      <c r="G65" s="327"/>
    </row>
    <row r="66" spans="1:8" x14ac:dyDescent="0.2">
      <c r="A66" s="49" t="s">
        <v>142</v>
      </c>
      <c r="B66" s="50" t="s">
        <v>386</v>
      </c>
      <c r="C66" s="57">
        <f>+C73+C74+C78+C79+C83+C70</f>
        <v>14245675</v>
      </c>
      <c r="D66" s="57">
        <f>+D73+D74+D78+D79+D83+D70</f>
        <v>11192677</v>
      </c>
      <c r="E66" s="57">
        <f>+E73+E74+E78+E79+E83+E70</f>
        <v>7405815</v>
      </c>
      <c r="F66" s="57">
        <f>+F73+F74+F78+F79+F83+F70</f>
        <v>414974</v>
      </c>
      <c r="G66" s="57">
        <f>+G73+G74+G78+G79+G83+G70</f>
        <v>0</v>
      </c>
    </row>
    <row r="67" spans="1:8" x14ac:dyDescent="0.2">
      <c r="A67" s="49" t="s">
        <v>131</v>
      </c>
      <c r="B67" s="50" t="s">
        <v>387</v>
      </c>
      <c r="C67" s="58"/>
      <c r="D67" s="58"/>
      <c r="E67" s="58"/>
      <c r="F67" s="58"/>
      <c r="G67" s="58"/>
    </row>
    <row r="68" spans="1:8" x14ac:dyDescent="0.2">
      <c r="A68" s="49" t="s">
        <v>146</v>
      </c>
      <c r="B68" s="50" t="s">
        <v>388</v>
      </c>
      <c r="C68" s="51"/>
      <c r="D68" s="51"/>
      <c r="E68" s="51"/>
      <c r="F68" s="51"/>
      <c r="G68" s="51"/>
    </row>
    <row r="69" spans="1:8" x14ac:dyDescent="0.2">
      <c r="A69" s="49" t="s">
        <v>147</v>
      </c>
      <c r="B69" s="50" t="s">
        <v>389</v>
      </c>
    </row>
    <row r="70" spans="1:8" x14ac:dyDescent="0.2">
      <c r="A70" s="49" t="s">
        <v>132</v>
      </c>
      <c r="B70" s="50" t="s">
        <v>390</v>
      </c>
      <c r="C70" s="58">
        <f>SUM(C71:C72)</f>
        <v>7604659</v>
      </c>
      <c r="D70" s="58">
        <f>SUM(D71:D72)</f>
        <v>6376488</v>
      </c>
      <c r="E70" s="58">
        <f>SUM(E71:E72)</f>
        <v>5326634</v>
      </c>
      <c r="F70" s="58">
        <f>SUM(F71:F72)</f>
        <v>103674</v>
      </c>
      <c r="G70" s="58"/>
    </row>
    <row r="71" spans="1:8" x14ac:dyDescent="0.2">
      <c r="A71" s="49" t="s">
        <v>146</v>
      </c>
      <c r="B71" s="50" t="s">
        <v>391</v>
      </c>
      <c r="C71" s="51">
        <f>6287697+688780</f>
        <v>6976477</v>
      </c>
      <c r="D71" s="51">
        <v>7737103</v>
      </c>
      <c r="E71" s="51">
        <f>4005363+877691</f>
        <v>4883054</v>
      </c>
      <c r="F71" s="51">
        <f>1953657+152280+28509</f>
        <v>2134446</v>
      </c>
      <c r="G71" s="51"/>
    </row>
    <row r="72" spans="1:8" x14ac:dyDescent="0.2">
      <c r="A72" s="49" t="s">
        <v>147</v>
      </c>
      <c r="B72" s="50" t="s">
        <v>392</v>
      </c>
      <c r="C72" s="51">
        <v>628182</v>
      </c>
      <c r="D72" s="51">
        <v>-1360615</v>
      </c>
      <c r="E72" s="51">
        <v>443580</v>
      </c>
      <c r="F72" s="51">
        <v>-2030772</v>
      </c>
      <c r="G72" s="51"/>
    </row>
    <row r="73" spans="1:8" x14ac:dyDescent="0.2">
      <c r="A73" s="49" t="s">
        <v>133</v>
      </c>
      <c r="B73" s="50" t="s">
        <v>393</v>
      </c>
      <c r="C73" s="51">
        <v>3723993</v>
      </c>
      <c r="D73" s="51">
        <f>69583+311255+171678+1210609+94601+240000+53211</f>
        <v>2150937</v>
      </c>
      <c r="E73" s="51">
        <f>79000+26925+18960+68867+279240+21733+307050+23015</f>
        <v>824790</v>
      </c>
      <c r="F73" s="51">
        <f>154821+31500+1331</f>
        <v>187652</v>
      </c>
      <c r="G73" s="51">
        <v>0</v>
      </c>
    </row>
    <row r="74" spans="1:8" x14ac:dyDescent="0.2">
      <c r="A74" s="49" t="s">
        <v>134</v>
      </c>
      <c r="B74" s="50" t="s">
        <v>394</v>
      </c>
      <c r="C74" s="51">
        <f>+C75+C76+C77</f>
        <v>2130535</v>
      </c>
      <c r="D74" s="51">
        <f>+D75+D76+D77</f>
        <v>1610460</v>
      </c>
      <c r="E74" s="51">
        <f>+E75+E76+E77</f>
        <v>1018791</v>
      </c>
      <c r="F74" s="51">
        <f>+F75+F76+F77</f>
        <v>116548</v>
      </c>
      <c r="G74" s="51">
        <f>+G75+G76+G77</f>
        <v>0</v>
      </c>
    </row>
    <row r="75" spans="1:8" x14ac:dyDescent="0.2">
      <c r="A75" s="49" t="s">
        <v>146</v>
      </c>
      <c r="B75" s="50" t="s">
        <v>395</v>
      </c>
      <c r="C75" s="51">
        <v>1825650</v>
      </c>
      <c r="D75" s="51">
        <v>1380000</v>
      </c>
      <c r="E75" s="51">
        <v>873000</v>
      </c>
      <c r="F75" s="51">
        <v>114600</v>
      </c>
      <c r="G75" s="51">
        <v>0</v>
      </c>
      <c r="H75" s="327"/>
    </row>
    <row r="76" spans="1:8" x14ac:dyDescent="0.2">
      <c r="A76" s="49" t="s">
        <v>147</v>
      </c>
      <c r="B76" s="50" t="s">
        <v>396</v>
      </c>
      <c r="C76" s="51"/>
      <c r="D76" s="51"/>
      <c r="E76" s="51"/>
      <c r="F76" s="51"/>
      <c r="G76" s="51"/>
    </row>
    <row r="77" spans="1:8" x14ac:dyDescent="0.2">
      <c r="A77" s="49" t="s">
        <v>148</v>
      </c>
      <c r="B77" s="50" t="s">
        <v>397</v>
      </c>
      <c r="C77" s="51">
        <v>304885</v>
      </c>
      <c r="D77" s="51">
        <v>230460</v>
      </c>
      <c r="E77" s="51">
        <v>145791</v>
      </c>
      <c r="F77" s="51">
        <v>1948</v>
      </c>
      <c r="G77" s="51">
        <v>0</v>
      </c>
    </row>
    <row r="78" spans="1:8" x14ac:dyDescent="0.2">
      <c r="A78" s="49" t="s">
        <v>135</v>
      </c>
      <c r="B78" s="50" t="s">
        <v>398</v>
      </c>
      <c r="C78" s="51">
        <v>101000</v>
      </c>
      <c r="D78" s="51">
        <v>101000</v>
      </c>
      <c r="E78" s="51">
        <v>21000</v>
      </c>
      <c r="F78" s="51">
        <v>7100</v>
      </c>
      <c r="G78" s="51">
        <v>0</v>
      </c>
    </row>
    <row r="79" spans="1:8" x14ac:dyDescent="0.2">
      <c r="A79" s="49" t="s">
        <v>143</v>
      </c>
      <c r="B79" s="50" t="s">
        <v>399</v>
      </c>
      <c r="C79" s="51">
        <f>+C80+C81+C82</f>
        <v>0</v>
      </c>
      <c r="D79" s="51">
        <f>+D80+D81+D82</f>
        <v>0</v>
      </c>
      <c r="E79" s="51">
        <f>+E80+E81+E82</f>
        <v>0</v>
      </c>
      <c r="F79" s="51">
        <f>+F80+F81+F82</f>
        <v>0</v>
      </c>
      <c r="G79" s="51">
        <f>+G80+G81+G82</f>
        <v>0</v>
      </c>
    </row>
    <row r="80" spans="1:8" x14ac:dyDescent="0.2">
      <c r="A80" s="49" t="s">
        <v>146</v>
      </c>
      <c r="B80" s="50" t="s">
        <v>400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</row>
    <row r="81" spans="1:7" x14ac:dyDescent="0.2">
      <c r="A81" s="49" t="s">
        <v>147</v>
      </c>
      <c r="B81" s="50" t="s">
        <v>401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</row>
    <row r="82" spans="1:7" x14ac:dyDescent="0.2">
      <c r="A82" s="49" t="s">
        <v>148</v>
      </c>
      <c r="B82" s="286" t="s">
        <v>542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</row>
    <row r="83" spans="1:7" x14ac:dyDescent="0.2">
      <c r="A83" s="49" t="s">
        <v>144</v>
      </c>
      <c r="B83" s="50" t="s">
        <v>402</v>
      </c>
      <c r="C83" s="51">
        <f>+C84</f>
        <v>685488</v>
      </c>
      <c r="D83" s="51">
        <f>+D84</f>
        <v>953792</v>
      </c>
      <c r="E83" s="51">
        <f>+E84</f>
        <v>214600</v>
      </c>
      <c r="F83" s="51">
        <f>+F84</f>
        <v>0</v>
      </c>
      <c r="G83" s="51">
        <f>+G84</f>
        <v>0</v>
      </c>
    </row>
    <row r="84" spans="1:7" x14ac:dyDescent="0.2">
      <c r="A84" s="49" t="s">
        <v>146</v>
      </c>
      <c r="B84" s="50" t="s">
        <v>403</v>
      </c>
      <c r="C84" s="51">
        <v>685488</v>
      </c>
      <c r="D84" s="51">
        <v>953792</v>
      </c>
      <c r="E84" s="51">
        <v>214600</v>
      </c>
      <c r="F84" s="51">
        <v>0</v>
      </c>
      <c r="G84" s="51">
        <v>0</v>
      </c>
    </row>
    <row r="85" spans="1:7" x14ac:dyDescent="0.2">
      <c r="A85" s="49" t="s">
        <v>147</v>
      </c>
      <c r="B85" s="50" t="s">
        <v>404</v>
      </c>
    </row>
    <row r="86" spans="1:7" x14ac:dyDescent="0.2">
      <c r="A86" s="49" t="s">
        <v>148</v>
      </c>
      <c r="B86" s="50" t="s">
        <v>405</v>
      </c>
    </row>
    <row r="87" spans="1:7" x14ac:dyDescent="0.2">
      <c r="A87" s="49" t="s">
        <v>150</v>
      </c>
      <c r="B87" s="50" t="s">
        <v>140</v>
      </c>
    </row>
    <row r="88" spans="1:7" x14ac:dyDescent="0.2">
      <c r="A88" s="49" t="s">
        <v>151</v>
      </c>
      <c r="B88" s="50" t="s">
        <v>406</v>
      </c>
    </row>
    <row r="89" spans="1:7" x14ac:dyDescent="0.2">
      <c r="A89" s="49" t="s">
        <v>160</v>
      </c>
      <c r="B89" s="50" t="s">
        <v>110</v>
      </c>
    </row>
    <row r="90" spans="1:7" x14ac:dyDescent="0.2">
      <c r="B90" s="50" t="s">
        <v>371</v>
      </c>
      <c r="C90" s="51">
        <f>+C66</f>
        <v>14245675</v>
      </c>
      <c r="D90" s="51">
        <f>+D66</f>
        <v>11192677</v>
      </c>
      <c r="E90" s="51">
        <f>+E66</f>
        <v>7405815</v>
      </c>
      <c r="F90" s="51">
        <f>+F66</f>
        <v>414974</v>
      </c>
      <c r="G90" s="51">
        <f>+G66</f>
        <v>0</v>
      </c>
    </row>
    <row r="91" spans="1:7" x14ac:dyDescent="0.2">
      <c r="A91" s="49" t="s">
        <v>152</v>
      </c>
      <c r="B91" s="50" t="s">
        <v>407</v>
      </c>
      <c r="C91" s="57">
        <f>SUM(C92:C95)</f>
        <v>0</v>
      </c>
      <c r="D91" s="57">
        <f>SUM(D92:D95)</f>
        <v>0</v>
      </c>
      <c r="E91" s="57">
        <f>SUM(E92:E95)</f>
        <v>0</v>
      </c>
      <c r="F91" s="57">
        <f>SUM(F92:F95)</f>
        <v>0</v>
      </c>
      <c r="G91" s="57">
        <f>SUM(G92:G95)</f>
        <v>0</v>
      </c>
    </row>
    <row r="92" spans="1:7" x14ac:dyDescent="0.2">
      <c r="A92" s="49" t="s">
        <v>145</v>
      </c>
      <c r="B92" s="50" t="s">
        <v>408</v>
      </c>
      <c r="C92" s="51"/>
      <c r="D92" s="51"/>
      <c r="E92" s="51">
        <v>0</v>
      </c>
      <c r="F92" s="51">
        <v>0</v>
      </c>
      <c r="G92" s="51">
        <v>0</v>
      </c>
    </row>
    <row r="93" spans="1:7" x14ac:dyDescent="0.2">
      <c r="A93" s="49" t="s">
        <v>149</v>
      </c>
      <c r="B93" s="50" t="s">
        <v>409</v>
      </c>
      <c r="C93" s="329"/>
      <c r="D93" s="329"/>
      <c r="E93" s="329"/>
      <c r="F93" s="329"/>
      <c r="G93" s="329"/>
    </row>
    <row r="94" spans="1:7" x14ac:dyDescent="0.2">
      <c r="A94" s="49" t="s">
        <v>153</v>
      </c>
      <c r="B94" s="50" t="s">
        <v>410</v>
      </c>
      <c r="C94" s="51"/>
      <c r="D94" s="51"/>
      <c r="E94" s="51">
        <v>0</v>
      </c>
      <c r="F94" s="51"/>
      <c r="G94" s="51">
        <v>0</v>
      </c>
    </row>
    <row r="95" spans="1:7" x14ac:dyDescent="0.2">
      <c r="A95" s="49" t="s">
        <v>154</v>
      </c>
      <c r="B95" s="50" t="s">
        <v>411</v>
      </c>
    </row>
    <row r="96" spans="1:7" x14ac:dyDescent="0.2">
      <c r="A96" s="49" t="s">
        <v>155</v>
      </c>
      <c r="B96" s="50" t="s">
        <v>412</v>
      </c>
    </row>
    <row r="97" spans="1:9" x14ac:dyDescent="0.2">
      <c r="A97" s="49" t="s">
        <v>156</v>
      </c>
      <c r="B97" s="50" t="s">
        <v>110</v>
      </c>
      <c r="C97" s="327"/>
      <c r="D97" s="327"/>
      <c r="E97" s="327"/>
      <c r="F97" s="327"/>
      <c r="G97" s="327"/>
    </row>
    <row r="98" spans="1:9" x14ac:dyDescent="0.2">
      <c r="B98" s="50" t="s">
        <v>413</v>
      </c>
      <c r="C98" s="57">
        <f>+C90+C91</f>
        <v>14245675</v>
      </c>
      <c r="D98" s="57">
        <f>+D90+D91</f>
        <v>11192677</v>
      </c>
      <c r="E98" s="57">
        <f>+E90+E91</f>
        <v>7405815</v>
      </c>
      <c r="F98" s="57">
        <f>+F90+F91</f>
        <v>414974</v>
      </c>
      <c r="G98" s="57">
        <f>+G90+G91</f>
        <v>0</v>
      </c>
    </row>
    <row r="99" spans="1:9" x14ac:dyDescent="0.2">
      <c r="B99" s="50" t="s">
        <v>414</v>
      </c>
      <c r="C99" s="51">
        <f>+C43-C98</f>
        <v>1500325</v>
      </c>
      <c r="D99" s="51">
        <f>+D43-D98</f>
        <v>3611073</v>
      </c>
      <c r="E99" s="51">
        <f>+E43-E98</f>
        <v>986685</v>
      </c>
      <c r="F99" s="51">
        <f>+F43-F98</f>
        <v>-276224</v>
      </c>
      <c r="G99" s="51">
        <f>+G43-G98</f>
        <v>0</v>
      </c>
    </row>
    <row r="100" spans="1:9" x14ac:dyDescent="0.2">
      <c r="A100" s="49" t="s">
        <v>158</v>
      </c>
      <c r="B100" s="50" t="s">
        <v>415</v>
      </c>
      <c r="C100" s="329"/>
      <c r="D100" s="329"/>
      <c r="E100" s="329"/>
      <c r="F100" s="329"/>
      <c r="G100" s="329"/>
    </row>
    <row r="101" spans="1:9" x14ac:dyDescent="0.2">
      <c r="B101" s="50" t="s">
        <v>382</v>
      </c>
    </row>
    <row r="102" spans="1:9" x14ac:dyDescent="0.2">
      <c r="A102" s="49" t="s">
        <v>159</v>
      </c>
      <c r="B102" s="50" t="s">
        <v>416</v>
      </c>
      <c r="C102" s="51">
        <f>+C99</f>
        <v>1500325</v>
      </c>
      <c r="D102" s="51">
        <f>+D99</f>
        <v>3611073</v>
      </c>
      <c r="E102" s="51">
        <f>+E99</f>
        <v>986685</v>
      </c>
      <c r="F102" s="51">
        <f>+F99</f>
        <v>-276224</v>
      </c>
      <c r="G102" s="51">
        <f>+G99</f>
        <v>0</v>
      </c>
      <c r="I102" s="364"/>
    </row>
    <row r="103" spans="1:9" x14ac:dyDescent="0.2">
      <c r="A103" s="49" t="s">
        <v>417</v>
      </c>
      <c r="B103" s="50" t="s">
        <v>418</v>
      </c>
      <c r="C103" s="51">
        <f>+(C102+C79)*15%</f>
        <v>225048.75</v>
      </c>
      <c r="D103" s="51">
        <f>+(D102+D79)*15%</f>
        <v>541660.94999999995</v>
      </c>
      <c r="E103" s="51">
        <f>+(E102+E79)*5%</f>
        <v>49334.25</v>
      </c>
      <c r="F103" s="51"/>
      <c r="G103" s="51">
        <f>+(G102+G79)*10%</f>
        <v>0</v>
      </c>
    </row>
    <row r="104" spans="1:9" x14ac:dyDescent="0.2">
      <c r="A104" s="49" t="s">
        <v>146</v>
      </c>
      <c r="B104" s="50" t="s">
        <v>419</v>
      </c>
      <c r="C104" s="57">
        <f>+C103</f>
        <v>225048.75</v>
      </c>
      <c r="D104" s="57">
        <f>+D103</f>
        <v>541660.94999999995</v>
      </c>
      <c r="E104" s="57">
        <f>+E103</f>
        <v>49334.25</v>
      </c>
      <c r="F104" s="57">
        <f>+F103</f>
        <v>0</v>
      </c>
      <c r="G104" s="57">
        <f>+G103</f>
        <v>0</v>
      </c>
    </row>
    <row r="105" spans="1:9" x14ac:dyDescent="0.2">
      <c r="B105" s="50" t="s">
        <v>420</v>
      </c>
    </row>
    <row r="106" spans="1:9" x14ac:dyDescent="0.2">
      <c r="A106" s="49" t="s">
        <v>147</v>
      </c>
      <c r="B106" s="50" t="s">
        <v>421</v>
      </c>
    </row>
    <row r="107" spans="1:9" x14ac:dyDescent="0.2">
      <c r="A107" s="49" t="s">
        <v>422</v>
      </c>
      <c r="B107" s="50" t="s">
        <v>423</v>
      </c>
      <c r="C107" s="57">
        <f>+C102-C104</f>
        <v>1275276.25</v>
      </c>
      <c r="D107" s="57">
        <f>+D102-D104</f>
        <v>3069412.05</v>
      </c>
      <c r="E107" s="57">
        <f>+E102-E104</f>
        <v>937350.75</v>
      </c>
      <c r="F107" s="57">
        <f>+F102-F104</f>
        <v>-276224</v>
      </c>
      <c r="G107" s="57">
        <f>+G102-G104</f>
        <v>0</v>
      </c>
    </row>
    <row r="108" spans="1:9" x14ac:dyDescent="0.2">
      <c r="C108" s="329"/>
      <c r="D108" s="329"/>
      <c r="E108" s="329"/>
      <c r="F108" s="329"/>
      <c r="G108" s="329"/>
    </row>
    <row r="109" spans="1:9" x14ac:dyDescent="0.2">
      <c r="C109" s="327"/>
      <c r="D109" s="327"/>
      <c r="E109" s="327"/>
      <c r="F109" s="327"/>
      <c r="G109" s="327"/>
    </row>
    <row r="112" spans="1:9" ht="13.5" x14ac:dyDescent="0.2">
      <c r="A112" s="52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7"/>
  <sheetViews>
    <sheetView topLeftCell="A165" zoomScale="80" workbookViewId="0">
      <selection activeCell="B142" sqref="B142"/>
    </sheetView>
  </sheetViews>
  <sheetFormatPr defaultRowHeight="15" x14ac:dyDescent="0.25"/>
  <cols>
    <col min="1" max="1" width="4.140625" style="24" customWidth="1"/>
    <col min="2" max="2" width="53.7109375" style="24" customWidth="1"/>
    <col min="3" max="4" width="21.5703125" style="24" customWidth="1"/>
    <col min="5" max="7" width="21.5703125" style="24" hidden="1" customWidth="1"/>
    <col min="8" max="16384" width="9.140625" style="24"/>
  </cols>
  <sheetData>
    <row r="3" spans="2:7" x14ac:dyDescent="0.25">
      <c r="B3" s="345" t="s">
        <v>99</v>
      </c>
      <c r="C3" s="345"/>
      <c r="D3" s="345"/>
      <c r="E3" s="345"/>
      <c r="F3" s="345"/>
      <c r="G3" s="345"/>
    </row>
    <row r="4" spans="2:7" x14ac:dyDescent="0.25">
      <c r="B4" s="345" t="s">
        <v>506</v>
      </c>
      <c r="C4" s="345"/>
      <c r="D4" s="345"/>
      <c r="E4" s="345"/>
      <c r="F4" s="345"/>
      <c r="G4" s="345"/>
    </row>
    <row r="5" spans="2:7" x14ac:dyDescent="0.25">
      <c r="B5" s="401" t="s">
        <v>470</v>
      </c>
      <c r="C5" s="402" t="s">
        <v>719</v>
      </c>
      <c r="D5" s="402" t="s">
        <v>687</v>
      </c>
      <c r="E5" s="402" t="s">
        <v>686</v>
      </c>
      <c r="F5" s="402" t="s">
        <v>615</v>
      </c>
      <c r="G5" s="402" t="s">
        <v>583</v>
      </c>
    </row>
    <row r="6" spans="2:7" x14ac:dyDescent="0.25">
      <c r="B6" s="401" t="s">
        <v>100</v>
      </c>
      <c r="C6" s="403">
        <f>+'Bilanci Alpha'!D50</f>
        <v>121750</v>
      </c>
      <c r="D6" s="403">
        <f>+'Bilanci Alpha'!E50</f>
        <v>232300</v>
      </c>
      <c r="E6" s="403">
        <f>+'Bilanci Alpha'!F50</f>
        <v>122400</v>
      </c>
      <c r="F6" s="403">
        <f>+'Bilanci Alpha'!G50</f>
        <v>0</v>
      </c>
      <c r="G6" s="403">
        <f>+'Bilanci Alpha'!H50</f>
        <v>0</v>
      </c>
    </row>
    <row r="7" spans="2:7" x14ac:dyDescent="0.25">
      <c r="B7" s="401" t="s">
        <v>101</v>
      </c>
      <c r="C7" s="403">
        <f>+'Bilanci Alpha'!D49</f>
        <v>17926</v>
      </c>
      <c r="D7" s="403">
        <f>+'Bilanci Alpha'!E49</f>
        <v>431272</v>
      </c>
      <c r="E7" s="403">
        <f>+'Bilanci Alpha'!F49</f>
        <v>232992</v>
      </c>
      <c r="F7" s="403">
        <f>+'Bilanci Alpha'!G49</f>
        <v>117572</v>
      </c>
      <c r="G7" s="403">
        <f>+'Bilanci Alpha'!H49</f>
        <v>0</v>
      </c>
    </row>
    <row r="8" spans="2:7" x14ac:dyDescent="0.25">
      <c r="B8" s="401" t="s">
        <v>537</v>
      </c>
      <c r="C8" s="403">
        <f>+'Bilanci Alpha'!D51</f>
        <v>0</v>
      </c>
      <c r="D8" s="403">
        <f>+'Bilanci Alpha'!E51</f>
        <v>0</v>
      </c>
      <c r="E8" s="403">
        <f>+'Bilanci Alpha'!F51</f>
        <v>0</v>
      </c>
      <c r="F8" s="403">
        <f>+'Bilanci Alpha'!G51</f>
        <v>0</v>
      </c>
      <c r="G8" s="403">
        <f>+'Bilanci Alpha'!H51</f>
        <v>0</v>
      </c>
    </row>
    <row r="9" spans="2:7" x14ac:dyDescent="0.25">
      <c r="B9" s="404" t="s">
        <v>2</v>
      </c>
      <c r="C9" s="405">
        <f>SUM(C6:C8)</f>
        <v>139676</v>
      </c>
      <c r="D9" s="405">
        <f>SUM(D6:D8)</f>
        <v>663572</v>
      </c>
      <c r="E9" s="405">
        <f>SUM(E6:E8)</f>
        <v>355392</v>
      </c>
      <c r="F9" s="405">
        <f>SUM(F6:F8)</f>
        <v>117572</v>
      </c>
      <c r="G9" s="405">
        <f>SUM(G6:G8)</f>
        <v>0</v>
      </c>
    </row>
    <row r="10" spans="2:7" x14ac:dyDescent="0.25">
      <c r="B10" s="19"/>
      <c r="C10" s="350">
        <f>+BK!D8</f>
        <v>139676</v>
      </c>
      <c r="D10" s="350">
        <f>+BK!E8</f>
        <v>663572</v>
      </c>
      <c r="E10" s="350">
        <f>+BK!F8</f>
        <v>355392</v>
      </c>
      <c r="F10" s="350">
        <f>+BK!G8</f>
        <v>117572</v>
      </c>
      <c r="G10" s="350">
        <f>+BK!H8</f>
        <v>0</v>
      </c>
    </row>
    <row r="11" spans="2:7" x14ac:dyDescent="0.25">
      <c r="B11" s="351" t="s">
        <v>102</v>
      </c>
      <c r="C11" s="351"/>
      <c r="D11" s="351"/>
      <c r="E11" s="351"/>
      <c r="F11" s="351"/>
      <c r="G11" s="351"/>
    </row>
    <row r="12" spans="2:7" x14ac:dyDescent="0.25">
      <c r="B12" s="401" t="s">
        <v>470</v>
      </c>
      <c r="C12" s="402" t="str">
        <f>+C5</f>
        <v>31 Dhjetor 2019</v>
      </c>
      <c r="D12" s="402" t="str">
        <f>+D5</f>
        <v>31 Dhjetor 2018</v>
      </c>
      <c r="E12" s="402" t="str">
        <f>+E5</f>
        <v>31 Dhjetor 2017</v>
      </c>
      <c r="F12" s="347" t="str">
        <f>+F5</f>
        <v>31 Dhjetor 2014</v>
      </c>
      <c r="G12" s="347" t="str">
        <f>+G5</f>
        <v>31 Dhjetor 2013</v>
      </c>
    </row>
    <row r="13" spans="2:7" x14ac:dyDescent="0.25">
      <c r="B13" s="401" t="s">
        <v>138</v>
      </c>
      <c r="C13" s="410">
        <f>+BK!D20</f>
        <v>2319625</v>
      </c>
      <c r="D13" s="410">
        <f>+BK!E20</f>
        <v>2947807</v>
      </c>
      <c r="E13" s="410">
        <f>+BK!F20</f>
        <v>1587192</v>
      </c>
      <c r="F13" s="24">
        <f>+BK!G20</f>
        <v>2030772</v>
      </c>
      <c r="G13" s="24">
        <f>+BK!H20</f>
        <v>0</v>
      </c>
    </row>
    <row r="14" spans="2:7" x14ac:dyDescent="0.25">
      <c r="B14" s="346"/>
      <c r="C14" s="346"/>
      <c r="D14" s="346"/>
      <c r="E14" s="346"/>
      <c r="F14" s="346"/>
      <c r="G14" s="346"/>
    </row>
    <row r="15" spans="2:7" x14ac:dyDescent="0.25">
      <c r="B15" s="348" t="s">
        <v>2</v>
      </c>
      <c r="C15" s="348"/>
      <c r="D15" s="348"/>
      <c r="E15" s="348"/>
      <c r="F15" s="348"/>
      <c r="G15" s="348"/>
    </row>
    <row r="16" spans="2:7" x14ac:dyDescent="0.25">
      <c r="B16" s="348"/>
      <c r="C16" s="348"/>
      <c r="D16" s="348"/>
      <c r="E16" s="348"/>
      <c r="F16" s="348"/>
      <c r="G16" s="348"/>
    </row>
    <row r="17" spans="1:10" x14ac:dyDescent="0.25">
      <c r="B17" s="19"/>
      <c r="C17" s="19"/>
      <c r="D17" s="19"/>
      <c r="E17" s="19"/>
      <c r="F17" s="19"/>
      <c r="G17" s="19"/>
    </row>
    <row r="18" spans="1:10" x14ac:dyDescent="0.25">
      <c r="B18" s="346" t="s">
        <v>103</v>
      </c>
      <c r="C18" s="346"/>
      <c r="D18" s="346"/>
      <c r="E18" s="346"/>
      <c r="F18" s="346"/>
      <c r="G18" s="346"/>
    </row>
    <row r="19" spans="1:10" x14ac:dyDescent="0.25">
      <c r="B19" s="406" t="s">
        <v>470</v>
      </c>
      <c r="C19" s="402" t="str">
        <f>+C12</f>
        <v>31 Dhjetor 2019</v>
      </c>
      <c r="D19" s="402" t="str">
        <f>+D12</f>
        <v>31 Dhjetor 2018</v>
      </c>
      <c r="E19" s="402" t="str">
        <f>+E12</f>
        <v>31 Dhjetor 2017</v>
      </c>
      <c r="F19" s="402" t="str">
        <f>+F12</f>
        <v>31 Dhjetor 2014</v>
      </c>
      <c r="G19" s="402" t="str">
        <f>+G12</f>
        <v>31 Dhjetor 2013</v>
      </c>
    </row>
    <row r="20" spans="1:10" x14ac:dyDescent="0.25">
      <c r="B20" s="407" t="s">
        <v>130</v>
      </c>
      <c r="C20" s="408">
        <f>+BK!D12</f>
        <v>0</v>
      </c>
      <c r="D20" s="408">
        <f>+BK!E12</f>
        <v>0</v>
      </c>
      <c r="E20" s="408">
        <f>+BK!F12</f>
        <v>0</v>
      </c>
      <c r="F20" s="408">
        <f>+BK!G12</f>
        <v>0</v>
      </c>
      <c r="G20" s="408">
        <f>+BK!H12</f>
        <v>0</v>
      </c>
      <c r="H20" s="153"/>
      <c r="I20" s="152"/>
      <c r="J20" s="153"/>
    </row>
    <row r="21" spans="1:10" x14ac:dyDescent="0.25">
      <c r="B21" s="407" t="s">
        <v>609</v>
      </c>
      <c r="C21" s="408">
        <f>+BK!D13</f>
        <v>306142</v>
      </c>
      <c r="D21" s="408">
        <f>+BK!E13</f>
        <v>105039</v>
      </c>
      <c r="E21" s="408">
        <f>+BK!F13</f>
        <v>295354</v>
      </c>
      <c r="F21" s="408">
        <f>+BK!G13</f>
        <v>608838</v>
      </c>
      <c r="G21" s="408">
        <f>+BK!H13</f>
        <v>0</v>
      </c>
      <c r="H21" s="154"/>
      <c r="I21" s="152"/>
      <c r="J21" s="154"/>
    </row>
    <row r="22" spans="1:10" x14ac:dyDescent="0.25">
      <c r="B22" s="406"/>
      <c r="C22" s="406"/>
      <c r="D22" s="406"/>
      <c r="E22" s="406"/>
      <c r="F22" s="406"/>
      <c r="G22" s="406"/>
      <c r="H22" s="154"/>
      <c r="I22" s="152"/>
      <c r="J22" s="154"/>
    </row>
    <row r="23" spans="1:10" x14ac:dyDescent="0.25">
      <c r="B23" s="404" t="s">
        <v>2</v>
      </c>
      <c r="C23" s="409">
        <f>SUM(C20:C22)</f>
        <v>306142</v>
      </c>
      <c r="D23" s="409">
        <f>SUM(D20:D22)</f>
        <v>105039</v>
      </c>
      <c r="E23" s="409">
        <f>SUM(E20:E22)</f>
        <v>295354</v>
      </c>
      <c r="F23" s="409">
        <f>SUM(F20:F22)</f>
        <v>608838</v>
      </c>
      <c r="G23" s="409">
        <f>SUM(G20:G22)</f>
        <v>0</v>
      </c>
      <c r="H23" s="154"/>
      <c r="I23" s="152"/>
      <c r="J23" s="154"/>
    </row>
    <row r="24" spans="1:10" x14ac:dyDescent="0.25">
      <c r="B24" s="346"/>
      <c r="C24" s="346"/>
      <c r="D24" s="346"/>
      <c r="E24" s="346"/>
      <c r="F24" s="346"/>
      <c r="G24" s="346"/>
      <c r="H24" s="154"/>
      <c r="I24" s="155"/>
      <c r="J24" s="154"/>
    </row>
    <row r="25" spans="1:10" ht="12.75" customHeight="1" x14ac:dyDescent="0.25">
      <c r="A25" s="410"/>
      <c r="B25" s="456" t="s">
        <v>426</v>
      </c>
      <c r="C25" s="456" t="s">
        <v>566</v>
      </c>
      <c r="D25" s="456" t="s">
        <v>566</v>
      </c>
      <c r="E25" s="351"/>
      <c r="F25" s="351"/>
      <c r="G25" s="351"/>
    </row>
    <row r="26" spans="1:10" ht="12.75" customHeight="1" x14ac:dyDescent="0.25">
      <c r="A26" s="457"/>
      <c r="B26" s="457" t="s">
        <v>605</v>
      </c>
      <c r="C26" s="457">
        <v>0</v>
      </c>
      <c r="D26" s="457">
        <v>0</v>
      </c>
      <c r="E26" s="351"/>
      <c r="F26" s="351"/>
      <c r="G26" s="351"/>
    </row>
    <row r="27" spans="1:10" ht="18" customHeight="1" x14ac:dyDescent="0.25">
      <c r="A27" s="365"/>
      <c r="B27" s="365"/>
      <c r="C27" s="366"/>
      <c r="D27" s="366"/>
      <c r="E27" s="366"/>
      <c r="F27" s="366"/>
      <c r="G27" s="366"/>
    </row>
    <row r="28" spans="1:10" x14ac:dyDescent="0.25">
      <c r="B28" s="351" t="s">
        <v>431</v>
      </c>
      <c r="C28" s="351"/>
      <c r="D28" s="351"/>
      <c r="E28" s="351"/>
      <c r="F28" s="351"/>
      <c r="G28" s="351"/>
    </row>
    <row r="29" spans="1:10" x14ac:dyDescent="0.25">
      <c r="B29" s="410" t="s">
        <v>470</v>
      </c>
      <c r="C29" s="402" t="str">
        <f>+C19</f>
        <v>31 Dhjetor 2019</v>
      </c>
      <c r="D29" s="402" t="str">
        <f>+D19</f>
        <v>31 Dhjetor 2018</v>
      </c>
      <c r="E29" s="402" t="str">
        <f>+E19</f>
        <v>31 Dhjetor 2017</v>
      </c>
      <c r="F29" s="402" t="str">
        <f>+F19</f>
        <v>31 Dhjetor 2014</v>
      </c>
      <c r="G29" s="347" t="str">
        <f>+G19</f>
        <v>31 Dhjetor 2013</v>
      </c>
    </row>
    <row r="30" spans="1:10" x14ac:dyDescent="0.25">
      <c r="B30" s="401" t="s">
        <v>631</v>
      </c>
      <c r="C30" s="451">
        <f>+'Bilanci Alpha'!D52</f>
        <v>0</v>
      </c>
      <c r="D30" s="451">
        <f>+'Bilanci Alpha'!E52</f>
        <v>0</v>
      </c>
      <c r="E30" s="451">
        <f>+'Bilanci Alpha'!F52</f>
        <v>0</v>
      </c>
      <c r="F30" s="451">
        <f>+'Bilanci Alpha'!G52</f>
        <v>0</v>
      </c>
      <c r="G30" s="352">
        <f>+'Bilanci Alpha'!H52</f>
        <v>0</v>
      </c>
    </row>
    <row r="31" spans="1:10" x14ac:dyDescent="0.25">
      <c r="B31" s="401"/>
      <c r="C31" s="401"/>
      <c r="D31" s="401"/>
      <c r="E31" s="401"/>
      <c r="F31" s="401"/>
      <c r="G31" s="346"/>
    </row>
    <row r="32" spans="1:10" x14ac:dyDescent="0.25">
      <c r="B32" s="401"/>
      <c r="C32" s="410">
        <v>0</v>
      </c>
      <c r="D32" s="410">
        <v>0</v>
      </c>
      <c r="E32" s="410">
        <v>0</v>
      </c>
      <c r="F32" s="410">
        <v>0</v>
      </c>
      <c r="G32" s="24">
        <v>0</v>
      </c>
    </row>
    <row r="33" spans="2:15" x14ac:dyDescent="0.25">
      <c r="B33" s="401"/>
      <c r="C33" s="401"/>
      <c r="D33" s="401"/>
      <c r="E33" s="401"/>
      <c r="F33" s="401"/>
      <c r="G33" s="346"/>
    </row>
    <row r="34" spans="2:15" ht="15.75" thickBot="1" x14ac:dyDescent="0.3">
      <c r="B34" s="412" t="s">
        <v>2</v>
      </c>
      <c r="C34" s="413">
        <f>SUM(C30:C33)</f>
        <v>0</v>
      </c>
      <c r="D34" s="413">
        <f>SUM(D30:D33)</f>
        <v>0</v>
      </c>
      <c r="E34" s="413">
        <f>SUM(E30:E33)</f>
        <v>0</v>
      </c>
      <c r="F34" s="413">
        <f>SUM(F30:F33)</f>
        <v>0</v>
      </c>
      <c r="G34" s="354">
        <f>SUM(G30:G33)</f>
        <v>0</v>
      </c>
    </row>
    <row r="35" spans="2:15" ht="15.75" thickTop="1" x14ac:dyDescent="0.25">
      <c r="B35" s="353"/>
      <c r="C35" s="355">
        <f>+BK!D26+BK!D27</f>
        <v>0</v>
      </c>
      <c r="D35" s="355">
        <f>+BK!E26+BK!E27</f>
        <v>0</v>
      </c>
      <c r="E35" s="355">
        <f>+BK!F26+BK!F27</f>
        <v>0</v>
      </c>
      <c r="F35" s="355">
        <f>+BK!G26+BK!G27</f>
        <v>0</v>
      </c>
      <c r="G35" s="355">
        <f>+BK!H26+BK!H27</f>
        <v>0</v>
      </c>
    </row>
    <row r="36" spans="2:15" x14ac:dyDescent="0.25">
      <c r="B36" s="353"/>
      <c r="C36" s="353"/>
      <c r="D36" s="353"/>
      <c r="E36" s="353"/>
      <c r="F36" s="353"/>
      <c r="G36" s="353"/>
    </row>
    <row r="37" spans="2:15" x14ac:dyDescent="0.25">
      <c r="B37" s="351" t="s">
        <v>136</v>
      </c>
      <c r="C37" s="351"/>
      <c r="D37" s="351"/>
      <c r="E37" s="351"/>
      <c r="F37" s="351"/>
      <c r="G37" s="351"/>
      <c r="H37" s="25"/>
      <c r="I37" s="30"/>
      <c r="J37" s="29"/>
      <c r="K37" s="25"/>
      <c r="L37" s="25"/>
      <c r="M37" s="25"/>
      <c r="N37" s="25"/>
      <c r="O37" s="25"/>
    </row>
    <row r="38" spans="2:15" x14ac:dyDescent="0.25">
      <c r="B38" s="401" t="s">
        <v>470</v>
      </c>
      <c r="C38" s="402" t="str">
        <f>+C29</f>
        <v>31 Dhjetor 2019</v>
      </c>
      <c r="D38" s="402" t="str">
        <f>+D29</f>
        <v>31 Dhjetor 2018</v>
      </c>
      <c r="E38" s="402" t="str">
        <f>+E29</f>
        <v>31 Dhjetor 2017</v>
      </c>
      <c r="F38" s="402" t="str">
        <f>+F29</f>
        <v>31 Dhjetor 2014</v>
      </c>
      <c r="G38" s="402" t="str">
        <f>+G29</f>
        <v>31 Dhjetor 2013</v>
      </c>
      <c r="H38" s="25"/>
      <c r="I38" s="25"/>
      <c r="J38" s="25"/>
      <c r="K38" s="25"/>
      <c r="L38" s="25"/>
      <c r="M38" s="25"/>
      <c r="N38" s="25"/>
      <c r="O38" s="25"/>
    </row>
    <row r="39" spans="2:15" x14ac:dyDescent="0.25">
      <c r="B39" s="401" t="s">
        <v>104</v>
      </c>
      <c r="C39" s="414">
        <f>+BK!D45</f>
        <v>0</v>
      </c>
      <c r="D39" s="414">
        <f>+BK!E45</f>
        <v>2884354.2</v>
      </c>
      <c r="E39" s="414">
        <f>+BK!F45</f>
        <v>2991763.25</v>
      </c>
      <c r="F39" s="414">
        <f>+BK!G45</f>
        <v>3356997</v>
      </c>
      <c r="G39" s="414">
        <f>+BK!H45</f>
        <v>0</v>
      </c>
      <c r="H39" s="25"/>
      <c r="I39" s="25"/>
      <c r="J39" s="25"/>
      <c r="K39" s="25"/>
      <c r="L39" s="25"/>
      <c r="M39" s="25"/>
      <c r="N39" s="25"/>
      <c r="O39" s="25"/>
    </row>
    <row r="40" spans="2:15" x14ac:dyDescent="0.25">
      <c r="B40" s="401" t="s">
        <v>129</v>
      </c>
      <c r="C40" s="410">
        <f>+BK!D43</f>
        <v>0</v>
      </c>
      <c r="D40" s="410">
        <f>+BK!E43</f>
        <v>0</v>
      </c>
      <c r="E40" s="410">
        <f>+BK!F43</f>
        <v>0</v>
      </c>
      <c r="F40" s="410">
        <f>+BK!G43</f>
        <v>0</v>
      </c>
      <c r="G40" s="410">
        <f>+BK!H43</f>
        <v>0</v>
      </c>
      <c r="H40" s="31"/>
      <c r="I40" s="32"/>
      <c r="J40" s="33"/>
      <c r="K40" s="25"/>
      <c r="L40" s="25"/>
      <c r="M40" s="25"/>
      <c r="N40" s="25"/>
      <c r="O40" s="34"/>
    </row>
    <row r="41" spans="2:15" x14ac:dyDescent="0.25">
      <c r="B41" s="401" t="s">
        <v>122</v>
      </c>
      <c r="C41" s="410">
        <f>+BK!D46</f>
        <v>543415.94999999995</v>
      </c>
      <c r="D41" s="410">
        <f>+BK!E46</f>
        <v>0</v>
      </c>
      <c r="E41" s="410">
        <f>+BK!F46</f>
        <v>0</v>
      </c>
      <c r="F41" s="410">
        <f>+BK!G46</f>
        <v>0</v>
      </c>
      <c r="G41" s="410">
        <f>+BK!H46</f>
        <v>0</v>
      </c>
      <c r="H41" s="25"/>
      <c r="I41" s="25"/>
      <c r="J41" s="25"/>
      <c r="K41" s="25"/>
      <c r="L41" s="25"/>
      <c r="M41" s="25"/>
      <c r="N41" s="25"/>
      <c r="O41" s="25"/>
    </row>
    <row r="42" spans="2:15" x14ac:dyDescent="0.25">
      <c r="B42" s="401" t="s">
        <v>8</v>
      </c>
      <c r="C42" s="403">
        <f>+BK!D47</f>
        <v>54181</v>
      </c>
      <c r="D42" s="403">
        <f>+BK!E47</f>
        <v>403527</v>
      </c>
      <c r="E42" s="403">
        <f>+BK!F47</f>
        <v>140219</v>
      </c>
      <c r="F42" s="403">
        <f>+BK!G47</f>
        <v>6510</v>
      </c>
      <c r="G42" s="403">
        <f>+BK!H47</f>
        <v>0</v>
      </c>
      <c r="H42" s="25"/>
      <c r="I42" s="25"/>
      <c r="J42" s="25"/>
      <c r="K42" s="25"/>
      <c r="L42" s="25"/>
      <c r="M42" s="25"/>
      <c r="N42" s="25"/>
      <c r="O42" s="25"/>
    </row>
    <row r="43" spans="2:15" x14ac:dyDescent="0.25">
      <c r="B43" s="401" t="s">
        <v>612</v>
      </c>
      <c r="C43" s="410">
        <f>+C80</f>
        <v>0</v>
      </c>
      <c r="D43" s="410">
        <f>+D80</f>
        <v>0</v>
      </c>
      <c r="E43" s="410">
        <f t="shared" ref="E43:G44" si="0">+E80</f>
        <v>0</v>
      </c>
      <c r="F43" s="410">
        <f t="shared" si="0"/>
        <v>0</v>
      </c>
      <c r="G43" s="410">
        <f t="shared" si="0"/>
        <v>0</v>
      </c>
      <c r="H43" s="25"/>
      <c r="I43" s="25"/>
      <c r="J43" s="25"/>
      <c r="K43" s="35"/>
      <c r="L43" s="25"/>
      <c r="M43" s="25"/>
      <c r="N43" s="25"/>
      <c r="O43" s="36"/>
    </row>
    <row r="44" spans="2:15" x14ac:dyDescent="0.25">
      <c r="B44" s="401" t="s">
        <v>536</v>
      </c>
      <c r="C44" s="410">
        <f>+C81</f>
        <v>0</v>
      </c>
      <c r="D44" s="410">
        <f>+D81</f>
        <v>0</v>
      </c>
      <c r="E44" s="410">
        <f t="shared" si="0"/>
        <v>0</v>
      </c>
      <c r="F44" s="410">
        <f t="shared" si="0"/>
        <v>0</v>
      </c>
      <c r="G44" s="410">
        <f t="shared" si="0"/>
        <v>0</v>
      </c>
      <c r="H44" s="25"/>
      <c r="I44" s="25"/>
      <c r="J44" s="25"/>
      <c r="K44" s="35"/>
      <c r="L44" s="25"/>
      <c r="M44" s="25"/>
      <c r="N44" s="25"/>
      <c r="O44" s="36"/>
    </row>
    <row r="45" spans="2:15" x14ac:dyDescent="0.25">
      <c r="B45" s="401" t="s">
        <v>428</v>
      </c>
      <c r="C45" s="410">
        <f>+BK!D49</f>
        <v>0</v>
      </c>
      <c r="D45" s="410">
        <f>+BK!E49</f>
        <v>0</v>
      </c>
      <c r="E45" s="410">
        <f>+BK!F49</f>
        <v>0</v>
      </c>
      <c r="F45" s="410">
        <f>+BK!G49</f>
        <v>0</v>
      </c>
      <c r="G45" s="410">
        <f>+BK!H49</f>
        <v>0</v>
      </c>
    </row>
    <row r="46" spans="2:15" x14ac:dyDescent="0.25">
      <c r="B46" s="401"/>
      <c r="C46" s="401"/>
      <c r="D46" s="401"/>
      <c r="E46" s="401"/>
      <c r="F46" s="401"/>
      <c r="G46" s="401"/>
    </row>
    <row r="47" spans="2:15" x14ac:dyDescent="0.25">
      <c r="B47" s="404" t="s">
        <v>2</v>
      </c>
      <c r="C47" s="403">
        <f>SUM(C39:C45)</f>
        <v>597596.94999999995</v>
      </c>
      <c r="D47" s="403">
        <f>SUM(D39:D45)</f>
        <v>3287881.2</v>
      </c>
      <c r="E47" s="403">
        <f>SUM(E39:E45)</f>
        <v>3131982.25</v>
      </c>
      <c r="F47" s="403">
        <f>SUM(F39:F45)</f>
        <v>3363507</v>
      </c>
      <c r="G47" s="403">
        <f>SUM(G39:G45)</f>
        <v>0</v>
      </c>
    </row>
    <row r="48" spans="2:15" x14ac:dyDescent="0.25">
      <c r="B48" s="346"/>
    </row>
    <row r="49" spans="1:7" x14ac:dyDescent="0.25">
      <c r="C49" s="351"/>
      <c r="D49" s="351"/>
      <c r="E49" s="351"/>
      <c r="F49" s="351"/>
      <c r="G49" s="351"/>
    </row>
    <row r="50" spans="1:7" x14ac:dyDescent="0.25">
      <c r="B50" s="351" t="s">
        <v>104</v>
      </c>
      <c r="C50" s="351"/>
      <c r="D50" s="351"/>
      <c r="E50" s="351"/>
      <c r="F50" s="351"/>
      <c r="G50" s="351"/>
    </row>
    <row r="51" spans="1:7" x14ac:dyDescent="0.25">
      <c r="A51" s="434" t="s">
        <v>618</v>
      </c>
      <c r="B51" s="434" t="s">
        <v>540</v>
      </c>
      <c r="C51" s="434" t="s">
        <v>619</v>
      </c>
      <c r="D51" s="434" t="s">
        <v>619</v>
      </c>
      <c r="E51" s="434" t="s">
        <v>619</v>
      </c>
      <c r="F51" s="434" t="s">
        <v>619</v>
      </c>
      <c r="G51" s="399" t="s">
        <v>582</v>
      </c>
    </row>
    <row r="52" spans="1:7" x14ac:dyDescent="0.25">
      <c r="A52" s="435"/>
      <c r="B52" s="435" t="s">
        <v>605</v>
      </c>
      <c r="C52" s="435">
        <f>+'Bilanci Alpha'!D102</f>
        <v>0</v>
      </c>
      <c r="D52" s="435">
        <f>+'Bilanci Alpha'!E102</f>
        <v>2884354.2</v>
      </c>
      <c r="E52" s="435">
        <f>+'Bilanci Alpha'!F102</f>
        <v>2991763.25</v>
      </c>
      <c r="F52" s="435">
        <v>5930819.4800000004</v>
      </c>
      <c r="G52" s="400">
        <v>-88759.6</v>
      </c>
    </row>
    <row r="53" spans="1:7" ht="28.5" hidden="1" customHeight="1" x14ac:dyDescent="0.25">
      <c r="B53" s="356" t="s">
        <v>540</v>
      </c>
      <c r="C53" s="347" t="str">
        <f>+C38</f>
        <v>31 Dhjetor 2019</v>
      </c>
      <c r="D53" s="347" t="str">
        <f>+D38</f>
        <v>31 Dhjetor 2018</v>
      </c>
      <c r="E53" s="347" t="str">
        <f>+E38</f>
        <v>31 Dhjetor 2017</v>
      </c>
      <c r="F53" s="347" t="str">
        <f>+F38</f>
        <v>31 Dhjetor 2014</v>
      </c>
      <c r="G53" s="347" t="str">
        <f>+G38</f>
        <v>31 Dhjetor 2013</v>
      </c>
    </row>
    <row r="54" spans="1:7" hidden="1" x14ac:dyDescent="0.25">
      <c r="B54" s="346"/>
      <c r="C54" s="346"/>
      <c r="D54" s="346"/>
      <c r="E54" s="346"/>
      <c r="F54" s="346"/>
      <c r="G54" s="346"/>
    </row>
    <row r="55" spans="1:7" hidden="1" x14ac:dyDescent="0.25">
      <c r="B55" s="346"/>
      <c r="C55" s="346"/>
      <c r="D55" s="346"/>
      <c r="E55" s="346"/>
      <c r="F55" s="346"/>
      <c r="G55" s="346"/>
    </row>
    <row r="56" spans="1:7" hidden="1" x14ac:dyDescent="0.25">
      <c r="B56" s="351" t="s">
        <v>429</v>
      </c>
      <c r="C56" s="351"/>
      <c r="D56" s="351"/>
      <c r="E56" s="351"/>
      <c r="F56" s="351"/>
      <c r="G56" s="351"/>
    </row>
    <row r="57" spans="1:7" hidden="1" x14ac:dyDescent="0.25">
      <c r="B57" s="346"/>
      <c r="C57" s="347" t="str">
        <f>+C53</f>
        <v>31 Dhjetor 2019</v>
      </c>
      <c r="D57" s="347" t="str">
        <f>+D53</f>
        <v>31 Dhjetor 2018</v>
      </c>
      <c r="E57" s="347" t="str">
        <f>+E53</f>
        <v>31 Dhjetor 2017</v>
      </c>
      <c r="F57" s="347" t="str">
        <f>+F53</f>
        <v>31 Dhjetor 2014</v>
      </c>
      <c r="G57" s="347" t="str">
        <f>+G53</f>
        <v>31 Dhjetor 2013</v>
      </c>
    </row>
    <row r="58" spans="1:7" hidden="1" x14ac:dyDescent="0.25">
      <c r="B58" s="346" t="s">
        <v>578</v>
      </c>
    </row>
    <row r="59" spans="1:7" hidden="1" x14ac:dyDescent="0.25">
      <c r="B59" s="346" t="s">
        <v>507</v>
      </c>
      <c r="C59" s="346"/>
      <c r="D59" s="346"/>
      <c r="E59" s="346"/>
      <c r="F59" s="346"/>
      <c r="G59" s="346"/>
    </row>
    <row r="60" spans="1:7" ht="15.75" hidden="1" thickBot="1" x14ac:dyDescent="0.3">
      <c r="B60" s="348" t="s">
        <v>2</v>
      </c>
      <c r="C60" s="349">
        <f>SUM(C58:C59)</f>
        <v>0</v>
      </c>
      <c r="D60" s="349">
        <f>SUM(D58:D59)</f>
        <v>0</v>
      </c>
      <c r="E60" s="349">
        <f>SUM(E58:E59)</f>
        <v>0</v>
      </c>
      <c r="F60" s="349">
        <f>SUM(F58:F59)</f>
        <v>0</v>
      </c>
      <c r="G60" s="349">
        <f>SUM(G58:G59)</f>
        <v>0</v>
      </c>
    </row>
    <row r="61" spans="1:7" x14ac:dyDescent="0.25">
      <c r="B61" s="346"/>
      <c r="C61" s="346"/>
      <c r="D61" s="346"/>
      <c r="E61" s="346"/>
      <c r="F61" s="346"/>
      <c r="G61" s="346"/>
    </row>
    <row r="62" spans="1:7" x14ac:dyDescent="0.25">
      <c r="B62" s="346"/>
      <c r="C62" s="346"/>
      <c r="D62" s="346"/>
      <c r="E62" s="346"/>
      <c r="F62" s="346"/>
      <c r="G62" s="346"/>
    </row>
    <row r="63" spans="1:7" x14ac:dyDescent="0.25">
      <c r="B63" s="401" t="s">
        <v>470</v>
      </c>
      <c r="C63" s="402" t="str">
        <f>+C57</f>
        <v>31 Dhjetor 2019</v>
      </c>
      <c r="D63" s="402" t="str">
        <f>+D57</f>
        <v>31 Dhjetor 2018</v>
      </c>
      <c r="E63" s="402" t="str">
        <f>+E57</f>
        <v>31 Dhjetor 2017</v>
      </c>
      <c r="F63" s="402" t="str">
        <f>+F57</f>
        <v>31 Dhjetor 2014</v>
      </c>
      <c r="G63" s="402" t="str">
        <f>+G57</f>
        <v>31 Dhjetor 2013</v>
      </c>
    </row>
    <row r="64" spans="1:7" x14ac:dyDescent="0.25">
      <c r="B64" s="401" t="s">
        <v>106</v>
      </c>
      <c r="C64" s="410">
        <v>0</v>
      </c>
      <c r="D64" s="410">
        <v>0</v>
      </c>
      <c r="E64" s="410"/>
      <c r="F64" s="410">
        <v>212108</v>
      </c>
      <c r="G64" s="410">
        <v>525423</v>
      </c>
    </row>
    <row r="65" spans="2:7" x14ac:dyDescent="0.25">
      <c r="B65" s="401" t="s">
        <v>107</v>
      </c>
      <c r="C65" s="410">
        <f>+'Bilanci Alpha'!D104</f>
        <v>51181</v>
      </c>
      <c r="D65" s="410">
        <f>+'Bilanci Alpha'!E104</f>
        <v>38870</v>
      </c>
      <c r="E65" s="410">
        <f>+'Bilanci Alpha'!F104</f>
        <v>87885</v>
      </c>
      <c r="F65" s="410">
        <v>1020</v>
      </c>
      <c r="G65" s="410">
        <v>289917</v>
      </c>
    </row>
    <row r="66" spans="2:7" x14ac:dyDescent="0.25">
      <c r="B66" s="401" t="s">
        <v>640</v>
      </c>
      <c r="C66" s="410">
        <v>361657</v>
      </c>
      <c r="D66" s="410">
        <v>361657</v>
      </c>
      <c r="E66" s="410">
        <v>49334</v>
      </c>
      <c r="F66" s="410">
        <v>160346</v>
      </c>
      <c r="G66" s="410">
        <v>19000</v>
      </c>
    </row>
    <row r="67" spans="2:7" x14ac:dyDescent="0.25">
      <c r="B67" s="401" t="s">
        <v>641</v>
      </c>
      <c r="C67" s="410">
        <v>3000</v>
      </c>
      <c r="D67" s="410">
        <v>3000</v>
      </c>
      <c r="E67" s="410">
        <v>3000</v>
      </c>
      <c r="F67" s="410">
        <f>+F41</f>
        <v>0</v>
      </c>
      <c r="G67" s="410">
        <f>+G41</f>
        <v>0</v>
      </c>
    </row>
    <row r="68" spans="2:7" hidden="1" x14ac:dyDescent="0.25">
      <c r="B68" s="401"/>
      <c r="C68" s="401"/>
      <c r="D68" s="401"/>
      <c r="E68" s="401"/>
      <c r="F68" s="401"/>
      <c r="G68" s="401"/>
    </row>
    <row r="69" spans="2:7" x14ac:dyDescent="0.25">
      <c r="B69" s="404" t="s">
        <v>2</v>
      </c>
      <c r="C69" s="403">
        <f>SUM(C64:C67)</f>
        <v>415838</v>
      </c>
      <c r="D69" s="403">
        <f>SUM(D64:D67)</f>
        <v>403527</v>
      </c>
      <c r="E69" s="403">
        <f>SUM(E64:E67)</f>
        <v>140219</v>
      </c>
      <c r="F69" s="403">
        <f>SUM(F64:F67)</f>
        <v>373474</v>
      </c>
      <c r="G69" s="403">
        <f>SUM(G64:G67)</f>
        <v>834340</v>
      </c>
    </row>
    <row r="70" spans="2:7" x14ac:dyDescent="0.25">
      <c r="B70" s="346"/>
      <c r="C70" s="483">
        <f>+BK!D47</f>
        <v>54181</v>
      </c>
      <c r="D70" s="483">
        <f>+BK!E47</f>
        <v>403527</v>
      </c>
      <c r="E70" s="483">
        <f>+BK!F47</f>
        <v>140219</v>
      </c>
      <c r="F70" s="346"/>
      <c r="G70" s="346"/>
    </row>
    <row r="71" spans="2:7" x14ac:dyDescent="0.25">
      <c r="B71" s="346"/>
      <c r="C71" s="346"/>
      <c r="D71" s="346"/>
      <c r="E71" s="346"/>
      <c r="F71" s="346"/>
      <c r="G71" s="346"/>
    </row>
    <row r="72" spans="2:7" hidden="1" x14ac:dyDescent="0.25">
      <c r="B72" s="357" t="s">
        <v>427</v>
      </c>
      <c r="C72" s="357"/>
      <c r="D72" s="357"/>
      <c r="E72" s="357"/>
      <c r="F72" s="357"/>
      <c r="G72" s="357"/>
    </row>
    <row r="73" spans="2:7" hidden="1" x14ac:dyDescent="0.25">
      <c r="B73" s="346"/>
      <c r="C73" s="347" t="str">
        <f>+C63</f>
        <v>31 Dhjetor 2019</v>
      </c>
      <c r="D73" s="347" t="str">
        <f>+D63</f>
        <v>31 Dhjetor 2018</v>
      </c>
      <c r="E73" s="347" t="str">
        <f>+E63</f>
        <v>31 Dhjetor 2017</v>
      </c>
      <c r="F73" s="347" t="str">
        <f>+F63</f>
        <v>31 Dhjetor 2014</v>
      </c>
      <c r="G73" s="347" t="str">
        <f>+G63</f>
        <v>31 Dhjetor 2013</v>
      </c>
    </row>
    <row r="74" spans="2:7" hidden="1" x14ac:dyDescent="0.25">
      <c r="B74" s="346"/>
    </row>
    <row r="75" spans="2:7" ht="15.75" hidden="1" thickBot="1" x14ac:dyDescent="0.3">
      <c r="B75" s="348" t="s">
        <v>2</v>
      </c>
      <c r="C75" s="349">
        <f>SUM(C74:C74)</f>
        <v>0</v>
      </c>
      <c r="D75" s="349">
        <f>SUM(D74:D74)</f>
        <v>0</v>
      </c>
      <c r="E75" s="349">
        <f>SUM(E74:E74)</f>
        <v>0</v>
      </c>
      <c r="F75" s="349">
        <f>SUM(F74:F74)</f>
        <v>0</v>
      </c>
      <c r="G75" s="349">
        <f>SUM(G74:G74)</f>
        <v>0</v>
      </c>
    </row>
    <row r="76" spans="2:7" hidden="1" x14ac:dyDescent="0.25">
      <c r="B76" s="346"/>
      <c r="C76" s="346"/>
      <c r="D76" s="346"/>
      <c r="E76" s="346"/>
      <c r="F76" s="346"/>
      <c r="G76" s="346"/>
    </row>
    <row r="77" spans="2:7" hidden="1" x14ac:dyDescent="0.25">
      <c r="B77" s="19"/>
      <c r="C77" s="19"/>
      <c r="D77" s="19"/>
      <c r="E77" s="19"/>
      <c r="F77" s="19"/>
      <c r="G77" s="19"/>
    </row>
    <row r="78" spans="2:7" hidden="1" x14ac:dyDescent="0.25">
      <c r="B78" s="346"/>
      <c r="C78" s="346"/>
      <c r="D78" s="346"/>
      <c r="E78" s="346"/>
      <c r="F78" s="346"/>
      <c r="G78" s="346"/>
    </row>
    <row r="79" spans="2:7" hidden="1" x14ac:dyDescent="0.25">
      <c r="B79" s="401" t="s">
        <v>470</v>
      </c>
      <c r="C79" s="402" t="str">
        <f>+C73</f>
        <v>31 Dhjetor 2019</v>
      </c>
      <c r="D79" s="402" t="str">
        <f>+D73</f>
        <v>31 Dhjetor 2018</v>
      </c>
      <c r="E79" s="402" t="str">
        <f>+E73</f>
        <v>31 Dhjetor 2017</v>
      </c>
      <c r="F79" s="402" t="str">
        <f>+F73</f>
        <v>31 Dhjetor 2014</v>
      </c>
      <c r="G79" s="402" t="str">
        <f>+G73</f>
        <v>31 Dhjetor 2013</v>
      </c>
    </row>
    <row r="80" spans="2:7" hidden="1" x14ac:dyDescent="0.25">
      <c r="B80" s="401" t="s">
        <v>613</v>
      </c>
      <c r="C80" s="410">
        <f>+'Bilanci Alpha'!D107</f>
        <v>0</v>
      </c>
      <c r="D80" s="410">
        <f>+'Bilanci Alpha'!E107</f>
        <v>0</v>
      </c>
      <c r="E80" s="410">
        <f>+'Bilanci Alpha'!F107</f>
        <v>0</v>
      </c>
      <c r="F80" s="410">
        <f>+'Bilanci Alpha'!G107</f>
        <v>0</v>
      </c>
      <c r="G80" s="410">
        <f>+'Bilanci Alpha'!H107</f>
        <v>0</v>
      </c>
    </row>
    <row r="81" spans="2:7" hidden="1" x14ac:dyDescent="0.25">
      <c r="B81" s="401" t="s">
        <v>120</v>
      </c>
      <c r="C81" s="415">
        <f>+'Bilanci Alpha'!D106</f>
        <v>0</v>
      </c>
      <c r="D81" s="415">
        <f>+'Bilanci Alpha'!E106</f>
        <v>0</v>
      </c>
      <c r="E81" s="415">
        <f>+'Bilanci Alpha'!F106</f>
        <v>0</v>
      </c>
      <c r="F81" s="415">
        <f>+'Bilanci Alpha'!G106</f>
        <v>0</v>
      </c>
      <c r="G81" s="415">
        <f>+'Bilanci Alpha'!H106</f>
        <v>0</v>
      </c>
    </row>
    <row r="82" spans="2:7" hidden="1" x14ac:dyDescent="0.25">
      <c r="B82" s="404" t="s">
        <v>2</v>
      </c>
      <c r="C82" s="403">
        <f>SUM(C80:C81)</f>
        <v>0</v>
      </c>
      <c r="D82" s="403">
        <f>SUM(D80:D81)</f>
        <v>0</v>
      </c>
      <c r="E82" s="403">
        <f>SUM(E80:E81)</f>
        <v>0</v>
      </c>
      <c r="F82" s="403">
        <f>SUM(F80:F81)</f>
        <v>0</v>
      </c>
      <c r="G82" s="403">
        <f>SUM(G80:G81)</f>
        <v>0</v>
      </c>
    </row>
    <row r="83" spans="2:7" hidden="1" x14ac:dyDescent="0.25">
      <c r="B83" s="346"/>
      <c r="C83" s="346"/>
      <c r="D83" s="346"/>
      <c r="E83" s="346"/>
      <c r="F83" s="346"/>
      <c r="G83" s="346"/>
    </row>
    <row r="84" spans="2:7" x14ac:dyDescent="0.25">
      <c r="B84" s="346"/>
      <c r="C84" s="346"/>
      <c r="D84" s="346"/>
      <c r="E84" s="346"/>
      <c r="F84" s="346"/>
      <c r="G84" s="346"/>
    </row>
    <row r="85" spans="2:7" hidden="1" x14ac:dyDescent="0.25">
      <c r="B85" s="346" t="s">
        <v>508</v>
      </c>
      <c r="C85" s="346"/>
      <c r="D85" s="346"/>
      <c r="E85" s="346"/>
      <c r="F85" s="346"/>
      <c r="G85" s="346"/>
    </row>
    <row r="86" spans="2:7" hidden="1" x14ac:dyDescent="0.25">
      <c r="B86" s="410" t="s">
        <v>470</v>
      </c>
      <c r="C86" s="402" t="str">
        <f>+C79</f>
        <v>31 Dhjetor 2019</v>
      </c>
      <c r="D86" s="402" t="str">
        <f>+D79</f>
        <v>31 Dhjetor 2018</v>
      </c>
      <c r="E86" s="402" t="str">
        <f>+E79</f>
        <v>31 Dhjetor 2017</v>
      </c>
      <c r="F86" s="402" t="str">
        <f>+F79</f>
        <v>31 Dhjetor 2014</v>
      </c>
      <c r="G86" s="402" t="str">
        <f>+G79</f>
        <v>31 Dhjetor 2013</v>
      </c>
    </row>
    <row r="87" spans="2:7" hidden="1" x14ac:dyDescent="0.25">
      <c r="B87" s="410" t="s">
        <v>610</v>
      </c>
      <c r="C87" s="410">
        <f>+'Bilanci Alpha'!D43</f>
        <v>306142</v>
      </c>
      <c r="D87" s="410">
        <f>+'Bilanci Alpha'!E43</f>
        <v>105039</v>
      </c>
      <c r="E87" s="410">
        <f>+'Bilanci Alpha'!F43</f>
        <v>295354</v>
      </c>
      <c r="F87" s="410">
        <f>+'Bilanci Alpha'!G43</f>
        <v>608838</v>
      </c>
      <c r="G87" s="410">
        <f>+'Bilanci Alpha'!H43</f>
        <v>0</v>
      </c>
    </row>
    <row r="88" spans="2:7" hidden="1" x14ac:dyDescent="0.25">
      <c r="B88" s="412" t="s">
        <v>2</v>
      </c>
      <c r="C88" s="413">
        <f>SUM(C87:C87)</f>
        <v>306142</v>
      </c>
      <c r="D88" s="413">
        <f>SUM(D87:D87)</f>
        <v>105039</v>
      </c>
      <c r="E88" s="413">
        <f>SUM(E87:E87)</f>
        <v>295354</v>
      </c>
      <c r="F88" s="413">
        <f>SUM(F87:F87)</f>
        <v>608838</v>
      </c>
      <c r="G88" s="413">
        <f>SUM(G87:G87)</f>
        <v>0</v>
      </c>
    </row>
    <row r="89" spans="2:7" hidden="1" x14ac:dyDescent="0.25">
      <c r="B89" s="24" t="s">
        <v>536</v>
      </c>
      <c r="C89" s="24">
        <f>+'Bilanci Alpha'!D42</f>
        <v>0</v>
      </c>
      <c r="D89" s="24">
        <f>+'Bilanci Alpha'!E42</f>
        <v>0</v>
      </c>
      <c r="E89" s="24">
        <f>+'Bilanci Alpha'!F42</f>
        <v>0</v>
      </c>
      <c r="F89" s="24">
        <f>+'Bilanci Alpha'!G42</f>
        <v>0</v>
      </c>
      <c r="G89" s="24">
        <f>+'Bilanci Alpha'!H42</f>
        <v>0</v>
      </c>
    </row>
    <row r="90" spans="2:7" x14ac:dyDescent="0.25">
      <c r="B90" s="358" t="s">
        <v>430</v>
      </c>
      <c r="C90" s="345">
        <f>+C89+C88</f>
        <v>306142</v>
      </c>
      <c r="D90" s="345">
        <f>+D89+D88</f>
        <v>105039</v>
      </c>
      <c r="E90" s="345">
        <f>+E89+E88</f>
        <v>295354</v>
      </c>
      <c r="F90" s="345">
        <f>+F89+F88</f>
        <v>608838</v>
      </c>
      <c r="G90" s="345">
        <f>+G89+G88</f>
        <v>0</v>
      </c>
    </row>
    <row r="91" spans="2:7" hidden="1" x14ac:dyDescent="0.25"/>
    <row r="92" spans="2:7" hidden="1" x14ac:dyDescent="0.25"/>
    <row r="93" spans="2:7" hidden="1" x14ac:dyDescent="0.25"/>
    <row r="94" spans="2:7" hidden="1" x14ac:dyDescent="0.25">
      <c r="B94" s="353" t="s">
        <v>2</v>
      </c>
      <c r="C94" s="353"/>
      <c r="D94" s="353"/>
      <c r="E94" s="353"/>
      <c r="F94" s="353"/>
      <c r="G94" s="353"/>
    </row>
    <row r="95" spans="2:7" hidden="1" x14ac:dyDescent="0.25"/>
    <row r="96" spans="2:7" hidden="1" x14ac:dyDescent="0.25"/>
    <row r="97" spans="2:7" x14ac:dyDescent="0.25">
      <c r="B97" s="358" t="s">
        <v>510</v>
      </c>
      <c r="C97" s="358"/>
      <c r="D97" s="358"/>
      <c r="E97" s="358"/>
      <c r="F97" s="358"/>
      <c r="G97" s="358"/>
    </row>
    <row r="98" spans="2:7" x14ac:dyDescent="0.25">
      <c r="B98" s="410" t="s">
        <v>614</v>
      </c>
      <c r="C98" s="402" t="str">
        <f>+C86</f>
        <v>31 Dhjetor 2019</v>
      </c>
      <c r="D98" s="402" t="str">
        <f>+D86</f>
        <v>31 Dhjetor 2018</v>
      </c>
      <c r="E98" s="402" t="str">
        <f>+E86</f>
        <v>31 Dhjetor 2017</v>
      </c>
      <c r="F98" s="402" t="str">
        <f>+F86</f>
        <v>31 Dhjetor 2014</v>
      </c>
      <c r="G98" s="402" t="str">
        <f>+G86</f>
        <v>31 Dhjetor 2013</v>
      </c>
    </row>
    <row r="99" spans="2:7" x14ac:dyDescent="0.25">
      <c r="B99" s="410" t="s">
        <v>509</v>
      </c>
      <c r="C99" s="416">
        <f>+'Ardh shpenz alpha'!C14</f>
        <v>0</v>
      </c>
      <c r="D99" s="416">
        <f>+'Ardh shpenz alpha'!D14</f>
        <v>0</v>
      </c>
      <c r="E99" s="416">
        <f>+'Ardh shpenz alpha'!E14</f>
        <v>0</v>
      </c>
      <c r="F99" s="416">
        <f>+'Ardh shpenz alpha'!F14</f>
        <v>0</v>
      </c>
      <c r="G99" s="416">
        <f>+'Ardh shpenz alpha'!G14</f>
        <v>0</v>
      </c>
    </row>
    <row r="100" spans="2:7" x14ac:dyDescent="0.25">
      <c r="B100" s="410" t="s">
        <v>434</v>
      </c>
      <c r="C100" s="416">
        <f>+'Ardh shpenz alpha'!C15</f>
        <v>15746000</v>
      </c>
      <c r="D100" s="416">
        <f>+'Ardh shpenz alpha'!D15</f>
        <v>14803750</v>
      </c>
      <c r="E100" s="416">
        <f>+'Ardh shpenz alpha'!E15</f>
        <v>8392500</v>
      </c>
      <c r="F100" s="416"/>
      <c r="G100" s="416"/>
    </row>
    <row r="101" spans="2:7" x14ac:dyDescent="0.25">
      <c r="B101" s="410"/>
      <c r="C101" s="416"/>
      <c r="D101" s="416"/>
      <c r="E101" s="416"/>
      <c r="F101" s="416"/>
      <c r="G101" s="416"/>
    </row>
    <row r="102" spans="2:7" x14ac:dyDescent="0.25">
      <c r="B102" s="412" t="s">
        <v>2</v>
      </c>
      <c r="C102" s="413">
        <f>SUM(C99:C100)</f>
        <v>15746000</v>
      </c>
      <c r="D102" s="413">
        <f>SUM(D99:D100)</f>
        <v>14803750</v>
      </c>
      <c r="E102" s="413">
        <f>SUM(E99:E100)</f>
        <v>8392500</v>
      </c>
      <c r="F102" s="413">
        <f>SUM(F99:F100)</f>
        <v>0</v>
      </c>
      <c r="G102" s="413">
        <f>SUM(G99:G100)</f>
        <v>0</v>
      </c>
    </row>
    <row r="103" spans="2:7" x14ac:dyDescent="0.25">
      <c r="C103" s="360">
        <f>'ardh-shpenz'!D8</f>
        <v>15746000</v>
      </c>
      <c r="D103" s="360">
        <f>'ardh-shpenz'!E8</f>
        <v>14803750</v>
      </c>
      <c r="E103" s="360">
        <f>'ardh-shpenz'!F8</f>
        <v>8392500</v>
      </c>
      <c r="F103" s="360">
        <f>'ardh-shpenz'!G8</f>
        <v>138750</v>
      </c>
      <c r="G103" s="360" t="e">
        <f>'ardh-shpenz'!H8</f>
        <v>#VALUE!</v>
      </c>
    </row>
    <row r="105" spans="2:7" ht="15.75" hidden="1" thickBot="1" x14ac:dyDescent="0.3">
      <c r="C105" s="359" t="str">
        <f>+C98</f>
        <v>31 Dhjetor 2019</v>
      </c>
      <c r="D105" s="359" t="str">
        <f>+D98</f>
        <v>31 Dhjetor 2018</v>
      </c>
      <c r="E105" s="359" t="str">
        <f>+E98</f>
        <v>31 Dhjetor 2017</v>
      </c>
      <c r="F105" s="359" t="str">
        <f>+F98</f>
        <v>31 Dhjetor 2014</v>
      </c>
      <c r="G105" s="359" t="str">
        <f>+G98</f>
        <v>31 Dhjetor 2013</v>
      </c>
    </row>
    <row r="106" spans="2:7" hidden="1" x14ac:dyDescent="0.25">
      <c r="B106" s="24" t="s">
        <v>432</v>
      </c>
      <c r="C106" s="24">
        <f>+'ardh-shpenz'!D9</f>
        <v>0</v>
      </c>
      <c r="D106" s="24">
        <f>+'ardh-shpenz'!E9</f>
        <v>0</v>
      </c>
      <c r="E106" s="24">
        <f>+'ardh-shpenz'!F9</f>
        <v>0</v>
      </c>
      <c r="F106" s="24">
        <f>+'ardh-shpenz'!G9</f>
        <v>0</v>
      </c>
      <c r="G106" s="24">
        <f>+'ardh-shpenz'!H9</f>
        <v>0</v>
      </c>
    </row>
    <row r="107" spans="2:7" hidden="1" x14ac:dyDescent="0.25">
      <c r="B107" s="24" t="s">
        <v>137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</row>
    <row r="108" spans="2:7" hidden="1" x14ac:dyDescent="0.25"/>
    <row r="109" spans="2:7" ht="15.75" hidden="1" thickBot="1" x14ac:dyDescent="0.3">
      <c r="B109" s="353" t="s">
        <v>2</v>
      </c>
      <c r="C109" s="354">
        <f>SUM(C106:C108)</f>
        <v>0</v>
      </c>
      <c r="D109" s="354">
        <f>SUM(D106:D108)</f>
        <v>0</v>
      </c>
      <c r="E109" s="354">
        <f>SUM(E106:E108)</f>
        <v>0</v>
      </c>
      <c r="F109" s="354">
        <f>SUM(F106:F108)</f>
        <v>0</v>
      </c>
      <c r="G109" s="354">
        <f>SUM(G106:G108)</f>
        <v>0</v>
      </c>
    </row>
    <row r="110" spans="2:7" hidden="1" x14ac:dyDescent="0.25">
      <c r="C110" s="360">
        <f>+'ardh-shpenz'!D9</f>
        <v>0</v>
      </c>
      <c r="D110" s="360">
        <f>+'ardh-shpenz'!E9</f>
        <v>0</v>
      </c>
      <c r="E110" s="360">
        <f>+'ardh-shpenz'!F9</f>
        <v>0</v>
      </c>
      <c r="F110" s="360">
        <f>+'ardh-shpenz'!G9</f>
        <v>0</v>
      </c>
      <c r="G110" s="360">
        <f>+'ardh-shpenz'!H9</f>
        <v>0</v>
      </c>
    </row>
    <row r="111" spans="2:7" hidden="1" x14ac:dyDescent="0.25">
      <c r="B111" s="69"/>
      <c r="C111" s="69"/>
      <c r="D111" s="69"/>
      <c r="E111" s="69"/>
      <c r="F111" s="69"/>
      <c r="G111" s="69"/>
    </row>
    <row r="112" spans="2:7" ht="15.75" hidden="1" thickBot="1" x14ac:dyDescent="0.3">
      <c r="C112" s="359" t="str">
        <f>+C86</f>
        <v>31 Dhjetor 2019</v>
      </c>
      <c r="D112" s="359" t="str">
        <f>+D86</f>
        <v>31 Dhjetor 2018</v>
      </c>
      <c r="E112" s="359" t="str">
        <f>+E86</f>
        <v>31 Dhjetor 2017</v>
      </c>
      <c r="F112" s="359" t="str">
        <f>+F86</f>
        <v>31 Dhjetor 2014</v>
      </c>
      <c r="G112" s="359" t="str">
        <f>+G86</f>
        <v>31 Dhjetor 2013</v>
      </c>
    </row>
    <row r="113" spans="2:7" hidden="1" x14ac:dyDescent="0.25">
      <c r="B113" s="24" t="s">
        <v>433</v>
      </c>
      <c r="C113" s="24">
        <f>-'ardh-shpenz'!D12</f>
        <v>7604659</v>
      </c>
      <c r="D113" s="24">
        <f>-'ardh-shpenz'!E12</f>
        <v>6376488</v>
      </c>
      <c r="E113" s="24">
        <f>-'ardh-shpenz'!F12</f>
        <v>5326634</v>
      </c>
      <c r="F113" s="24">
        <f>-'ardh-shpenz'!G12</f>
        <v>103674</v>
      </c>
      <c r="G113" s="24">
        <f>-'ardh-shpenz'!H12</f>
        <v>0</v>
      </c>
    </row>
    <row r="114" spans="2:7" hidden="1" x14ac:dyDescent="0.25"/>
    <row r="115" spans="2:7" ht="15.75" hidden="1" thickBot="1" x14ac:dyDescent="0.3">
      <c r="B115" s="353" t="s">
        <v>2</v>
      </c>
      <c r="C115" s="354">
        <f>SUM(C113:C114)</f>
        <v>7604659</v>
      </c>
      <c r="D115" s="354">
        <f>SUM(D113:D114)</f>
        <v>6376488</v>
      </c>
      <c r="E115" s="354">
        <f>SUM(E113:E114)</f>
        <v>5326634</v>
      </c>
      <c r="F115" s="354">
        <f>SUM(F113:F114)</f>
        <v>103674</v>
      </c>
      <c r="G115" s="354">
        <f>SUM(G113:G114)</f>
        <v>0</v>
      </c>
    </row>
    <row r="116" spans="2:7" hidden="1" x14ac:dyDescent="0.25">
      <c r="C116" s="24">
        <f>+'ardh-shpenz'!D12</f>
        <v>-7604659</v>
      </c>
      <c r="D116" s="24">
        <f>+'ardh-shpenz'!E12</f>
        <v>-6376488</v>
      </c>
      <c r="E116" s="24">
        <f>+'ardh-shpenz'!F12</f>
        <v>-5326634</v>
      </c>
      <c r="F116" s="24">
        <f>+'ardh-shpenz'!G12</f>
        <v>-103674</v>
      </c>
      <c r="G116" s="24">
        <f>+'ardh-shpenz'!H12</f>
        <v>0</v>
      </c>
    </row>
    <row r="118" spans="2:7" x14ac:dyDescent="0.25">
      <c r="B118" s="24" t="s">
        <v>321</v>
      </c>
    </row>
    <row r="119" spans="2:7" x14ac:dyDescent="0.25">
      <c r="B119" s="410" t="s">
        <v>470</v>
      </c>
      <c r="C119" s="402" t="str">
        <f>+C112</f>
        <v>31 Dhjetor 2019</v>
      </c>
      <c r="D119" s="402" t="str">
        <f>+D112</f>
        <v>31 Dhjetor 2018</v>
      </c>
      <c r="E119" s="402" t="str">
        <f>+E112</f>
        <v>31 Dhjetor 2017</v>
      </c>
      <c r="F119" s="402" t="str">
        <f>+F112</f>
        <v>31 Dhjetor 2014</v>
      </c>
      <c r="G119" s="402" t="str">
        <f>+G112</f>
        <v>31 Dhjetor 2013</v>
      </c>
    </row>
    <row r="120" spans="2:7" x14ac:dyDescent="0.25">
      <c r="B120" s="401" t="s">
        <v>109</v>
      </c>
      <c r="C120" s="410">
        <f>+'Ardh shpenz alpha'!C75</f>
        <v>1825650</v>
      </c>
      <c r="D120" s="410">
        <f>+'Ardh shpenz alpha'!D75</f>
        <v>1380000</v>
      </c>
      <c r="E120" s="410">
        <f>+'Ardh shpenz alpha'!E75</f>
        <v>873000</v>
      </c>
      <c r="F120" s="410">
        <f>+'Ardh shpenz alpha'!F75</f>
        <v>114600</v>
      </c>
      <c r="G120" s="410">
        <f>+'Ardh shpenz alpha'!G75</f>
        <v>0</v>
      </c>
    </row>
    <row r="121" spans="2:7" x14ac:dyDescent="0.25">
      <c r="B121" s="410" t="s">
        <v>107</v>
      </c>
      <c r="C121" s="410">
        <f>+'Ardh shpenz alpha'!C77</f>
        <v>304885</v>
      </c>
      <c r="D121" s="410">
        <f>+'Ardh shpenz alpha'!D77</f>
        <v>230460</v>
      </c>
      <c r="E121" s="410">
        <f>+'Ardh shpenz alpha'!E77</f>
        <v>145791</v>
      </c>
      <c r="F121" s="410">
        <f>+'Ardh shpenz alpha'!F77</f>
        <v>1948</v>
      </c>
      <c r="G121" s="410">
        <f>+'Ardh shpenz alpha'!G77</f>
        <v>0</v>
      </c>
    </row>
    <row r="122" spans="2:7" hidden="1" x14ac:dyDescent="0.25">
      <c r="B122" s="410" t="s">
        <v>579</v>
      </c>
      <c r="C122" s="410"/>
      <c r="D122" s="410"/>
      <c r="E122" s="410"/>
      <c r="F122" s="410"/>
      <c r="G122" s="410"/>
    </row>
    <row r="123" spans="2:7" x14ac:dyDescent="0.25">
      <c r="B123" s="412" t="s">
        <v>2</v>
      </c>
      <c r="C123" s="413">
        <f>SUM(C120:C122)</f>
        <v>2130535</v>
      </c>
      <c r="D123" s="413">
        <f>SUM(D120:D122)</f>
        <v>1610460</v>
      </c>
      <c r="E123" s="413">
        <f>SUM(E120:E122)</f>
        <v>1018791</v>
      </c>
      <c r="F123" s="413">
        <f>SUM(F120:F122)</f>
        <v>116548</v>
      </c>
      <c r="G123" s="413">
        <f>SUM(G120:G122)</f>
        <v>0</v>
      </c>
    </row>
    <row r="124" spans="2:7" x14ac:dyDescent="0.25">
      <c r="C124" s="360">
        <f>+'ardh-shpenz'!D14</f>
        <v>-2130535</v>
      </c>
      <c r="D124" s="360">
        <f>+'ardh-shpenz'!E14</f>
        <v>-1610460</v>
      </c>
      <c r="E124" s="360">
        <f>+'ardh-shpenz'!F14</f>
        <v>-1018791</v>
      </c>
      <c r="F124" s="360">
        <f>+'ardh-shpenz'!G14</f>
        <v>-116548</v>
      </c>
      <c r="G124" s="360">
        <f>+'ardh-shpenz'!H14</f>
        <v>0</v>
      </c>
    </row>
    <row r="127" spans="2:7" x14ac:dyDescent="0.25">
      <c r="B127" s="484" t="s">
        <v>390</v>
      </c>
      <c r="C127" s="485">
        <f>SUM(C128:C129)</f>
        <v>6376488</v>
      </c>
      <c r="D127" s="485">
        <f>SUM(D128:D129)</f>
        <v>6376488</v>
      </c>
      <c r="E127" s="485">
        <f>SUM(E128:E129)</f>
        <v>5326634</v>
      </c>
    </row>
    <row r="128" spans="2:7" x14ac:dyDescent="0.25">
      <c r="B128" s="484" t="s">
        <v>391</v>
      </c>
      <c r="C128" s="485">
        <v>7737103</v>
      </c>
      <c r="D128" s="485">
        <v>7737103</v>
      </c>
      <c r="E128" s="485">
        <f>4005363+877691</f>
        <v>4883054</v>
      </c>
    </row>
    <row r="129" spans="2:7" x14ac:dyDescent="0.25">
      <c r="B129" s="484" t="s">
        <v>392</v>
      </c>
      <c r="C129" s="485">
        <v>-1360615</v>
      </c>
      <c r="D129" s="485">
        <v>-1360615</v>
      </c>
      <c r="E129" s="485">
        <v>443580</v>
      </c>
    </row>
    <row r="134" spans="2:7" x14ac:dyDescent="0.25">
      <c r="B134" s="24" t="s">
        <v>83</v>
      </c>
    </row>
    <row r="135" spans="2:7" x14ac:dyDescent="0.25">
      <c r="B135" s="410" t="s">
        <v>470</v>
      </c>
      <c r="C135" s="402" t="str">
        <f>+C119</f>
        <v>31 Dhjetor 2019</v>
      </c>
      <c r="D135" s="402" t="str">
        <f>+D119</f>
        <v>31 Dhjetor 2018</v>
      </c>
      <c r="E135" s="402" t="str">
        <f>+E119</f>
        <v>31 Dhjetor 2017</v>
      </c>
      <c r="F135" s="402" t="str">
        <f>+F119</f>
        <v>31 Dhjetor 2014</v>
      </c>
      <c r="G135" s="402" t="str">
        <f>+G119</f>
        <v>31 Dhjetor 2013</v>
      </c>
    </row>
    <row r="136" spans="2:7" x14ac:dyDescent="0.25">
      <c r="B136" s="419" t="s">
        <v>688</v>
      </c>
      <c r="C136" s="418">
        <v>602000</v>
      </c>
      <c r="D136" s="418">
        <v>69583</v>
      </c>
      <c r="E136" s="418">
        <v>79000</v>
      </c>
      <c r="F136" s="418"/>
      <c r="G136" s="418">
        <v>0</v>
      </c>
    </row>
    <row r="137" spans="2:7" x14ac:dyDescent="0.25">
      <c r="B137" s="417" t="s">
        <v>511</v>
      </c>
      <c r="C137" s="418">
        <v>1539407</v>
      </c>
      <c r="D137" s="418">
        <v>311255</v>
      </c>
      <c r="E137" s="418">
        <v>26925</v>
      </c>
      <c r="F137" s="418">
        <f>2322331-22928</f>
        <v>2299403</v>
      </c>
      <c r="G137" s="418">
        <v>0</v>
      </c>
    </row>
    <row r="138" spans="2:7" x14ac:dyDescent="0.25">
      <c r="B138" s="417" t="s">
        <v>632</v>
      </c>
      <c r="C138" s="418">
        <v>240000</v>
      </c>
      <c r="D138" s="418">
        <v>240000</v>
      </c>
      <c r="E138" s="418">
        <v>307050</v>
      </c>
      <c r="F138" s="418"/>
      <c r="G138" s="418"/>
    </row>
    <row r="139" spans="2:7" x14ac:dyDescent="0.25">
      <c r="B139" s="417" t="s">
        <v>633</v>
      </c>
      <c r="C139" s="418">
        <v>66667</v>
      </c>
      <c r="D139" s="418">
        <v>0</v>
      </c>
      <c r="E139" s="418">
        <v>18960</v>
      </c>
      <c r="F139" s="418"/>
      <c r="G139" s="418"/>
    </row>
    <row r="140" spans="2:7" x14ac:dyDescent="0.25">
      <c r="B140" s="419" t="s">
        <v>689</v>
      </c>
      <c r="C140" s="418">
        <v>609121</v>
      </c>
      <c r="D140" s="418">
        <v>1210609</v>
      </c>
      <c r="E140" s="418">
        <v>279240</v>
      </c>
      <c r="F140" s="418"/>
      <c r="G140" s="418"/>
    </row>
    <row r="141" spans="2:7" x14ac:dyDescent="0.25">
      <c r="B141" s="417" t="s">
        <v>721</v>
      </c>
      <c r="C141" s="418">
        <v>198076</v>
      </c>
      <c r="D141" s="418">
        <v>171678</v>
      </c>
      <c r="E141" s="418">
        <v>68867</v>
      </c>
      <c r="F141" s="418">
        <f>86966+4084</f>
        <v>91050</v>
      </c>
      <c r="G141" s="418">
        <v>0</v>
      </c>
    </row>
    <row r="142" spans="2:7" x14ac:dyDescent="0.25">
      <c r="B142" s="417" t="s">
        <v>512</v>
      </c>
      <c r="C142" s="418">
        <v>105576</v>
      </c>
      <c r="D142" s="418">
        <v>94601</v>
      </c>
      <c r="E142" s="418">
        <v>21733</v>
      </c>
      <c r="F142" s="418">
        <v>21271</v>
      </c>
      <c r="G142" s="418">
        <v>0</v>
      </c>
    </row>
    <row r="143" spans="2:7" x14ac:dyDescent="0.25">
      <c r="B143" s="417" t="s">
        <v>139</v>
      </c>
      <c r="C143" s="418">
        <v>55004</v>
      </c>
      <c r="D143" s="418">
        <v>53211</v>
      </c>
      <c r="E143" s="418">
        <v>23015</v>
      </c>
      <c r="F143" s="418">
        <v>28722</v>
      </c>
      <c r="G143" s="418">
        <v>0</v>
      </c>
    </row>
    <row r="144" spans="2:7" x14ac:dyDescent="0.25">
      <c r="B144" s="417" t="s">
        <v>513</v>
      </c>
      <c r="C144" s="418">
        <v>101000</v>
      </c>
      <c r="D144" s="418">
        <v>101000</v>
      </c>
      <c r="E144" s="418">
        <v>21000</v>
      </c>
      <c r="F144" s="418">
        <v>22928</v>
      </c>
      <c r="G144" s="418">
        <v>0</v>
      </c>
    </row>
    <row r="145" spans="2:7" x14ac:dyDescent="0.25">
      <c r="B145" s="417" t="s">
        <v>720</v>
      </c>
      <c r="C145" s="418">
        <v>308142</v>
      </c>
      <c r="D145" s="418"/>
      <c r="E145" s="418"/>
      <c r="F145" s="418"/>
      <c r="G145" s="418">
        <v>0</v>
      </c>
    </row>
    <row r="146" spans="2:7" hidden="1" x14ac:dyDescent="0.25">
      <c r="B146" s="417" t="s">
        <v>572</v>
      </c>
      <c r="C146" s="418"/>
      <c r="D146" s="418"/>
      <c r="E146" s="418"/>
      <c r="F146" s="418"/>
      <c r="G146" s="418"/>
    </row>
    <row r="147" spans="2:7" x14ac:dyDescent="0.25">
      <c r="B147" s="412" t="s">
        <v>2</v>
      </c>
      <c r="C147" s="420">
        <f>SUM(C136:C146)</f>
        <v>3824993</v>
      </c>
      <c r="D147" s="420">
        <f>SUM(D136:D146)</f>
        <v>2251937</v>
      </c>
      <c r="E147" s="420">
        <f>SUM(E136:E146)</f>
        <v>845790</v>
      </c>
      <c r="F147" s="420">
        <f>SUM(F136:F146)</f>
        <v>2463374</v>
      </c>
      <c r="G147" s="420">
        <f>SUM(G136:G146)</f>
        <v>0</v>
      </c>
    </row>
    <row r="148" spans="2:7" x14ac:dyDescent="0.25">
      <c r="C148" s="360">
        <f>+'ardh-shpenz'!D13</f>
        <v>-3824993</v>
      </c>
      <c r="D148" s="360">
        <f>+'ardh-shpenz'!E13</f>
        <v>-2251937</v>
      </c>
      <c r="E148" s="360">
        <f>+'ardh-shpenz'!F13</f>
        <v>-845790</v>
      </c>
      <c r="F148" s="360">
        <f>+'ardh-shpenz'!G13</f>
        <v>-194752</v>
      </c>
      <c r="G148" s="360">
        <f>+'ardh-shpenz'!H13</f>
        <v>0</v>
      </c>
    </row>
    <row r="150" spans="2:7" x14ac:dyDescent="0.25">
      <c r="B150" s="24" t="s">
        <v>514</v>
      </c>
    </row>
    <row r="151" spans="2:7" x14ac:dyDescent="0.25">
      <c r="B151" s="410" t="s">
        <v>470</v>
      </c>
      <c r="C151" s="402" t="str">
        <f>+C135</f>
        <v>31 Dhjetor 2019</v>
      </c>
      <c r="D151" s="402" t="str">
        <f>+D135</f>
        <v>31 Dhjetor 2018</v>
      </c>
      <c r="E151" s="402" t="str">
        <f>+E135</f>
        <v>31 Dhjetor 2017</v>
      </c>
      <c r="F151" s="402" t="str">
        <f>+F135</f>
        <v>31 Dhjetor 2014</v>
      </c>
      <c r="G151" s="402" t="str">
        <f>+G135</f>
        <v>31 Dhjetor 2013</v>
      </c>
    </row>
    <row r="152" spans="2:7" x14ac:dyDescent="0.25">
      <c r="B152" s="401" t="s">
        <v>515</v>
      </c>
      <c r="C152" s="411">
        <f>+'Ardh shpenz alpha'!C84</f>
        <v>685488</v>
      </c>
      <c r="D152" s="411">
        <f>+'Ardh shpenz alpha'!D84</f>
        <v>953792</v>
      </c>
      <c r="E152" s="411">
        <f>+'Ardh shpenz alpha'!E84</f>
        <v>214600</v>
      </c>
      <c r="F152" s="411">
        <f>+'Ardh shpenz alpha'!F84</f>
        <v>0</v>
      </c>
      <c r="G152" s="411">
        <f>+'Ardh shpenz alpha'!G84</f>
        <v>0</v>
      </c>
    </row>
    <row r="153" spans="2:7" hidden="1" x14ac:dyDescent="0.25">
      <c r="B153" s="410"/>
      <c r="C153" s="410"/>
      <c r="D153" s="410"/>
      <c r="E153" s="410"/>
      <c r="F153" s="410"/>
      <c r="G153" s="410"/>
    </row>
    <row r="154" spans="2:7" x14ac:dyDescent="0.25">
      <c r="B154" s="412" t="s">
        <v>2</v>
      </c>
      <c r="C154" s="413">
        <f>SUM(C152:C152)</f>
        <v>685488</v>
      </c>
      <c r="D154" s="413">
        <f>SUM(D152:D152)</f>
        <v>953792</v>
      </c>
      <c r="E154" s="413">
        <f>SUM(E152:E152)</f>
        <v>214600</v>
      </c>
      <c r="F154" s="413">
        <f>SUM(F152:F152)</f>
        <v>0</v>
      </c>
      <c r="G154" s="413">
        <f>SUM(G152:G152)</f>
        <v>0</v>
      </c>
    </row>
    <row r="155" spans="2:7" x14ac:dyDescent="0.25">
      <c r="C155" s="360">
        <f>-C152</f>
        <v>-685488</v>
      </c>
      <c r="D155" s="360">
        <f>-D152</f>
        <v>-953792</v>
      </c>
      <c r="E155" s="360">
        <f>-E152</f>
        <v>-214600</v>
      </c>
      <c r="F155" s="360">
        <f>-F152</f>
        <v>0</v>
      </c>
      <c r="G155" s="360">
        <f>-G152</f>
        <v>0</v>
      </c>
    </row>
    <row r="157" spans="2:7" x14ac:dyDescent="0.25">
      <c r="B157" s="410" t="s">
        <v>470</v>
      </c>
      <c r="C157" s="402" t="str">
        <f>+C151</f>
        <v>31 Dhjetor 2019</v>
      </c>
      <c r="D157" s="402" t="str">
        <f>+D151</f>
        <v>31 Dhjetor 2018</v>
      </c>
      <c r="E157" s="402" t="str">
        <f>+E151</f>
        <v>31 Dhjetor 2017</v>
      </c>
      <c r="F157" s="402" t="str">
        <f>+F151</f>
        <v>31 Dhjetor 2014</v>
      </c>
      <c r="G157" s="402" t="str">
        <f>+G151</f>
        <v>31 Dhjetor 2013</v>
      </c>
    </row>
    <row r="158" spans="2:7" x14ac:dyDescent="0.25">
      <c r="B158" s="410" t="s">
        <v>111</v>
      </c>
      <c r="C158" s="410">
        <f>+'Ardh shpenz alpha'!C39</f>
        <v>0</v>
      </c>
      <c r="D158" s="410">
        <f>+'Ardh shpenz alpha'!D39</f>
        <v>0</v>
      </c>
      <c r="E158" s="410">
        <f>+'Ardh shpenz alpha'!E39</f>
        <v>0</v>
      </c>
      <c r="F158" s="410">
        <f>+'Ardh shpenz alpha'!F39</f>
        <v>0</v>
      </c>
      <c r="G158" s="410">
        <f>+'Ardh shpenz alpha'!G39</f>
        <v>0</v>
      </c>
    </row>
    <row r="159" spans="2:7" x14ac:dyDescent="0.25">
      <c r="B159" s="410" t="s">
        <v>124</v>
      </c>
      <c r="C159" s="410">
        <f>+'Ardh shpenz alpha'!C37</f>
        <v>0</v>
      </c>
      <c r="D159" s="410">
        <f>+'Ardh shpenz alpha'!D37</f>
        <v>0</v>
      </c>
      <c r="E159" s="410">
        <f>+'Ardh shpenz alpha'!E37</f>
        <v>0</v>
      </c>
      <c r="F159" s="410">
        <f>+'Ardh shpenz alpha'!F37</f>
        <v>0</v>
      </c>
      <c r="G159" s="410">
        <f>+'Ardh shpenz alpha'!G37</f>
        <v>0</v>
      </c>
    </row>
    <row r="160" spans="2:7" x14ac:dyDescent="0.25">
      <c r="B160" s="410" t="s">
        <v>112</v>
      </c>
      <c r="C160" s="410">
        <v>0</v>
      </c>
      <c r="D160" s="410">
        <v>0</v>
      </c>
      <c r="E160" s="410">
        <v>0</v>
      </c>
      <c r="F160" s="410">
        <v>0</v>
      </c>
      <c r="G160" s="410">
        <v>0</v>
      </c>
    </row>
    <row r="161" spans="2:7" x14ac:dyDescent="0.25">
      <c r="B161" s="410" t="s">
        <v>123</v>
      </c>
      <c r="C161" s="410">
        <f>-'Ardh shpenz alpha'!C92</f>
        <v>0</v>
      </c>
      <c r="D161" s="410">
        <f>-'Ardh shpenz alpha'!D92</f>
        <v>0</v>
      </c>
      <c r="E161" s="410">
        <f>-'Ardh shpenz alpha'!E92</f>
        <v>0</v>
      </c>
      <c r="F161" s="410">
        <f>-'Ardh shpenz alpha'!F92</f>
        <v>0</v>
      </c>
      <c r="G161" s="410">
        <f>-'Ardh shpenz alpha'!G92</f>
        <v>0</v>
      </c>
    </row>
    <row r="162" spans="2:7" x14ac:dyDescent="0.25">
      <c r="B162" s="421" t="s">
        <v>113</v>
      </c>
      <c r="C162" s="410">
        <f>-'Ardh shpenz alpha'!C94</f>
        <v>0</v>
      </c>
      <c r="D162" s="410">
        <f>-'Ardh shpenz alpha'!D94</f>
        <v>0</v>
      </c>
      <c r="E162" s="410">
        <f>-'Ardh shpenz alpha'!E94</f>
        <v>0</v>
      </c>
      <c r="F162" s="410">
        <f>-'Ardh shpenz alpha'!F94</f>
        <v>0</v>
      </c>
      <c r="G162" s="410">
        <f>-'Ardh shpenz alpha'!G94</f>
        <v>0</v>
      </c>
    </row>
    <row r="163" spans="2:7" x14ac:dyDescent="0.25">
      <c r="B163" s="410" t="s">
        <v>114</v>
      </c>
      <c r="C163" s="410">
        <v>0</v>
      </c>
      <c r="D163" s="410">
        <v>0</v>
      </c>
      <c r="E163" s="410">
        <v>0</v>
      </c>
      <c r="F163" s="410">
        <v>0</v>
      </c>
      <c r="G163" s="410">
        <v>0</v>
      </c>
    </row>
    <row r="164" spans="2:7" hidden="1" x14ac:dyDescent="0.25">
      <c r="B164" s="410"/>
      <c r="C164" s="410"/>
      <c r="D164" s="410"/>
      <c r="E164" s="410"/>
      <c r="F164" s="410"/>
      <c r="G164" s="410"/>
    </row>
    <row r="165" spans="2:7" x14ac:dyDescent="0.25">
      <c r="B165" s="412" t="s">
        <v>2</v>
      </c>
      <c r="C165" s="413">
        <f>SUM(C158:C163)</f>
        <v>0</v>
      </c>
      <c r="D165" s="413">
        <f>SUM(D158:D163)</f>
        <v>0</v>
      </c>
      <c r="E165" s="413">
        <f>SUM(E158:E163)</f>
        <v>0</v>
      </c>
      <c r="F165" s="413">
        <f>SUM(F158:F163)</f>
        <v>0</v>
      </c>
      <c r="G165" s="413">
        <f>SUM(G158:G163)</f>
        <v>0</v>
      </c>
    </row>
    <row r="166" spans="2:7" x14ac:dyDescent="0.25">
      <c r="C166" s="360">
        <f>-'ardh-shpenz'!D21</f>
        <v>0</v>
      </c>
      <c r="D166" s="360">
        <f>-'ardh-shpenz'!E21</f>
        <v>0</v>
      </c>
      <c r="E166" s="360">
        <f>-'ardh-shpenz'!F21</f>
        <v>0</v>
      </c>
      <c r="F166" s="360">
        <f>-'ardh-shpenz'!G21</f>
        <v>0</v>
      </c>
      <c r="G166" s="360">
        <f>-'ardh-shpenz'!H21</f>
        <v>0</v>
      </c>
    </row>
    <row r="168" spans="2:7" ht="15.75" hidden="1" thickBot="1" x14ac:dyDescent="0.3">
      <c r="B168" s="24" t="s">
        <v>470</v>
      </c>
      <c r="C168" s="359" t="str">
        <f>+C157</f>
        <v>31 Dhjetor 2019</v>
      </c>
      <c r="D168" s="359" t="str">
        <f>+D157</f>
        <v>31 Dhjetor 2018</v>
      </c>
      <c r="E168" s="359" t="str">
        <f>+E157</f>
        <v>31 Dhjetor 2017</v>
      </c>
      <c r="F168" s="359" t="str">
        <f>+F157</f>
        <v>31 Dhjetor 2014</v>
      </c>
      <c r="G168" s="359" t="str">
        <f>+G157</f>
        <v>31 Dhjetor 2013</v>
      </c>
    </row>
    <row r="169" spans="2:7" hidden="1" x14ac:dyDescent="0.25">
      <c r="B169" s="24" t="s">
        <v>115</v>
      </c>
      <c r="C169" s="24">
        <f>+'ardh-shpenz'!D23</f>
        <v>1500325</v>
      </c>
      <c r="D169" s="24">
        <f>+'ardh-shpenz'!E23</f>
        <v>3611073</v>
      </c>
      <c r="E169" s="24">
        <f>+'ardh-shpenz'!F23</f>
        <v>986685</v>
      </c>
      <c r="F169" s="24">
        <f>+'ardh-shpenz'!G23</f>
        <v>-276224</v>
      </c>
      <c r="G169" s="24" t="e">
        <f>+'ardh-shpenz'!H23</f>
        <v>#VALUE!</v>
      </c>
    </row>
    <row r="170" spans="2:7" hidden="1" x14ac:dyDescent="0.25">
      <c r="B170" s="24" t="s">
        <v>116</v>
      </c>
      <c r="C170" s="24">
        <f>+C145</f>
        <v>308142</v>
      </c>
      <c r="D170" s="24">
        <f>+D145</f>
        <v>0</v>
      </c>
      <c r="E170" s="24">
        <f>+E145</f>
        <v>0</v>
      </c>
      <c r="F170" s="24">
        <f>+F145</f>
        <v>0</v>
      </c>
      <c r="G170" s="24">
        <f>+G145</f>
        <v>0</v>
      </c>
    </row>
    <row r="171" spans="2:7" hidden="1" x14ac:dyDescent="0.25">
      <c r="B171" s="24" t="s">
        <v>117</v>
      </c>
      <c r="C171" s="361">
        <f>SUM(C169:C170)</f>
        <v>1808467</v>
      </c>
      <c r="D171" s="361">
        <f>SUM(D169:D170)</f>
        <v>3611073</v>
      </c>
      <c r="E171" s="361">
        <f>SUM(E169:E170)</f>
        <v>986685</v>
      </c>
      <c r="F171" s="361">
        <f>SUM(F169:F170)</f>
        <v>-276224</v>
      </c>
      <c r="G171" s="361" t="e">
        <f>SUM(G169:G170)</f>
        <v>#VALUE!</v>
      </c>
    </row>
    <row r="172" spans="2:7" hidden="1" x14ac:dyDescent="0.25">
      <c r="B172" s="24" t="s">
        <v>118</v>
      </c>
      <c r="C172" s="362">
        <v>15</v>
      </c>
      <c r="D172" s="362">
        <v>15</v>
      </c>
      <c r="E172" s="362">
        <v>15</v>
      </c>
      <c r="F172" s="362">
        <v>15</v>
      </c>
      <c r="G172" s="362">
        <v>10</v>
      </c>
    </row>
    <row r="173" spans="2:7" hidden="1" x14ac:dyDescent="0.25">
      <c r="B173" s="345" t="s">
        <v>105</v>
      </c>
      <c r="C173" s="363">
        <f>+C171*0.15</f>
        <v>271270.05</v>
      </c>
      <c r="D173" s="363">
        <f>+D171*0.15</f>
        <v>541660.94999999995</v>
      </c>
      <c r="E173" s="363">
        <f>+E171*0.15</f>
        <v>148002.75</v>
      </c>
      <c r="F173" s="363">
        <f>+F171*0.15</f>
        <v>-41433.599999999999</v>
      </c>
      <c r="G173" s="363" t="e">
        <f>+G171*0.1</f>
        <v>#VALUE!</v>
      </c>
    </row>
    <row r="174" spans="2:7" hidden="1" x14ac:dyDescent="0.25"/>
    <row r="175" spans="2:7" hidden="1" x14ac:dyDescent="0.25">
      <c r="B175" s="345" t="s">
        <v>119</v>
      </c>
      <c r="C175" s="363">
        <f>+C169-C173</f>
        <v>1229054.95</v>
      </c>
      <c r="D175" s="363">
        <f>+D169-D173</f>
        <v>3069412.05</v>
      </c>
      <c r="E175" s="363">
        <f>+E169-E173</f>
        <v>838682.25</v>
      </c>
      <c r="F175" s="363">
        <f>+F169-F173</f>
        <v>-234790.39999999999</v>
      </c>
      <c r="G175" s="363" t="e">
        <f>+G169-G173</f>
        <v>#VALUE!</v>
      </c>
    </row>
    <row r="177" spans="2:7" ht="15.75" thickBot="1" x14ac:dyDescent="0.3"/>
    <row r="178" spans="2:7" ht="15.75" thickBot="1" x14ac:dyDescent="0.3">
      <c r="B178" s="490" t="s">
        <v>470</v>
      </c>
      <c r="C178" s="491" t="s">
        <v>686</v>
      </c>
      <c r="D178" s="491" t="s">
        <v>686</v>
      </c>
      <c r="E178" s="491" t="s">
        <v>639</v>
      </c>
    </row>
    <row r="179" spans="2:7" ht="15.75" thickBot="1" x14ac:dyDescent="0.3">
      <c r="B179" s="492" t="s">
        <v>510</v>
      </c>
      <c r="C179" s="493">
        <f>+'Ardh shpenz alpha'!C17</f>
        <v>15746000</v>
      </c>
      <c r="D179" s="493">
        <f>+'Ardh shpenz alpha'!D17</f>
        <v>14803750</v>
      </c>
      <c r="E179" s="493">
        <f>+'Ardh shpenz alpha'!E17</f>
        <v>8392500</v>
      </c>
    </row>
    <row r="180" spans="2:7" ht="15.75" thickBot="1" x14ac:dyDescent="0.3">
      <c r="B180" s="492" t="s">
        <v>690</v>
      </c>
      <c r="C180" s="493">
        <f>+'Ardh shpenz alpha'!C98</f>
        <v>14245675</v>
      </c>
      <c r="D180" s="493">
        <f>+'Ardh shpenz alpha'!D98</f>
        <v>11192677</v>
      </c>
      <c r="E180" s="493">
        <f>+'Ardh shpenz alpha'!E98</f>
        <v>7405815</v>
      </c>
    </row>
    <row r="181" spans="2:7" ht="15.75" thickBot="1" x14ac:dyDescent="0.3">
      <c r="B181" s="492" t="s">
        <v>115</v>
      </c>
      <c r="C181" s="494">
        <f>+C179-C180</f>
        <v>1500325</v>
      </c>
      <c r="D181" s="494">
        <f>+D179-D180</f>
        <v>3611073</v>
      </c>
      <c r="E181" s="494">
        <f>+E179-E180</f>
        <v>986685</v>
      </c>
    </row>
    <row r="182" spans="2:7" ht="15.75" thickBot="1" x14ac:dyDescent="0.3">
      <c r="B182" s="492" t="s">
        <v>116</v>
      </c>
      <c r="C182" s="494">
        <v>0</v>
      </c>
      <c r="D182" s="494">
        <v>0</v>
      </c>
      <c r="E182" s="494">
        <v>0</v>
      </c>
    </row>
    <row r="183" spans="2:7" ht="15.75" thickBot="1" x14ac:dyDescent="0.3">
      <c r="B183" s="492" t="s">
        <v>117</v>
      </c>
      <c r="C183" s="494">
        <f>+C181-C182</f>
        <v>1500325</v>
      </c>
      <c r="D183" s="494">
        <f>+D181-D182</f>
        <v>3611073</v>
      </c>
      <c r="E183" s="494">
        <f>+E181-E182</f>
        <v>986685</v>
      </c>
    </row>
    <row r="184" spans="2:7" ht="15.75" thickBot="1" x14ac:dyDescent="0.3">
      <c r="B184" s="492" t="s">
        <v>118</v>
      </c>
      <c r="C184" s="495">
        <v>15</v>
      </c>
      <c r="D184" s="495">
        <v>15</v>
      </c>
      <c r="E184" s="495">
        <v>5</v>
      </c>
    </row>
    <row r="185" spans="2:7" ht="15.75" thickBot="1" x14ac:dyDescent="0.3">
      <c r="B185" s="496" t="s">
        <v>105</v>
      </c>
      <c r="C185" s="497">
        <f>+C183*C184/100</f>
        <v>225048.75</v>
      </c>
      <c r="D185" s="497">
        <f>+D183*D184/100</f>
        <v>541660.94999999995</v>
      </c>
      <c r="E185" s="497">
        <f>+E183*E184/100</f>
        <v>49334.25</v>
      </c>
      <c r="F185" s="497">
        <f>+F183*F184/100</f>
        <v>0</v>
      </c>
      <c r="G185" s="497">
        <f>+G183*G184/100</f>
        <v>0</v>
      </c>
    </row>
    <row r="186" spans="2:7" ht="15.75" thickBot="1" x14ac:dyDescent="0.3">
      <c r="B186" s="492"/>
      <c r="C186" s="498"/>
      <c r="D186" s="498"/>
      <c r="E186" s="498"/>
    </row>
    <row r="187" spans="2:7" ht="15.75" thickBot="1" x14ac:dyDescent="0.3">
      <c r="B187" s="496" t="s">
        <v>119</v>
      </c>
      <c r="C187" s="499">
        <f>+C183-C185</f>
        <v>1275276.25</v>
      </c>
      <c r="D187" s="499">
        <f>+D183-D185</f>
        <v>3069412.05</v>
      </c>
      <c r="E187" s="499">
        <f>+E183-E185</f>
        <v>937350.75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topLeftCell="A73" workbookViewId="0">
      <selection activeCell="L93" sqref="L93"/>
    </sheetView>
  </sheetViews>
  <sheetFormatPr defaultRowHeight="12.75" x14ac:dyDescent="0.2"/>
  <cols>
    <col min="1" max="1" width="9.85546875" customWidth="1"/>
    <col min="2" max="2" width="12.42578125" customWidth="1"/>
    <col min="3" max="3" width="12.28515625" customWidth="1"/>
    <col min="4" max="4" width="10.42578125" customWidth="1"/>
    <col min="5" max="5" width="10.85546875" customWidth="1"/>
    <col min="6" max="6" width="1.28515625" customWidth="1"/>
    <col min="7" max="7" width="9" customWidth="1"/>
    <col min="8" max="8" width="11.140625" customWidth="1"/>
    <col min="9" max="9" width="14" customWidth="1"/>
    <col min="10" max="10" width="10.140625" customWidth="1"/>
    <col min="11" max="11" width="15" customWidth="1"/>
    <col min="12" max="12" width="10.85546875" customWidth="1"/>
    <col min="13" max="13" width="16.85546875" customWidth="1"/>
    <col min="14" max="14" width="9.7109375" customWidth="1"/>
    <col min="15" max="15" width="10.28515625" customWidth="1"/>
    <col min="16" max="16" width="0.7109375" customWidth="1"/>
    <col min="17" max="17" width="1.5703125" customWidth="1"/>
    <col min="18" max="18" width="10.7109375" customWidth="1"/>
  </cols>
  <sheetData>
    <row r="1" spans="1:15" ht="15.75" hidden="1" thickBot="1" x14ac:dyDescent="0.3">
      <c r="A1" s="371" t="s">
        <v>666</v>
      </c>
    </row>
    <row r="2" spans="1:15" ht="15.75" hidden="1" thickBot="1" x14ac:dyDescent="0.3">
      <c r="A2" s="371"/>
      <c r="C2" s="432" t="s">
        <v>584</v>
      </c>
      <c r="G2" s="432" t="s">
        <v>585</v>
      </c>
      <c r="K2" s="395" t="s">
        <v>607</v>
      </c>
      <c r="L2" s="396"/>
      <c r="M2" s="395" t="s">
        <v>608</v>
      </c>
      <c r="N2" s="396"/>
    </row>
    <row r="3" spans="1:15" ht="15.75" hidden="1" thickBot="1" x14ac:dyDescent="0.3">
      <c r="A3" s="372" t="s">
        <v>587</v>
      </c>
      <c r="B3" s="373" t="s">
        <v>588</v>
      </c>
      <c r="C3" s="373" t="s">
        <v>589</v>
      </c>
      <c r="D3" s="374" t="s">
        <v>590</v>
      </c>
      <c r="E3" s="453"/>
      <c r="G3" s="372" t="s">
        <v>587</v>
      </c>
      <c r="H3" s="373" t="s">
        <v>591</v>
      </c>
      <c r="I3" s="373"/>
      <c r="J3" s="373"/>
      <c r="K3" s="373" t="s">
        <v>606</v>
      </c>
      <c r="L3" s="373" t="s">
        <v>590</v>
      </c>
      <c r="M3" s="373" t="s">
        <v>591</v>
      </c>
      <c r="N3" s="373" t="s">
        <v>589</v>
      </c>
      <c r="O3" s="374" t="s">
        <v>590</v>
      </c>
    </row>
    <row r="4" spans="1:15" hidden="1" x14ac:dyDescent="0.2">
      <c r="A4" s="310" t="s">
        <v>592</v>
      </c>
      <c r="B4" s="376"/>
      <c r="C4" s="377"/>
      <c r="D4" s="378">
        <f>+C4*0.2</f>
        <v>0</v>
      </c>
      <c r="E4" s="454"/>
      <c r="G4" s="379" t="s">
        <v>592</v>
      </c>
      <c r="H4" s="380"/>
      <c r="I4" s="380"/>
      <c r="J4" s="380"/>
      <c r="K4" s="380">
        <v>0</v>
      </c>
      <c r="L4" s="381">
        <f>+K4*0.2</f>
        <v>0</v>
      </c>
      <c r="M4" s="380"/>
      <c r="N4" s="381">
        <f>+M4*0.2</f>
        <v>0</v>
      </c>
      <c r="O4" s="378">
        <f>+L4+N4</f>
        <v>0</v>
      </c>
    </row>
    <row r="5" spans="1:15" hidden="1" x14ac:dyDescent="0.2">
      <c r="A5" s="295" t="s">
        <v>593</v>
      </c>
      <c r="B5" s="312"/>
      <c r="C5" s="382"/>
      <c r="D5" s="383">
        <f t="shared" ref="D5:D15" si="0">+C5*0.2</f>
        <v>0</v>
      </c>
      <c r="E5" s="454"/>
      <c r="G5" s="384" t="s">
        <v>593</v>
      </c>
      <c r="H5" s="312"/>
      <c r="I5" s="312"/>
      <c r="J5" s="312"/>
      <c r="K5" s="312">
        <v>0</v>
      </c>
      <c r="L5" s="382">
        <f>+K5*0.2</f>
        <v>0</v>
      </c>
      <c r="M5" s="312"/>
      <c r="N5" s="382">
        <f>+M5*0.2</f>
        <v>0</v>
      </c>
      <c r="O5" s="383">
        <f>+L5+N5</f>
        <v>0</v>
      </c>
    </row>
    <row r="6" spans="1:15" hidden="1" x14ac:dyDescent="0.2">
      <c r="A6" s="295" t="s">
        <v>594</v>
      </c>
      <c r="B6" s="312">
        <v>0</v>
      </c>
      <c r="C6" s="382">
        <v>0</v>
      </c>
      <c r="D6" s="383">
        <f t="shared" si="0"/>
        <v>0</v>
      </c>
      <c r="E6" s="454"/>
      <c r="G6" s="384" t="s">
        <v>594</v>
      </c>
      <c r="H6" s="312">
        <v>0</v>
      </c>
      <c r="I6" s="312"/>
      <c r="J6" s="312"/>
      <c r="K6" s="312">
        <v>0</v>
      </c>
      <c r="L6" s="382">
        <f t="shared" ref="L6:L15" si="1">+K6*0.2</f>
        <v>0</v>
      </c>
      <c r="M6" s="312">
        <v>0</v>
      </c>
      <c r="N6" s="382">
        <f t="shared" ref="N6:N15" si="2">+M6*0.2</f>
        <v>0</v>
      </c>
      <c r="O6" s="383">
        <f t="shared" ref="O6:O15" si="3">+L6+N6</f>
        <v>0</v>
      </c>
    </row>
    <row r="7" spans="1:15" hidden="1" x14ac:dyDescent="0.2">
      <c r="A7" s="295" t="s">
        <v>595</v>
      </c>
      <c r="B7" s="312">
        <v>0</v>
      </c>
      <c r="C7" s="382">
        <v>0</v>
      </c>
      <c r="D7" s="383">
        <f t="shared" si="0"/>
        <v>0</v>
      </c>
      <c r="E7" s="454"/>
      <c r="G7" s="384" t="s">
        <v>595</v>
      </c>
      <c r="H7" s="312">
        <v>0</v>
      </c>
      <c r="I7" s="312"/>
      <c r="J7" s="312"/>
      <c r="K7" s="312">
        <v>0</v>
      </c>
      <c r="L7" s="382">
        <f t="shared" si="1"/>
        <v>0</v>
      </c>
      <c r="M7" s="312">
        <v>0</v>
      </c>
      <c r="N7" s="382">
        <f t="shared" si="2"/>
        <v>0</v>
      </c>
      <c r="O7" s="383">
        <f t="shared" si="3"/>
        <v>0</v>
      </c>
    </row>
    <row r="8" spans="1:15" hidden="1" x14ac:dyDescent="0.2">
      <c r="A8" s="295" t="s">
        <v>596</v>
      </c>
      <c r="B8" s="312">
        <v>0</v>
      </c>
      <c r="C8" s="382">
        <v>0</v>
      </c>
      <c r="D8" s="383">
        <f t="shared" si="0"/>
        <v>0</v>
      </c>
      <c r="E8" s="454"/>
      <c r="G8" s="384" t="s">
        <v>596</v>
      </c>
      <c r="H8" s="312">
        <v>23049</v>
      </c>
      <c r="I8" s="312"/>
      <c r="J8" s="312"/>
      <c r="K8" s="312">
        <v>0</v>
      </c>
      <c r="L8" s="382">
        <f t="shared" si="1"/>
        <v>0</v>
      </c>
      <c r="M8" s="312">
        <v>0</v>
      </c>
      <c r="N8" s="382">
        <f t="shared" si="2"/>
        <v>0</v>
      </c>
      <c r="O8" s="383">
        <f t="shared" si="3"/>
        <v>0</v>
      </c>
    </row>
    <row r="9" spans="1:15" hidden="1" x14ac:dyDescent="0.2">
      <c r="A9" s="295" t="s">
        <v>597</v>
      </c>
      <c r="B9" s="312">
        <v>0</v>
      </c>
      <c r="C9" s="382">
        <v>0</v>
      </c>
      <c r="D9" s="383">
        <f t="shared" si="0"/>
        <v>0</v>
      </c>
      <c r="E9" s="454"/>
      <c r="G9" s="384" t="s">
        <v>597</v>
      </c>
      <c r="H9" s="312">
        <v>0</v>
      </c>
      <c r="I9" s="312"/>
      <c r="J9" s="312"/>
      <c r="K9" s="312">
        <v>0</v>
      </c>
      <c r="L9" s="382">
        <f t="shared" si="1"/>
        <v>0</v>
      </c>
      <c r="M9" s="312">
        <v>0</v>
      </c>
      <c r="N9" s="382">
        <f t="shared" si="2"/>
        <v>0</v>
      </c>
      <c r="O9" s="383">
        <f t="shared" si="3"/>
        <v>0</v>
      </c>
    </row>
    <row r="10" spans="1:15" hidden="1" x14ac:dyDescent="0.2">
      <c r="A10" s="295" t="s">
        <v>598</v>
      </c>
      <c r="B10" s="312">
        <v>0</v>
      </c>
      <c r="C10" s="382">
        <v>0</v>
      </c>
      <c r="D10" s="383">
        <f t="shared" si="0"/>
        <v>0</v>
      </c>
      <c r="E10" s="454"/>
      <c r="G10" s="384" t="s">
        <v>598</v>
      </c>
      <c r="H10" s="312">
        <v>0</v>
      </c>
      <c r="I10" s="312"/>
      <c r="J10" s="312"/>
      <c r="K10" s="312">
        <v>0</v>
      </c>
      <c r="L10" s="382">
        <f t="shared" si="1"/>
        <v>0</v>
      </c>
      <c r="M10" s="312">
        <v>0</v>
      </c>
      <c r="N10" s="382">
        <f t="shared" si="2"/>
        <v>0</v>
      </c>
      <c r="O10" s="383">
        <f t="shared" si="3"/>
        <v>0</v>
      </c>
    </row>
    <row r="11" spans="1:15" hidden="1" x14ac:dyDescent="0.2">
      <c r="A11" s="295" t="s">
        <v>599</v>
      </c>
      <c r="B11" s="312">
        <v>230673</v>
      </c>
      <c r="C11" s="382">
        <v>3080750</v>
      </c>
      <c r="D11" s="383">
        <f t="shared" si="0"/>
        <v>616150</v>
      </c>
      <c r="E11" s="454"/>
      <c r="G11" s="384" t="s">
        <v>599</v>
      </c>
      <c r="H11" s="312">
        <v>0</v>
      </c>
      <c r="I11" s="312"/>
      <c r="J11" s="312"/>
      <c r="K11" s="312">
        <v>0</v>
      </c>
      <c r="L11" s="382">
        <f t="shared" si="1"/>
        <v>0</v>
      </c>
      <c r="M11" s="312">
        <v>2696100</v>
      </c>
      <c r="N11" s="382">
        <f t="shared" si="2"/>
        <v>539220</v>
      </c>
      <c r="O11" s="383">
        <f t="shared" si="3"/>
        <v>539220</v>
      </c>
    </row>
    <row r="12" spans="1:15" hidden="1" x14ac:dyDescent="0.2">
      <c r="A12" s="295" t="s">
        <v>600</v>
      </c>
      <c r="B12" s="312">
        <v>212808</v>
      </c>
      <c r="C12" s="382">
        <v>3333685</v>
      </c>
      <c r="D12" s="383">
        <f t="shared" si="0"/>
        <v>666737</v>
      </c>
      <c r="E12" s="454"/>
      <c r="G12" s="384" t="s">
        <v>600</v>
      </c>
      <c r="H12" s="312">
        <v>0</v>
      </c>
      <c r="I12" s="312"/>
      <c r="J12" s="312"/>
      <c r="K12" s="312">
        <v>0</v>
      </c>
      <c r="L12" s="382">
        <f t="shared" si="1"/>
        <v>0</v>
      </c>
      <c r="M12" s="312">
        <v>3289915</v>
      </c>
      <c r="N12" s="382">
        <f t="shared" si="2"/>
        <v>657983</v>
      </c>
      <c r="O12" s="383">
        <f t="shared" si="3"/>
        <v>657983</v>
      </c>
    </row>
    <row r="13" spans="1:15" hidden="1" x14ac:dyDescent="0.2">
      <c r="A13" s="295" t="s">
        <v>601</v>
      </c>
      <c r="B13" s="312">
        <v>313600</v>
      </c>
      <c r="C13" s="382">
        <v>3549910</v>
      </c>
      <c r="D13" s="383">
        <f t="shared" si="0"/>
        <v>709982</v>
      </c>
      <c r="E13" s="454"/>
      <c r="G13" s="384" t="s">
        <v>601</v>
      </c>
      <c r="H13" s="312">
        <v>0</v>
      </c>
      <c r="I13" s="312"/>
      <c r="J13" s="312"/>
      <c r="K13" s="312">
        <v>0</v>
      </c>
      <c r="L13" s="382">
        <f t="shared" si="1"/>
        <v>0</v>
      </c>
      <c r="M13" s="312">
        <v>2546905</v>
      </c>
      <c r="N13" s="382">
        <f t="shared" si="2"/>
        <v>509381</v>
      </c>
      <c r="O13" s="383">
        <f t="shared" si="3"/>
        <v>509381</v>
      </c>
    </row>
    <row r="14" spans="1:15" hidden="1" x14ac:dyDescent="0.2">
      <c r="A14" s="295" t="s">
        <v>602</v>
      </c>
      <c r="B14" s="312">
        <v>228084</v>
      </c>
      <c r="C14" s="382">
        <v>3414745</v>
      </c>
      <c r="D14" s="383">
        <f t="shared" si="0"/>
        <v>682949</v>
      </c>
      <c r="E14" s="454"/>
      <c r="G14" s="384" t="s">
        <v>602</v>
      </c>
      <c r="H14" s="312">
        <v>0</v>
      </c>
      <c r="I14" s="312"/>
      <c r="J14" s="312"/>
      <c r="K14" s="312">
        <v>0</v>
      </c>
      <c r="L14" s="382">
        <f t="shared" si="1"/>
        <v>0</v>
      </c>
      <c r="M14" s="312">
        <v>2125265</v>
      </c>
      <c r="N14" s="382">
        <f t="shared" si="2"/>
        <v>425053</v>
      </c>
      <c r="O14" s="383">
        <f t="shared" si="3"/>
        <v>425053</v>
      </c>
    </row>
    <row r="15" spans="1:15" ht="13.5" hidden="1" thickBot="1" x14ac:dyDescent="0.25">
      <c r="A15" s="297" t="s">
        <v>603</v>
      </c>
      <c r="B15" s="385">
        <v>169303</v>
      </c>
      <c r="C15" s="386">
        <v>4024580</v>
      </c>
      <c r="D15" s="387">
        <f t="shared" si="0"/>
        <v>804916</v>
      </c>
      <c r="E15" s="454"/>
      <c r="G15" s="397" t="s">
        <v>603</v>
      </c>
      <c r="H15" s="385">
        <v>5560453</v>
      </c>
      <c r="I15" s="385"/>
      <c r="J15" s="385"/>
      <c r="K15" s="385">
        <v>0</v>
      </c>
      <c r="L15" s="386">
        <f t="shared" si="1"/>
        <v>0</v>
      </c>
      <c r="M15" s="385">
        <v>2964040</v>
      </c>
      <c r="N15" s="386">
        <f t="shared" si="2"/>
        <v>592808</v>
      </c>
      <c r="O15" s="387">
        <f t="shared" si="3"/>
        <v>592808</v>
      </c>
    </row>
    <row r="16" spans="1:15" ht="13.5" hidden="1" thickBot="1" x14ac:dyDescent="0.25">
      <c r="A16" s="388"/>
      <c r="B16" s="389">
        <f>SUM(B4:B15)</f>
        <v>1154468</v>
      </c>
      <c r="C16" s="390">
        <f>SUM(C4:C15)</f>
        <v>17403670</v>
      </c>
      <c r="D16" s="391">
        <f>SUM(D4:D15)</f>
        <v>3480734</v>
      </c>
      <c r="E16" s="454"/>
      <c r="G16" s="388"/>
      <c r="H16" s="389">
        <f>SUM(H4:H15)</f>
        <v>5583502</v>
      </c>
      <c r="I16" s="389"/>
      <c r="J16" s="389"/>
      <c r="K16" s="389">
        <f>SUM(K4:K15)</f>
        <v>0</v>
      </c>
      <c r="L16" s="390">
        <f>SUM(L4:L15)</f>
        <v>0</v>
      </c>
      <c r="M16" s="389">
        <f>SUM(M4:M15)</f>
        <v>13622225</v>
      </c>
      <c r="N16" s="390">
        <f>SUM(N4:N15)</f>
        <v>2724445</v>
      </c>
      <c r="O16" s="391">
        <f>SUM(O4:O15)</f>
        <v>2724445</v>
      </c>
    </row>
    <row r="17" spans="1:16" hidden="1" x14ac:dyDescent="0.2"/>
    <row r="18" spans="1:16" ht="18.75" hidden="1" x14ac:dyDescent="0.3">
      <c r="A18" t="s">
        <v>604</v>
      </c>
      <c r="B18" s="393">
        <f>+B16+C16</f>
        <v>18558138</v>
      </c>
      <c r="G18" t="s">
        <v>605</v>
      </c>
      <c r="H18" s="314">
        <f>+H16+K16+M16</f>
        <v>19205727</v>
      </c>
      <c r="I18" s="314"/>
      <c r="J18" s="314"/>
      <c r="M18" s="394"/>
    </row>
    <row r="19" spans="1:16" hidden="1" x14ac:dyDescent="0.2"/>
    <row r="20" spans="1:16" hidden="1" x14ac:dyDescent="0.2">
      <c r="H20" s="314"/>
      <c r="I20" s="314"/>
      <c r="J20" s="314"/>
    </row>
    <row r="21" spans="1:16" hidden="1" x14ac:dyDescent="0.2">
      <c r="G21" s="314"/>
      <c r="P21" s="398"/>
    </row>
    <row r="22" spans="1:16" hidden="1" x14ac:dyDescent="0.2">
      <c r="H22" s="314"/>
      <c r="I22" s="314"/>
      <c r="J22" s="314"/>
    </row>
    <row r="23" spans="1:16" hidden="1" x14ac:dyDescent="0.2"/>
    <row r="24" spans="1:16" ht="15.75" hidden="1" thickBot="1" x14ac:dyDescent="0.3">
      <c r="A24" s="371" t="s">
        <v>667</v>
      </c>
    </row>
    <row r="25" spans="1:16" ht="15.75" hidden="1" thickBot="1" x14ac:dyDescent="0.3">
      <c r="A25" s="371"/>
      <c r="C25" s="432" t="s">
        <v>584</v>
      </c>
      <c r="G25" s="432" t="s">
        <v>585</v>
      </c>
      <c r="K25" s="395" t="s">
        <v>627</v>
      </c>
      <c r="L25" s="396"/>
      <c r="M25" s="395" t="s">
        <v>608</v>
      </c>
      <c r="N25" s="396"/>
    </row>
    <row r="26" spans="1:16" ht="15.75" hidden="1" thickBot="1" x14ac:dyDescent="0.3">
      <c r="A26" s="372" t="s">
        <v>587</v>
      </c>
      <c r="B26" s="373" t="s">
        <v>588</v>
      </c>
      <c r="C26" s="373" t="s">
        <v>589</v>
      </c>
      <c r="D26" s="374" t="s">
        <v>590</v>
      </c>
      <c r="E26" s="453"/>
      <c r="G26" s="372" t="s">
        <v>587</v>
      </c>
      <c r="H26" s="373" t="s">
        <v>591</v>
      </c>
      <c r="I26" s="373"/>
      <c r="J26" s="373"/>
      <c r="K26" s="373" t="s">
        <v>606</v>
      </c>
      <c r="L26" s="373" t="s">
        <v>590</v>
      </c>
      <c r="M26" s="373" t="s">
        <v>591</v>
      </c>
      <c r="N26" s="373" t="s">
        <v>589</v>
      </c>
      <c r="O26" s="374" t="s">
        <v>590</v>
      </c>
    </row>
    <row r="27" spans="1:16" hidden="1" x14ac:dyDescent="0.2">
      <c r="A27" s="310" t="s">
        <v>592</v>
      </c>
      <c r="B27" s="376">
        <v>182975</v>
      </c>
      <c r="C27" s="382">
        <v>2949460</v>
      </c>
      <c r="D27" s="378">
        <f>+C27*0.2</f>
        <v>589892</v>
      </c>
      <c r="E27" s="454"/>
      <c r="G27" s="379" t="s">
        <v>592</v>
      </c>
      <c r="H27" s="380">
        <v>19</v>
      </c>
      <c r="I27" s="380"/>
      <c r="J27" s="380"/>
      <c r="K27" s="380">
        <v>0</v>
      </c>
      <c r="L27" s="381">
        <f>+K27*0.2</f>
        <v>0</v>
      </c>
      <c r="M27" s="380">
        <v>2572895</v>
      </c>
      <c r="N27" s="381">
        <f>+M27*0.2</f>
        <v>514579</v>
      </c>
      <c r="O27" s="378">
        <f>+L27+N27</f>
        <v>514579</v>
      </c>
    </row>
    <row r="28" spans="1:16" hidden="1" x14ac:dyDescent="0.2">
      <c r="A28" s="295" t="s">
        <v>593</v>
      </c>
      <c r="B28" s="312">
        <v>187925</v>
      </c>
      <c r="C28" s="382">
        <v>3746940</v>
      </c>
      <c r="D28" s="383">
        <f t="shared" ref="D28:D38" si="4">+C28*0.2</f>
        <v>749388</v>
      </c>
      <c r="E28" s="454"/>
      <c r="G28" s="384" t="s">
        <v>593</v>
      </c>
      <c r="H28" s="312">
        <v>26</v>
      </c>
      <c r="I28" s="312"/>
      <c r="J28" s="312"/>
      <c r="K28" s="312">
        <v>0</v>
      </c>
      <c r="L28" s="382">
        <f>+K28*0.2</f>
        <v>0</v>
      </c>
      <c r="M28" s="312">
        <v>2594060</v>
      </c>
      <c r="N28" s="382">
        <f>+M28*0.2</f>
        <v>518812</v>
      </c>
      <c r="O28" s="383">
        <f>+L28+N28</f>
        <v>518812</v>
      </c>
    </row>
    <row r="29" spans="1:16" hidden="1" x14ac:dyDescent="0.2">
      <c r="A29" s="295" t="s">
        <v>594</v>
      </c>
      <c r="B29" s="312">
        <v>1386033</v>
      </c>
      <c r="C29" s="382">
        <v>3355785</v>
      </c>
      <c r="D29" s="383">
        <f t="shared" si="4"/>
        <v>671157</v>
      </c>
      <c r="E29" s="454"/>
      <c r="G29" s="384" t="s">
        <v>594</v>
      </c>
      <c r="H29" s="312">
        <v>940136</v>
      </c>
      <c r="I29" s="312"/>
      <c r="J29" s="312"/>
      <c r="K29" s="312">
        <v>70000</v>
      </c>
      <c r="L29" s="382">
        <f t="shared" ref="L29:L38" si="5">+K29*0.2</f>
        <v>14000</v>
      </c>
      <c r="M29" s="312">
        <v>2477470</v>
      </c>
      <c r="N29" s="382">
        <f t="shared" ref="N29:N38" si="6">+M29*0.2</f>
        <v>495494</v>
      </c>
      <c r="O29" s="383">
        <f t="shared" ref="O29:O38" si="7">+L29+N29</f>
        <v>509494</v>
      </c>
    </row>
    <row r="30" spans="1:16" hidden="1" x14ac:dyDescent="0.2">
      <c r="A30" s="295" t="s">
        <v>595</v>
      </c>
      <c r="B30" s="312">
        <v>100315</v>
      </c>
      <c r="C30" s="382">
        <v>2901735</v>
      </c>
      <c r="D30" s="383">
        <f t="shared" si="4"/>
        <v>580347</v>
      </c>
      <c r="E30" s="454"/>
      <c r="G30" s="384" t="s">
        <v>595</v>
      </c>
      <c r="H30" s="312">
        <v>0</v>
      </c>
      <c r="I30" s="312"/>
      <c r="J30" s="312"/>
      <c r="K30" s="312">
        <v>0</v>
      </c>
      <c r="L30" s="382">
        <f t="shared" si="5"/>
        <v>0</v>
      </c>
      <c r="M30" s="312">
        <v>2610725</v>
      </c>
      <c r="N30" s="382">
        <f t="shared" si="6"/>
        <v>522145</v>
      </c>
      <c r="O30" s="383">
        <f t="shared" si="7"/>
        <v>522145</v>
      </c>
    </row>
    <row r="31" spans="1:16" hidden="1" x14ac:dyDescent="0.2">
      <c r="A31" s="295" t="s">
        <v>596</v>
      </c>
      <c r="B31" s="312">
        <v>113338</v>
      </c>
      <c r="C31" s="382">
        <v>3095390</v>
      </c>
      <c r="D31" s="383">
        <f t="shared" si="4"/>
        <v>619078</v>
      </c>
      <c r="E31" s="454"/>
      <c r="G31" s="384" t="s">
        <v>596</v>
      </c>
      <c r="H31" s="312">
        <v>77475</v>
      </c>
      <c r="I31" s="312"/>
      <c r="J31" s="312"/>
      <c r="K31" s="312">
        <v>695130</v>
      </c>
      <c r="L31" s="382">
        <f t="shared" si="5"/>
        <v>139026</v>
      </c>
      <c r="M31" s="312">
        <v>2080850</v>
      </c>
      <c r="N31" s="382">
        <f t="shared" si="6"/>
        <v>416170</v>
      </c>
      <c r="O31" s="383">
        <f t="shared" si="7"/>
        <v>555196</v>
      </c>
    </row>
    <row r="32" spans="1:16" hidden="1" x14ac:dyDescent="0.2">
      <c r="A32" s="295" t="s">
        <v>597</v>
      </c>
      <c r="B32" s="312">
        <v>313190</v>
      </c>
      <c r="C32" s="382">
        <v>3393270</v>
      </c>
      <c r="D32" s="383">
        <f t="shared" si="4"/>
        <v>678654</v>
      </c>
      <c r="E32" s="454"/>
      <c r="G32" s="384" t="s">
        <v>597</v>
      </c>
      <c r="H32" s="312">
        <v>15355</v>
      </c>
      <c r="I32" s="312"/>
      <c r="J32" s="312"/>
      <c r="K32" s="312">
        <v>0</v>
      </c>
      <c r="L32" s="382">
        <f t="shared" si="5"/>
        <v>0</v>
      </c>
      <c r="M32" s="312">
        <v>2896825</v>
      </c>
      <c r="N32" s="382">
        <f t="shared" si="6"/>
        <v>579365</v>
      </c>
      <c r="O32" s="383">
        <f t="shared" si="7"/>
        <v>579365</v>
      </c>
    </row>
    <row r="33" spans="1:15" hidden="1" x14ac:dyDescent="0.2">
      <c r="A33" s="295" t="s">
        <v>598</v>
      </c>
      <c r="B33" s="312">
        <v>28058</v>
      </c>
      <c r="C33" s="382">
        <v>4151735</v>
      </c>
      <c r="D33" s="383">
        <f t="shared" si="4"/>
        <v>830347</v>
      </c>
      <c r="E33" s="454"/>
      <c r="G33" s="384" t="s">
        <v>598</v>
      </c>
      <c r="H33" s="312">
        <v>15096</v>
      </c>
      <c r="I33" s="312"/>
      <c r="J33" s="312"/>
      <c r="K33" s="312">
        <v>0</v>
      </c>
      <c r="L33" s="382">
        <f t="shared" si="5"/>
        <v>0</v>
      </c>
      <c r="M33" s="312">
        <v>3414245</v>
      </c>
      <c r="N33" s="382">
        <f t="shared" si="6"/>
        <v>682849</v>
      </c>
      <c r="O33" s="383">
        <f t="shared" si="7"/>
        <v>682849</v>
      </c>
    </row>
    <row r="34" spans="1:15" hidden="1" x14ac:dyDescent="0.2">
      <c r="A34" s="295" t="s">
        <v>599</v>
      </c>
      <c r="B34" s="312">
        <v>42210</v>
      </c>
      <c r="C34" s="382">
        <v>2559075</v>
      </c>
      <c r="D34" s="383">
        <f t="shared" si="4"/>
        <v>511815</v>
      </c>
      <c r="E34" s="454"/>
      <c r="G34" s="384" t="s">
        <v>599</v>
      </c>
      <c r="H34" s="312">
        <v>14816</v>
      </c>
      <c r="I34" s="312"/>
      <c r="J34" s="312"/>
      <c r="K34" s="312">
        <v>27225</v>
      </c>
      <c r="L34" s="382">
        <f t="shared" si="5"/>
        <v>5445</v>
      </c>
      <c r="M34" s="312">
        <v>2438960</v>
      </c>
      <c r="N34" s="382">
        <f t="shared" si="6"/>
        <v>487792</v>
      </c>
      <c r="O34" s="383">
        <f t="shared" si="7"/>
        <v>493237</v>
      </c>
    </row>
    <row r="35" spans="1:15" hidden="1" x14ac:dyDescent="0.2">
      <c r="A35" s="295" t="s">
        <v>600</v>
      </c>
      <c r="B35" s="312">
        <v>140000</v>
      </c>
      <c r="C35" s="382">
        <v>2426365</v>
      </c>
      <c r="D35" s="383">
        <f t="shared" si="4"/>
        <v>485273</v>
      </c>
      <c r="E35" s="454"/>
      <c r="G35" s="384" t="s">
        <v>600</v>
      </c>
      <c r="H35" s="312">
        <v>14598</v>
      </c>
      <c r="I35" s="312"/>
      <c r="J35" s="312"/>
      <c r="K35" s="312">
        <v>27445</v>
      </c>
      <c r="L35" s="382">
        <f t="shared" si="5"/>
        <v>5489</v>
      </c>
      <c r="M35" s="312">
        <v>2044205</v>
      </c>
      <c r="N35" s="382">
        <f t="shared" si="6"/>
        <v>408841</v>
      </c>
      <c r="O35" s="383">
        <f t="shared" si="7"/>
        <v>414330</v>
      </c>
    </row>
    <row r="36" spans="1:15" hidden="1" x14ac:dyDescent="0.2">
      <c r="A36" s="295" t="s">
        <v>601</v>
      </c>
      <c r="B36" s="312">
        <v>128100</v>
      </c>
      <c r="C36" s="382">
        <v>2035650</v>
      </c>
      <c r="D36" s="383">
        <f t="shared" si="4"/>
        <v>407130</v>
      </c>
      <c r="E36" s="454"/>
      <c r="G36" s="384" t="s">
        <v>601</v>
      </c>
      <c r="H36" s="312">
        <v>14354</v>
      </c>
      <c r="I36" s="312"/>
      <c r="J36" s="312"/>
      <c r="K36" s="312">
        <v>27560</v>
      </c>
      <c r="L36" s="382">
        <f t="shared" si="5"/>
        <v>5512</v>
      </c>
      <c r="M36" s="312">
        <v>1782500</v>
      </c>
      <c r="N36" s="382">
        <f t="shared" si="6"/>
        <v>356500</v>
      </c>
      <c r="O36" s="383">
        <f t="shared" si="7"/>
        <v>362012</v>
      </c>
    </row>
    <row r="37" spans="1:15" hidden="1" x14ac:dyDescent="0.2">
      <c r="A37" s="295" t="s">
        <v>602</v>
      </c>
      <c r="B37" s="312">
        <v>151725</v>
      </c>
      <c r="C37" s="382">
        <v>2445730</v>
      </c>
      <c r="D37" s="383">
        <f t="shared" si="4"/>
        <v>489146</v>
      </c>
      <c r="E37" s="454"/>
      <c r="G37" s="384" t="s">
        <v>602</v>
      </c>
      <c r="H37" s="312">
        <v>14115</v>
      </c>
      <c r="I37" s="312"/>
      <c r="J37" s="312"/>
      <c r="K37" s="312">
        <v>27690</v>
      </c>
      <c r="L37" s="382">
        <f t="shared" si="5"/>
        <v>5538</v>
      </c>
      <c r="M37" s="312">
        <v>2095890</v>
      </c>
      <c r="N37" s="382">
        <f t="shared" si="6"/>
        <v>419178</v>
      </c>
      <c r="O37" s="383">
        <f t="shared" si="7"/>
        <v>424716</v>
      </c>
    </row>
    <row r="38" spans="1:15" ht="13.5" hidden="1" thickBot="1" x14ac:dyDescent="0.25">
      <c r="A38" s="297" t="s">
        <v>603</v>
      </c>
      <c r="B38" s="385">
        <v>174965</v>
      </c>
      <c r="C38" s="382">
        <v>2336345</v>
      </c>
      <c r="D38" s="387">
        <f t="shared" si="4"/>
        <v>467269</v>
      </c>
      <c r="E38" s="454"/>
      <c r="G38" s="397" t="s">
        <v>603</v>
      </c>
      <c r="H38" s="385">
        <f>44140+5135140</f>
        <v>5179280</v>
      </c>
      <c r="I38" s="385"/>
      <c r="J38" s="385"/>
      <c r="K38" s="385">
        <v>120710</v>
      </c>
      <c r="L38" s="386">
        <f t="shared" si="5"/>
        <v>24142</v>
      </c>
      <c r="M38" s="385">
        <v>2044660</v>
      </c>
      <c r="N38" s="386">
        <f t="shared" si="6"/>
        <v>408932</v>
      </c>
      <c r="O38" s="387">
        <f t="shared" si="7"/>
        <v>433074</v>
      </c>
    </row>
    <row r="39" spans="1:15" ht="13.5" hidden="1" thickBot="1" x14ac:dyDescent="0.25">
      <c r="A39" s="388"/>
      <c r="B39" s="389">
        <f>SUM(B27:B38)</f>
        <v>2948834</v>
      </c>
      <c r="C39" s="390">
        <f>SUM(C27:C38)</f>
        <v>35397480</v>
      </c>
      <c r="D39" s="391">
        <f>SUM(D27:D38)</f>
        <v>7079496</v>
      </c>
      <c r="E39" s="454"/>
      <c r="G39" s="388"/>
      <c r="H39" s="389">
        <f t="shared" ref="H39:O39" si="8">SUM(H27:H38)</f>
        <v>6285270</v>
      </c>
      <c r="I39" s="389"/>
      <c r="J39" s="389"/>
      <c r="K39" s="389">
        <f t="shared" si="8"/>
        <v>995760</v>
      </c>
      <c r="L39" s="390">
        <f t="shared" si="8"/>
        <v>199152</v>
      </c>
      <c r="M39" s="389">
        <f t="shared" si="8"/>
        <v>29053285</v>
      </c>
      <c r="N39" s="390">
        <f t="shared" si="8"/>
        <v>5810657</v>
      </c>
      <c r="O39" s="391">
        <f t="shared" si="8"/>
        <v>6009809</v>
      </c>
    </row>
    <row r="40" spans="1:15" hidden="1" x14ac:dyDescent="0.2"/>
    <row r="41" spans="1:15" ht="18.75" hidden="1" x14ac:dyDescent="0.3">
      <c r="A41" t="s">
        <v>604</v>
      </c>
      <c r="B41" s="393">
        <f>+B39+C39</f>
        <v>38346314</v>
      </c>
      <c r="G41" t="s">
        <v>605</v>
      </c>
      <c r="H41" s="314">
        <f>+H39+K39+M39</f>
        <v>36334315</v>
      </c>
      <c r="I41" s="314"/>
      <c r="J41" s="314"/>
      <c r="M41" s="394"/>
      <c r="N41" s="314">
        <f>+L39+N39</f>
        <v>6009809</v>
      </c>
    </row>
    <row r="42" spans="1:15" hidden="1" x14ac:dyDescent="0.2"/>
    <row r="43" spans="1:15" hidden="1" x14ac:dyDescent="0.2"/>
    <row r="44" spans="1:15" hidden="1" x14ac:dyDescent="0.2"/>
    <row r="45" spans="1:15" hidden="1" x14ac:dyDescent="0.2">
      <c r="H45" s="314">
        <f>+B39-985000</f>
        <v>1963834</v>
      </c>
      <c r="I45" s="314"/>
      <c r="J45" s="314"/>
    </row>
    <row r="46" spans="1:15" hidden="1" x14ac:dyDescent="0.2"/>
    <row r="47" spans="1:15" hidden="1" x14ac:dyDescent="0.2"/>
    <row r="48" spans="1:15" hidden="1" x14ac:dyDescent="0.2"/>
    <row r="49" spans="1:18" ht="15.75" hidden="1" thickBot="1" x14ac:dyDescent="0.3">
      <c r="A49" s="371" t="s">
        <v>668</v>
      </c>
    </row>
    <row r="50" spans="1:18" ht="15.75" hidden="1" thickBot="1" x14ac:dyDescent="0.3">
      <c r="A50" s="371"/>
      <c r="C50" s="432" t="s">
        <v>584</v>
      </c>
      <c r="G50" s="432" t="s">
        <v>585</v>
      </c>
      <c r="I50" s="395" t="s">
        <v>638</v>
      </c>
      <c r="J50" s="396"/>
      <c r="K50" s="395" t="s">
        <v>627</v>
      </c>
      <c r="L50" s="396"/>
      <c r="M50" s="395" t="s">
        <v>608</v>
      </c>
      <c r="N50" s="396"/>
      <c r="O50" s="433" t="s">
        <v>669</v>
      </c>
      <c r="R50" s="433" t="s">
        <v>586</v>
      </c>
    </row>
    <row r="51" spans="1:18" ht="15.75" hidden="1" thickBot="1" x14ac:dyDescent="0.3">
      <c r="A51" s="372" t="s">
        <v>587</v>
      </c>
      <c r="B51" s="373" t="s">
        <v>588</v>
      </c>
      <c r="C51" s="373" t="s">
        <v>589</v>
      </c>
      <c r="D51" s="374" t="s">
        <v>590</v>
      </c>
      <c r="E51" s="453"/>
      <c r="G51" s="372" t="s">
        <v>587</v>
      </c>
      <c r="H51" s="373" t="s">
        <v>591</v>
      </c>
      <c r="I51" s="373" t="s">
        <v>606</v>
      </c>
      <c r="J51" s="373" t="s">
        <v>590</v>
      </c>
      <c r="K51" s="373" t="s">
        <v>606</v>
      </c>
      <c r="L51" s="373" t="s">
        <v>590</v>
      </c>
      <c r="M51" s="373" t="s">
        <v>591</v>
      </c>
      <c r="N51" s="373" t="s">
        <v>589</v>
      </c>
      <c r="O51" s="375" t="s">
        <v>590</v>
      </c>
      <c r="R51" s="375" t="s">
        <v>590</v>
      </c>
    </row>
    <row r="52" spans="1:18" hidden="1" x14ac:dyDescent="0.2">
      <c r="A52" s="310" t="s">
        <v>592</v>
      </c>
      <c r="B52" s="376"/>
      <c r="C52" s="382">
        <v>1136250</v>
      </c>
      <c r="D52" s="378">
        <f>+C52*0.2</f>
        <v>227250</v>
      </c>
      <c r="E52" s="454"/>
      <c r="G52" s="379" t="s">
        <v>592</v>
      </c>
      <c r="H52" s="380"/>
      <c r="I52" s="380"/>
      <c r="J52" s="380"/>
      <c r="K52" s="380">
        <v>0</v>
      </c>
      <c r="L52" s="381">
        <f>+K52*0.2</f>
        <v>0</v>
      </c>
      <c r="M52" s="380">
        <v>81800</v>
      </c>
      <c r="N52" s="381">
        <f>+M52*0.2</f>
        <v>16360</v>
      </c>
      <c r="O52" s="378">
        <f>+J52+L52+N52</f>
        <v>16360</v>
      </c>
      <c r="R52" s="378">
        <f>+D52-O52</f>
        <v>210890</v>
      </c>
    </row>
    <row r="53" spans="1:18" hidden="1" x14ac:dyDescent="0.2">
      <c r="A53" s="295" t="s">
        <v>593</v>
      </c>
      <c r="B53" s="312"/>
      <c r="C53" s="382">
        <v>813750</v>
      </c>
      <c r="D53" s="383">
        <f t="shared" ref="D53:D63" si="9">+C53*0.2</f>
        <v>162750</v>
      </c>
      <c r="E53" s="454">
        <f>+D52+D53</f>
        <v>390000</v>
      </c>
      <c r="G53" s="384" t="s">
        <v>593</v>
      </c>
      <c r="H53" s="312">
        <v>30650</v>
      </c>
      <c r="I53" s="312"/>
      <c r="J53" s="312"/>
      <c r="K53" s="312">
        <v>830655</v>
      </c>
      <c r="L53" s="382">
        <f>+K53*0.2</f>
        <v>166131</v>
      </c>
      <c r="M53" s="312">
        <v>222020</v>
      </c>
      <c r="N53" s="382">
        <f>+M53*0.2</f>
        <v>44404</v>
      </c>
      <c r="O53" s="383">
        <f>+J53+L53+N53</f>
        <v>210535</v>
      </c>
      <c r="R53" s="383">
        <f>+D53-O53</f>
        <v>-47785</v>
      </c>
    </row>
    <row r="54" spans="1:18" hidden="1" x14ac:dyDescent="0.2">
      <c r="A54" s="295" t="s">
        <v>594</v>
      </c>
      <c r="B54" s="312"/>
      <c r="C54" s="382">
        <v>1025000</v>
      </c>
      <c r="D54" s="383">
        <f t="shared" si="9"/>
        <v>205000</v>
      </c>
      <c r="E54" s="454">
        <f>+D54+E53</f>
        <v>595000</v>
      </c>
      <c r="G54" s="384" t="s">
        <v>594</v>
      </c>
      <c r="H54" s="312">
        <v>52892</v>
      </c>
      <c r="I54" s="312">
        <v>1070580</v>
      </c>
      <c r="J54" s="312">
        <f>+I54*0.2</f>
        <v>214116</v>
      </c>
      <c r="K54" s="312"/>
      <c r="L54" s="382">
        <f t="shared" ref="L54:L63" si="10">+K54*0.2</f>
        <v>0</v>
      </c>
      <c r="M54" s="312">
        <v>301640</v>
      </c>
      <c r="N54" s="382">
        <f t="shared" ref="N54:N63" si="11">+M54*0.2</f>
        <v>60328</v>
      </c>
      <c r="O54" s="383">
        <f t="shared" ref="O54:O63" si="12">+J54+L54+N54</f>
        <v>274444</v>
      </c>
      <c r="R54" s="383">
        <f t="shared" ref="R54:R63" si="13">+D54-O54</f>
        <v>-69444</v>
      </c>
    </row>
    <row r="55" spans="1:18" hidden="1" x14ac:dyDescent="0.2">
      <c r="A55" s="295" t="s">
        <v>595</v>
      </c>
      <c r="B55" s="312"/>
      <c r="C55" s="382">
        <v>1088750</v>
      </c>
      <c r="D55" s="383">
        <f t="shared" si="9"/>
        <v>217750</v>
      </c>
      <c r="E55" s="454">
        <f t="shared" ref="E55:E63" si="14">+D55+E54</f>
        <v>812750</v>
      </c>
      <c r="G55" s="384" t="s">
        <v>595</v>
      </c>
      <c r="H55" s="312"/>
      <c r="I55" s="312"/>
      <c r="J55" s="312">
        <f t="shared" ref="J55:J63" si="15">+I55*0.2</f>
        <v>0</v>
      </c>
      <c r="K55" s="312"/>
      <c r="L55" s="382">
        <f t="shared" si="10"/>
        <v>0</v>
      </c>
      <c r="M55" s="312">
        <v>174245</v>
      </c>
      <c r="N55" s="382">
        <f t="shared" si="11"/>
        <v>34849</v>
      </c>
      <c r="O55" s="383">
        <f t="shared" si="12"/>
        <v>34849</v>
      </c>
      <c r="R55" s="383">
        <f t="shared" si="13"/>
        <v>182901</v>
      </c>
    </row>
    <row r="56" spans="1:18" hidden="1" x14ac:dyDescent="0.2">
      <c r="A56" s="295" t="s">
        <v>596</v>
      </c>
      <c r="B56" s="312"/>
      <c r="C56" s="382">
        <v>1225000</v>
      </c>
      <c r="D56" s="383">
        <f t="shared" si="9"/>
        <v>245000</v>
      </c>
      <c r="E56" s="454">
        <f t="shared" si="14"/>
        <v>1057750</v>
      </c>
      <c r="G56" s="384" t="s">
        <v>596</v>
      </c>
      <c r="H56" s="312"/>
      <c r="I56" s="312">
        <v>1165470</v>
      </c>
      <c r="J56" s="312">
        <f t="shared" si="15"/>
        <v>233094</v>
      </c>
      <c r="K56" s="312">
        <f>27000+27945</f>
        <v>54945</v>
      </c>
      <c r="L56" s="382">
        <v>5589</v>
      </c>
      <c r="M56" s="312">
        <v>406670</v>
      </c>
      <c r="N56" s="382">
        <f t="shared" si="11"/>
        <v>81334</v>
      </c>
      <c r="O56" s="383">
        <f t="shared" si="12"/>
        <v>320017</v>
      </c>
      <c r="R56" s="383">
        <f t="shared" si="13"/>
        <v>-75017</v>
      </c>
    </row>
    <row r="57" spans="1:18" hidden="1" x14ac:dyDescent="0.2">
      <c r="A57" s="295" t="s">
        <v>597</v>
      </c>
      <c r="B57" s="312"/>
      <c r="C57" s="382">
        <v>891250</v>
      </c>
      <c r="D57" s="383">
        <f t="shared" si="9"/>
        <v>178250</v>
      </c>
      <c r="E57" s="454">
        <f t="shared" si="14"/>
        <v>1236000</v>
      </c>
      <c r="G57" s="384" t="s">
        <v>597</v>
      </c>
      <c r="H57" s="312"/>
      <c r="I57" s="312"/>
      <c r="J57" s="312">
        <f t="shared" si="15"/>
        <v>0</v>
      </c>
      <c r="K57" s="312">
        <f>1761740+116935</f>
        <v>1878675</v>
      </c>
      <c r="L57" s="382">
        <f t="shared" si="10"/>
        <v>375735</v>
      </c>
      <c r="M57" s="312">
        <v>28445</v>
      </c>
      <c r="N57" s="382">
        <f t="shared" si="11"/>
        <v>5689</v>
      </c>
      <c r="O57" s="383">
        <f t="shared" si="12"/>
        <v>381424</v>
      </c>
      <c r="R57" s="383">
        <f t="shared" si="13"/>
        <v>-203174</v>
      </c>
    </row>
    <row r="58" spans="1:18" hidden="1" x14ac:dyDescent="0.2">
      <c r="A58" s="295" t="s">
        <v>598</v>
      </c>
      <c r="B58" s="312"/>
      <c r="C58" s="382">
        <v>935000</v>
      </c>
      <c r="D58" s="383">
        <f t="shared" si="9"/>
        <v>187000</v>
      </c>
      <c r="E58" s="454">
        <f t="shared" si="14"/>
        <v>1423000</v>
      </c>
      <c r="G58" s="384" t="s">
        <v>598</v>
      </c>
      <c r="H58" s="312">
        <v>50372</v>
      </c>
      <c r="I58" s="312">
        <v>1216170</v>
      </c>
      <c r="J58" s="312">
        <f t="shared" si="15"/>
        <v>243234</v>
      </c>
      <c r="K58" s="312"/>
      <c r="L58" s="382">
        <f t="shared" si="10"/>
        <v>0</v>
      </c>
      <c r="M58" s="312">
        <v>268310</v>
      </c>
      <c r="N58" s="382">
        <f t="shared" si="11"/>
        <v>53662</v>
      </c>
      <c r="O58" s="383">
        <f t="shared" si="12"/>
        <v>296896</v>
      </c>
      <c r="R58" s="383">
        <f t="shared" si="13"/>
        <v>-109896</v>
      </c>
    </row>
    <row r="59" spans="1:18" hidden="1" x14ac:dyDescent="0.2">
      <c r="A59" s="295" t="s">
        <v>599</v>
      </c>
      <c r="B59" s="312"/>
      <c r="C59" s="382">
        <v>1028750</v>
      </c>
      <c r="D59" s="383">
        <f t="shared" si="9"/>
        <v>205750</v>
      </c>
      <c r="E59" s="454">
        <f t="shared" si="14"/>
        <v>1628750</v>
      </c>
      <c r="G59" s="384" t="s">
        <v>599</v>
      </c>
      <c r="H59" s="312">
        <v>42600</v>
      </c>
      <c r="I59" s="312"/>
      <c r="J59" s="312">
        <f t="shared" si="15"/>
        <v>0</v>
      </c>
      <c r="K59" s="312">
        <v>30225</v>
      </c>
      <c r="L59" s="382">
        <f t="shared" si="10"/>
        <v>6045</v>
      </c>
      <c r="M59" s="312">
        <v>147185</v>
      </c>
      <c r="N59" s="382">
        <f t="shared" si="11"/>
        <v>29437</v>
      </c>
      <c r="O59" s="383">
        <f t="shared" si="12"/>
        <v>35482</v>
      </c>
      <c r="R59" s="383">
        <f t="shared" si="13"/>
        <v>170268</v>
      </c>
    </row>
    <row r="60" spans="1:18" hidden="1" x14ac:dyDescent="0.2">
      <c r="A60" s="295" t="s">
        <v>600</v>
      </c>
      <c r="B60" s="312"/>
      <c r="C60" s="382">
        <v>1231250</v>
      </c>
      <c r="D60" s="383">
        <f t="shared" si="9"/>
        <v>246250</v>
      </c>
      <c r="E60" s="454">
        <f t="shared" si="14"/>
        <v>1875000</v>
      </c>
      <c r="G60" s="384" t="s">
        <v>600</v>
      </c>
      <c r="H60" s="312">
        <v>50508</v>
      </c>
      <c r="I60" s="312">
        <v>1019200</v>
      </c>
      <c r="J60" s="312">
        <f t="shared" si="15"/>
        <v>203840</v>
      </c>
      <c r="K60" s="312"/>
      <c r="L60" s="382">
        <f t="shared" si="10"/>
        <v>0</v>
      </c>
      <c r="M60" s="312">
        <v>62310</v>
      </c>
      <c r="N60" s="382">
        <f t="shared" si="11"/>
        <v>12462</v>
      </c>
      <c r="O60" s="383">
        <f t="shared" si="12"/>
        <v>216302</v>
      </c>
      <c r="R60" s="383">
        <f t="shared" si="13"/>
        <v>29948</v>
      </c>
    </row>
    <row r="61" spans="1:18" hidden="1" x14ac:dyDescent="0.2">
      <c r="A61" s="295" t="s">
        <v>601</v>
      </c>
      <c r="B61" s="312"/>
      <c r="C61" s="382">
        <v>1786250</v>
      </c>
      <c r="D61" s="383">
        <f t="shared" si="9"/>
        <v>357250</v>
      </c>
      <c r="E61" s="454">
        <f t="shared" si="14"/>
        <v>2232250</v>
      </c>
      <c r="G61" s="384" t="s">
        <v>601</v>
      </c>
      <c r="H61" s="312">
        <v>50516</v>
      </c>
      <c r="I61" s="312">
        <v>1351995</v>
      </c>
      <c r="J61" s="312">
        <f t="shared" si="15"/>
        <v>270399</v>
      </c>
      <c r="K61" s="312"/>
      <c r="L61" s="382">
        <f t="shared" si="10"/>
        <v>0</v>
      </c>
      <c r="M61" s="312">
        <v>127455</v>
      </c>
      <c r="N61" s="382">
        <f t="shared" si="11"/>
        <v>25491</v>
      </c>
      <c r="O61" s="383">
        <f t="shared" si="12"/>
        <v>295890</v>
      </c>
      <c r="R61" s="383">
        <f t="shared" si="13"/>
        <v>61360</v>
      </c>
    </row>
    <row r="62" spans="1:18" hidden="1" x14ac:dyDescent="0.2">
      <c r="A62" s="295" t="s">
        <v>602</v>
      </c>
      <c r="B62" s="312"/>
      <c r="C62" s="382">
        <v>2076250</v>
      </c>
      <c r="D62" s="383">
        <f t="shared" si="9"/>
        <v>415250</v>
      </c>
      <c r="E62" s="454">
        <f t="shared" si="14"/>
        <v>2647500</v>
      </c>
      <c r="G62" s="384" t="s">
        <v>602</v>
      </c>
      <c r="H62" s="312"/>
      <c r="I62" s="312"/>
      <c r="J62" s="312">
        <f t="shared" si="15"/>
        <v>0</v>
      </c>
      <c r="K62" s="312"/>
      <c r="L62" s="382">
        <f t="shared" si="10"/>
        <v>0</v>
      </c>
      <c r="M62" s="312">
        <v>71910</v>
      </c>
      <c r="N62" s="382">
        <f t="shared" si="11"/>
        <v>14382</v>
      </c>
      <c r="O62" s="383">
        <f t="shared" si="12"/>
        <v>14382</v>
      </c>
      <c r="R62" s="383">
        <f t="shared" si="13"/>
        <v>400868</v>
      </c>
    </row>
    <row r="63" spans="1:18" ht="13.5" hidden="1" thickBot="1" x14ac:dyDescent="0.25">
      <c r="A63" s="297" t="s">
        <v>603</v>
      </c>
      <c r="B63" s="385"/>
      <c r="C63" s="382">
        <v>1566250</v>
      </c>
      <c r="D63" s="387">
        <f t="shared" si="9"/>
        <v>313250</v>
      </c>
      <c r="E63" s="454">
        <f t="shared" si="14"/>
        <v>2960750</v>
      </c>
      <c r="G63" s="397" t="s">
        <v>603</v>
      </c>
      <c r="H63" s="385">
        <v>74598</v>
      </c>
      <c r="I63" s="385">
        <v>2001225</v>
      </c>
      <c r="J63" s="312">
        <f t="shared" si="15"/>
        <v>400245</v>
      </c>
      <c r="K63" s="385"/>
      <c r="L63" s="386">
        <f t="shared" si="10"/>
        <v>0</v>
      </c>
      <c r="M63" s="385">
        <v>90220</v>
      </c>
      <c r="N63" s="386">
        <f t="shared" si="11"/>
        <v>18044</v>
      </c>
      <c r="O63" s="383">
        <f t="shared" si="12"/>
        <v>418289</v>
      </c>
      <c r="R63" s="383">
        <f t="shared" si="13"/>
        <v>-105039</v>
      </c>
    </row>
    <row r="64" spans="1:18" ht="15.75" hidden="1" thickBot="1" x14ac:dyDescent="0.3">
      <c r="A64" s="388"/>
      <c r="B64" s="389">
        <f>SUM(B52:B63)</f>
        <v>0</v>
      </c>
      <c r="C64" s="390">
        <f>SUM(C52:C63)</f>
        <v>14803750</v>
      </c>
      <c r="D64" s="391">
        <f>SUM(D52:D63)</f>
        <v>2960750</v>
      </c>
      <c r="E64" s="454"/>
      <c r="G64" s="388"/>
      <c r="H64" s="389">
        <f t="shared" ref="H64:N64" si="16">SUM(H52:H63)</f>
        <v>352136</v>
      </c>
      <c r="I64" s="389">
        <f t="shared" si="16"/>
        <v>7824640</v>
      </c>
      <c r="J64" s="389">
        <f t="shared" si="16"/>
        <v>1564928</v>
      </c>
      <c r="K64" s="389">
        <f t="shared" si="16"/>
        <v>2794500</v>
      </c>
      <c r="L64" s="390">
        <f t="shared" si="16"/>
        <v>553500</v>
      </c>
      <c r="M64" s="389">
        <f t="shared" si="16"/>
        <v>1982210</v>
      </c>
      <c r="N64" s="390">
        <f t="shared" si="16"/>
        <v>396442</v>
      </c>
      <c r="O64" s="392">
        <f>SUM(O52:O63)</f>
        <v>2514870</v>
      </c>
      <c r="R64" s="392">
        <f>SUM(R52:R63)</f>
        <v>445880</v>
      </c>
    </row>
    <row r="65" spans="1:18" hidden="1" x14ac:dyDescent="0.2"/>
    <row r="66" spans="1:18" ht="18.75" hidden="1" x14ac:dyDescent="0.3">
      <c r="A66" t="s">
        <v>604</v>
      </c>
      <c r="B66" s="393"/>
      <c r="C66" s="314">
        <f>+B64+C64</f>
        <v>14803750</v>
      </c>
      <c r="G66" t="s">
        <v>605</v>
      </c>
      <c r="H66" s="314">
        <f>+H64+I64+K64+M64</f>
        <v>12953486</v>
      </c>
      <c r="I66" s="314"/>
      <c r="J66" s="314"/>
      <c r="M66" s="394"/>
    </row>
    <row r="67" spans="1:18" hidden="1" x14ac:dyDescent="0.2"/>
    <row r="68" spans="1:18" hidden="1" x14ac:dyDescent="0.2"/>
    <row r="69" spans="1:18" hidden="1" x14ac:dyDescent="0.2">
      <c r="D69" s="452">
        <f>+L64+N64</f>
        <v>949942</v>
      </c>
      <c r="E69" s="455"/>
    </row>
    <row r="70" spans="1:18" hidden="1" x14ac:dyDescent="0.2"/>
    <row r="71" spans="1:18" hidden="1" x14ac:dyDescent="0.2"/>
    <row r="72" spans="1:18" hidden="1" x14ac:dyDescent="0.2"/>
    <row r="73" spans="1:18" ht="15.75" thickBot="1" x14ac:dyDescent="0.3">
      <c r="A73" s="371" t="s">
        <v>691</v>
      </c>
    </row>
    <row r="74" spans="1:18" ht="15.75" thickBot="1" x14ac:dyDescent="0.3">
      <c r="A74" s="371"/>
      <c r="C74" s="432" t="s">
        <v>584</v>
      </c>
      <c r="G74" s="432" t="s">
        <v>585</v>
      </c>
      <c r="I74" s="395" t="s">
        <v>638</v>
      </c>
      <c r="J74" s="396"/>
      <c r="K74" s="395" t="s">
        <v>627</v>
      </c>
      <c r="L74" s="396"/>
      <c r="M74" s="395" t="s">
        <v>608</v>
      </c>
      <c r="N74" s="396"/>
      <c r="O74" s="433" t="s">
        <v>669</v>
      </c>
      <c r="R74" s="433" t="s">
        <v>586</v>
      </c>
    </row>
    <row r="75" spans="1:18" ht="15.75" thickBot="1" x14ac:dyDescent="0.3">
      <c r="A75" s="372" t="s">
        <v>587</v>
      </c>
      <c r="B75" s="373" t="s">
        <v>588</v>
      </c>
      <c r="C75" s="373" t="s">
        <v>589</v>
      </c>
      <c r="D75" s="374" t="s">
        <v>590</v>
      </c>
      <c r="E75" s="453"/>
      <c r="G75" s="372" t="s">
        <v>587</v>
      </c>
      <c r="H75" s="373" t="s">
        <v>591</v>
      </c>
      <c r="I75" s="373" t="s">
        <v>606</v>
      </c>
      <c r="J75" s="373" t="s">
        <v>590</v>
      </c>
      <c r="K75" s="373" t="s">
        <v>606</v>
      </c>
      <c r="L75" s="373" t="s">
        <v>590</v>
      </c>
      <c r="M75" s="373" t="s">
        <v>591</v>
      </c>
      <c r="N75" s="373" t="s">
        <v>589</v>
      </c>
      <c r="O75" s="375" t="s">
        <v>590</v>
      </c>
      <c r="R75" s="375" t="s">
        <v>590</v>
      </c>
    </row>
    <row r="76" spans="1:18" x14ac:dyDescent="0.2">
      <c r="A76" s="310" t="s">
        <v>592</v>
      </c>
      <c r="B76" s="376"/>
      <c r="C76" s="382">
        <v>1407500</v>
      </c>
      <c r="D76" s="378">
        <f>+C76*0.2</f>
        <v>281500</v>
      </c>
      <c r="E76" s="454"/>
      <c r="G76" s="379" t="s">
        <v>592</v>
      </c>
      <c r="H76" s="380"/>
      <c r="I76" s="380"/>
      <c r="J76" s="380"/>
      <c r="K76" s="380">
        <v>40000</v>
      </c>
      <c r="L76" s="381">
        <f>+K76*0.2</f>
        <v>8000</v>
      </c>
      <c r="M76" s="380">
        <v>213865</v>
      </c>
      <c r="N76" s="381">
        <f>+M76*0.2</f>
        <v>42773</v>
      </c>
      <c r="O76" s="378">
        <f>+J76+L76+N76</f>
        <v>50773</v>
      </c>
      <c r="R76" s="378">
        <f>+D76-O76</f>
        <v>230727</v>
      </c>
    </row>
    <row r="77" spans="1:18" x14ac:dyDescent="0.2">
      <c r="A77" s="295" t="s">
        <v>593</v>
      </c>
      <c r="B77" s="312"/>
      <c r="C77" s="382">
        <v>1371250</v>
      </c>
      <c r="D77" s="383">
        <f t="shared" ref="D77:D87" si="17">+C77*0.2</f>
        <v>274250</v>
      </c>
      <c r="E77" s="454">
        <f>+D76+D77</f>
        <v>555750</v>
      </c>
      <c r="G77" s="384" t="s">
        <v>593</v>
      </c>
      <c r="H77" s="312"/>
      <c r="I77" s="312"/>
      <c r="J77" s="312"/>
      <c r="K77" s="312"/>
      <c r="L77" s="382">
        <f>+K77*0.2</f>
        <v>0</v>
      </c>
      <c r="M77" s="312">
        <v>227025</v>
      </c>
      <c r="N77" s="382">
        <f>+M77*0.2</f>
        <v>45405</v>
      </c>
      <c r="O77" s="383">
        <f>+J77+L77+N77</f>
        <v>45405</v>
      </c>
      <c r="R77" s="383">
        <f>+D77-O77</f>
        <v>228845</v>
      </c>
    </row>
    <row r="78" spans="1:18" x14ac:dyDescent="0.2">
      <c r="A78" s="295" t="s">
        <v>594</v>
      </c>
      <c r="B78" s="312"/>
      <c r="C78" s="382">
        <v>1672500</v>
      </c>
      <c r="D78" s="383">
        <f t="shared" si="17"/>
        <v>334500</v>
      </c>
      <c r="E78" s="454">
        <f>+D78+E77</f>
        <v>890250</v>
      </c>
      <c r="G78" s="384" t="s">
        <v>594</v>
      </c>
      <c r="H78" s="312">
        <v>15000</v>
      </c>
      <c r="I78" s="312">
        <v>1332555</v>
      </c>
      <c r="J78" s="312">
        <f>+I78*0.2</f>
        <v>266511</v>
      </c>
      <c r="K78" s="312"/>
      <c r="L78" s="382">
        <f>+K78*0.2</f>
        <v>0</v>
      </c>
      <c r="M78" s="312">
        <v>259005</v>
      </c>
      <c r="N78" s="382">
        <f t="shared" ref="N78:N87" si="18">+M78*0.2</f>
        <v>51801</v>
      </c>
      <c r="O78" s="383">
        <f t="shared" ref="O78:O87" si="19">+J78+L78+N78</f>
        <v>318312</v>
      </c>
      <c r="R78" s="383">
        <f t="shared" ref="R78:R87" si="20">+D78-O78</f>
        <v>16188</v>
      </c>
    </row>
    <row r="79" spans="1:18" x14ac:dyDescent="0.2">
      <c r="A79" s="295" t="s">
        <v>595</v>
      </c>
      <c r="B79" s="312"/>
      <c r="C79" s="382">
        <v>898750</v>
      </c>
      <c r="D79" s="383">
        <f t="shared" si="17"/>
        <v>179750</v>
      </c>
      <c r="E79" s="454">
        <f t="shared" ref="E79:E87" si="21">+D79+E78</f>
        <v>1070000</v>
      </c>
      <c r="G79" s="384" t="s">
        <v>595</v>
      </c>
      <c r="H79" s="312"/>
      <c r="I79" s="312"/>
      <c r="J79" s="312">
        <f t="shared" ref="J79:J87" si="22">+I79*0.2</f>
        <v>0</v>
      </c>
      <c r="K79" s="312">
        <v>85830</v>
      </c>
      <c r="L79" s="382">
        <f>+K79*0.2</f>
        <v>17166</v>
      </c>
      <c r="M79" s="312">
        <v>581045</v>
      </c>
      <c r="N79" s="382">
        <f t="shared" si="18"/>
        <v>116209</v>
      </c>
      <c r="O79" s="383">
        <f t="shared" si="19"/>
        <v>133375</v>
      </c>
      <c r="R79" s="383">
        <f t="shared" si="20"/>
        <v>46375</v>
      </c>
    </row>
    <row r="80" spans="1:18" x14ac:dyDescent="0.2">
      <c r="A80" s="295" t="s">
        <v>596</v>
      </c>
      <c r="B80" s="312"/>
      <c r="C80" s="382">
        <v>1121250</v>
      </c>
      <c r="D80" s="383">
        <f t="shared" si="17"/>
        <v>224250</v>
      </c>
      <c r="E80" s="454">
        <f t="shared" si="21"/>
        <v>1294250</v>
      </c>
      <c r="G80" s="384" t="s">
        <v>596</v>
      </c>
      <c r="H80" s="312">
        <v>74028</v>
      </c>
      <c r="I80" s="312">
        <v>1450460</v>
      </c>
      <c r="J80" s="312">
        <f t="shared" si="22"/>
        <v>290092</v>
      </c>
      <c r="K80" s="312"/>
      <c r="L80" s="382">
        <f>+K80*0.2</f>
        <v>0</v>
      </c>
      <c r="M80" s="312">
        <v>255085</v>
      </c>
      <c r="N80" s="382">
        <f t="shared" si="18"/>
        <v>51017</v>
      </c>
      <c r="O80" s="383">
        <f t="shared" si="19"/>
        <v>341109</v>
      </c>
      <c r="R80" s="383">
        <f t="shared" si="20"/>
        <v>-116859</v>
      </c>
    </row>
    <row r="81" spans="1:18" x14ac:dyDescent="0.2">
      <c r="A81" s="295" t="s">
        <v>597</v>
      </c>
      <c r="B81" s="312"/>
      <c r="C81" s="382">
        <v>963835</v>
      </c>
      <c r="D81" s="383">
        <f t="shared" si="17"/>
        <v>192767</v>
      </c>
      <c r="E81" s="454">
        <f t="shared" si="21"/>
        <v>1487017</v>
      </c>
      <c r="G81" s="384" t="s">
        <v>597</v>
      </c>
      <c r="H81" s="312"/>
      <c r="I81" s="312"/>
      <c r="J81" s="312">
        <f t="shared" si="22"/>
        <v>0</v>
      </c>
      <c r="K81" s="312">
        <v>80000</v>
      </c>
      <c r="L81" s="382">
        <f t="shared" ref="L81:L87" si="23">+K81*0.2</f>
        <v>16000</v>
      </c>
      <c r="M81" s="312">
        <v>173845</v>
      </c>
      <c r="N81" s="382">
        <f t="shared" si="18"/>
        <v>34769</v>
      </c>
      <c r="O81" s="383">
        <f t="shared" si="19"/>
        <v>50769</v>
      </c>
      <c r="R81" s="383">
        <f t="shared" si="20"/>
        <v>141998</v>
      </c>
    </row>
    <row r="82" spans="1:18" x14ac:dyDescent="0.2">
      <c r="A82" s="295" t="s">
        <v>598</v>
      </c>
      <c r="B82" s="312"/>
      <c r="C82" s="382">
        <v>1045915</v>
      </c>
      <c r="D82" s="383">
        <f t="shared" si="17"/>
        <v>209183</v>
      </c>
      <c r="E82" s="454">
        <f t="shared" si="21"/>
        <v>1696200</v>
      </c>
      <c r="G82" s="384" t="s">
        <v>598</v>
      </c>
      <c r="H82" s="312">
        <v>66231</v>
      </c>
      <c r="I82" s="312">
        <v>1493540</v>
      </c>
      <c r="J82" s="312">
        <f t="shared" si="22"/>
        <v>298708</v>
      </c>
      <c r="K82" s="312">
        <v>15625</v>
      </c>
      <c r="L82" s="382">
        <f t="shared" si="23"/>
        <v>3125</v>
      </c>
      <c r="M82" s="312">
        <v>281005</v>
      </c>
      <c r="N82" s="382">
        <f t="shared" si="18"/>
        <v>56201</v>
      </c>
      <c r="O82" s="383">
        <f t="shared" si="19"/>
        <v>358034</v>
      </c>
      <c r="R82" s="383">
        <f t="shared" si="20"/>
        <v>-148851</v>
      </c>
    </row>
    <row r="83" spans="1:18" x14ac:dyDescent="0.2">
      <c r="A83" s="295" t="s">
        <v>599</v>
      </c>
      <c r="B83" s="312"/>
      <c r="C83" s="382">
        <v>1218750</v>
      </c>
      <c r="D83" s="383">
        <f t="shared" si="17"/>
        <v>243750</v>
      </c>
      <c r="E83" s="454">
        <f t="shared" si="21"/>
        <v>1939950</v>
      </c>
      <c r="G83" s="384" t="s">
        <v>599</v>
      </c>
      <c r="H83" s="312">
        <v>18970</v>
      </c>
      <c r="I83" s="312"/>
      <c r="J83" s="312">
        <f t="shared" si="22"/>
        <v>0</v>
      </c>
      <c r="K83" s="312"/>
      <c r="L83" s="382">
        <f t="shared" si="23"/>
        <v>0</v>
      </c>
      <c r="M83" s="312">
        <v>184410</v>
      </c>
      <c r="N83" s="382">
        <f t="shared" si="18"/>
        <v>36882</v>
      </c>
      <c r="O83" s="383">
        <f t="shared" si="19"/>
        <v>36882</v>
      </c>
      <c r="R83" s="383">
        <f t="shared" si="20"/>
        <v>206868</v>
      </c>
    </row>
    <row r="84" spans="1:18" x14ac:dyDescent="0.2">
      <c r="A84" s="295" t="s">
        <v>600</v>
      </c>
      <c r="B84" s="312"/>
      <c r="C84" s="382">
        <v>1435000</v>
      </c>
      <c r="D84" s="383">
        <f t="shared" si="17"/>
        <v>287000</v>
      </c>
      <c r="E84" s="454">
        <f t="shared" si="21"/>
        <v>2226950</v>
      </c>
      <c r="G84" s="384" t="s">
        <v>600</v>
      </c>
      <c r="H84" s="312">
        <v>47997</v>
      </c>
      <c r="I84" s="312"/>
      <c r="J84" s="312">
        <f t="shared" si="22"/>
        <v>0</v>
      </c>
      <c r="K84" s="312"/>
      <c r="L84" s="382">
        <f t="shared" si="23"/>
        <v>0</v>
      </c>
      <c r="M84" s="312">
        <v>309470</v>
      </c>
      <c r="N84" s="382">
        <f t="shared" si="18"/>
        <v>61894</v>
      </c>
      <c r="O84" s="383">
        <f t="shared" si="19"/>
        <v>61894</v>
      </c>
      <c r="R84" s="383">
        <f t="shared" si="20"/>
        <v>225106</v>
      </c>
    </row>
    <row r="85" spans="1:18" x14ac:dyDescent="0.2">
      <c r="A85" s="295" t="s">
        <v>601</v>
      </c>
      <c r="B85" s="312"/>
      <c r="C85" s="382">
        <v>1672500</v>
      </c>
      <c r="D85" s="383">
        <f t="shared" si="17"/>
        <v>334500</v>
      </c>
      <c r="E85" s="454">
        <f t="shared" si="21"/>
        <v>2561450</v>
      </c>
      <c r="G85" s="384" t="s">
        <v>601</v>
      </c>
      <c r="H85" s="312">
        <v>79372</v>
      </c>
      <c r="I85" s="312">
        <v>1653265</v>
      </c>
      <c r="J85" s="312">
        <f t="shared" si="22"/>
        <v>330653</v>
      </c>
      <c r="K85" s="312"/>
      <c r="L85" s="382">
        <f t="shared" si="23"/>
        <v>0</v>
      </c>
      <c r="M85" s="312">
        <v>188370</v>
      </c>
      <c r="N85" s="382">
        <f t="shared" si="18"/>
        <v>37674</v>
      </c>
      <c r="O85" s="383">
        <f t="shared" si="19"/>
        <v>368327</v>
      </c>
      <c r="R85" s="383">
        <f t="shared" si="20"/>
        <v>-33827</v>
      </c>
    </row>
    <row r="86" spans="1:18" x14ac:dyDescent="0.2">
      <c r="A86" s="295" t="s">
        <v>602</v>
      </c>
      <c r="B86" s="312"/>
      <c r="C86" s="382">
        <v>1538750</v>
      </c>
      <c r="D86" s="383">
        <f t="shared" si="17"/>
        <v>307750</v>
      </c>
      <c r="E86" s="454">
        <f t="shared" si="21"/>
        <v>2869200</v>
      </c>
      <c r="G86" s="384" t="s">
        <v>602</v>
      </c>
      <c r="H86" s="312"/>
      <c r="I86" s="312"/>
      <c r="J86" s="312">
        <f t="shared" si="22"/>
        <v>0</v>
      </c>
      <c r="K86" s="312"/>
      <c r="L86" s="382">
        <f t="shared" si="23"/>
        <v>0</v>
      </c>
      <c r="M86" s="312">
        <v>391075</v>
      </c>
      <c r="N86" s="382">
        <f t="shared" si="18"/>
        <v>78215</v>
      </c>
      <c r="O86" s="383">
        <f t="shared" si="19"/>
        <v>78215</v>
      </c>
      <c r="R86" s="383">
        <f t="shared" si="20"/>
        <v>229535</v>
      </c>
    </row>
    <row r="87" spans="1:18" ht="13.5" thickBot="1" x14ac:dyDescent="0.25">
      <c r="A87" s="297" t="s">
        <v>603</v>
      </c>
      <c r="B87" s="385"/>
      <c r="C87" s="382">
        <v>1400000</v>
      </c>
      <c r="D87" s="387">
        <f t="shared" si="17"/>
        <v>280000</v>
      </c>
      <c r="E87" s="454">
        <f t="shared" si="21"/>
        <v>3149200</v>
      </c>
      <c r="G87" s="397" t="s">
        <v>603</v>
      </c>
      <c r="H87" s="385">
        <v>73512</v>
      </c>
      <c r="I87" s="385">
        <v>1340625</v>
      </c>
      <c r="J87" s="312">
        <f t="shared" si="22"/>
        <v>268125</v>
      </c>
      <c r="K87" s="385"/>
      <c r="L87" s="386">
        <f t="shared" si="23"/>
        <v>0</v>
      </c>
      <c r="M87" s="385">
        <v>438635</v>
      </c>
      <c r="N87" s="386">
        <f t="shared" si="18"/>
        <v>87727</v>
      </c>
      <c r="O87" s="383">
        <f t="shared" si="19"/>
        <v>355852</v>
      </c>
      <c r="R87" s="383">
        <f t="shared" si="20"/>
        <v>-75852</v>
      </c>
    </row>
    <row r="88" spans="1:18" ht="15.75" thickBot="1" x14ac:dyDescent="0.3">
      <c r="A88" s="388"/>
      <c r="B88" s="389">
        <f>SUM(B76:B87)</f>
        <v>0</v>
      </c>
      <c r="C88" s="390">
        <f>SUM(C76:C87)</f>
        <v>15746000</v>
      </c>
      <c r="D88" s="391">
        <f>SUM(D76:D87)</f>
        <v>3149200</v>
      </c>
      <c r="E88" s="454"/>
      <c r="G88" s="388"/>
      <c r="H88" s="389">
        <f t="shared" ref="H88:N88" si="24">SUM(H76:H87)</f>
        <v>375110</v>
      </c>
      <c r="I88" s="389">
        <f t="shared" si="24"/>
        <v>7270445</v>
      </c>
      <c r="J88" s="389">
        <f t="shared" si="24"/>
        <v>1454089</v>
      </c>
      <c r="K88" s="389">
        <f t="shared" si="24"/>
        <v>221455</v>
      </c>
      <c r="L88" s="390">
        <f t="shared" si="24"/>
        <v>44291</v>
      </c>
      <c r="M88" s="389">
        <f t="shared" si="24"/>
        <v>3502835</v>
      </c>
      <c r="N88" s="390">
        <f t="shared" si="24"/>
        <v>700567</v>
      </c>
      <c r="O88" s="392">
        <f>SUM(O76:O87)</f>
        <v>2198947</v>
      </c>
      <c r="R88" s="392">
        <f>SUM(R76:R87)</f>
        <v>950253</v>
      </c>
    </row>
    <row r="90" spans="1:18" ht="18.75" x14ac:dyDescent="0.3">
      <c r="A90" t="s">
        <v>604</v>
      </c>
      <c r="B90" s="393"/>
      <c r="C90" s="314">
        <f>+B88+C88</f>
        <v>15746000</v>
      </c>
      <c r="G90" t="s">
        <v>605</v>
      </c>
      <c r="H90" s="314">
        <f>+H88+I88+K88+M88</f>
        <v>11369845</v>
      </c>
      <c r="I90" s="314"/>
      <c r="J90" s="314"/>
      <c r="M90" s="394"/>
    </row>
    <row r="93" spans="1:18" x14ac:dyDescent="0.2">
      <c r="D93" s="452">
        <f>+L88+N88</f>
        <v>744858</v>
      </c>
      <c r="E93" s="455"/>
    </row>
  </sheetData>
  <pageMargins left="0.19685039370078741" right="0.19685039370078741" top="0.74803149606299213" bottom="0.74803149606299213" header="0.31496062992125984" footer="0.31496062992125984"/>
  <pageSetup scale="7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aktivet sips udhez</vt:lpstr>
      <vt:lpstr>inv auto</vt:lpstr>
      <vt:lpstr>inv mall</vt:lpstr>
      <vt:lpstr>inv asete</vt:lpstr>
      <vt:lpstr>Bilanci Alpha</vt:lpstr>
      <vt:lpstr>Ardh shpenz alpha</vt:lpstr>
      <vt:lpstr>tjera</vt:lpstr>
      <vt:lpstr>fdp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Ervin</cp:lastModifiedBy>
  <cp:lastPrinted>2020-07-24T17:37:01Z</cp:lastPrinted>
  <dcterms:created xsi:type="dcterms:W3CDTF">2008-12-17T10:29:05Z</dcterms:created>
  <dcterms:modified xsi:type="dcterms:W3CDTF">2020-08-01T16:07:46Z</dcterms:modified>
</cp:coreProperties>
</file>