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480" windowHeight="4770" tabRatio="823" activeTab="0"/>
  </bookViews>
  <sheets>
    <sheet name="Kopertina" sheetId="1" r:id="rId1"/>
    <sheet name="Aktivet" sheetId="2" r:id="rId2"/>
    <sheet name="Pasivet" sheetId="3" r:id="rId3"/>
    <sheet name="Rezultati" sheetId="4" r:id="rId4"/>
    <sheet name="kapitali 2013" sheetId="5" r:id="rId5"/>
    <sheet name="fluks 1" sheetId="6" r:id="rId6"/>
    <sheet name="Shenime" sheetId="7" r:id="rId7"/>
    <sheet name="Pasqyra e amortizimit" sheetId="8" r:id="rId8"/>
    <sheet name="Centro 08" sheetId="9" r:id="rId9"/>
  </sheets>
  <definedNames/>
  <calcPr fullCalcOnLoad="1"/>
</workbook>
</file>

<file path=xl/sharedStrings.xml><?xml version="1.0" encoding="utf-8"?>
<sst xmlns="http://schemas.openxmlformats.org/spreadsheetml/2006/main" count="627" uniqueCount="435">
  <si>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</si>
  <si>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</si>
  <si>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</si>
  <si>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</si>
  <si>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</si>
  <si>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</si>
  <si>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</si>
  <si>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</si>
  <si>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</si>
  <si>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</si>
  <si>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</si>
  <si>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</si>
  <si>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</si>
  <si>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</si>
  <si>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</si>
  <si>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</si>
  <si>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</si>
  <si>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</si>
  <si>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</si>
  <si>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</si>
  <si>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</si>
  <si>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</si>
  <si>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</si>
  <si>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</si>
  <si>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</si>
  <si>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</si>
  <si>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</si>
  <si>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</si>
  <si>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</si>
  <si>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</si>
  <si>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</si>
  <si>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</si>
  <si>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</si>
  <si>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</si>
  <si>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</si>
  <si>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</si>
  <si>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</si>
  <si>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</si>
  <si>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</si>
  <si>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</si>
  <si>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</si>
  <si>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</si>
  <si>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</si>
  <si>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</si>
  <si>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</si>
  <si>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</si>
  <si>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</si>
  <si>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</si>
  <si>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</si>
  <si>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</si>
  <si>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</si>
  <si>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</si>
  <si>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</si>
  <si>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</si>
  <si>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</si>
  <si>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</si>
  <si>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</si>
  <si>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</si>
  <si>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</si>
  <si>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</si>
  <si>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</si>
  <si>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</si>
  <si>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</si>
  <si>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Te pagushme ndaj punonjesve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</si>
  <si>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</si>
  <si>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</si>
  <si>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</si>
  <si>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</si>
  <si>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</si>
  <si>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</si>
  <si>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</si>
  <si>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</si>
  <si>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</si>
  <si>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</si>
  <si>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</si>
  <si>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</si>
  <si>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</si>
  <si>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</si>
  <si>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</si>
  <si>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</si>
  <si>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</si>
  <si>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</si>
  <si>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</si>
  <si>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</si>
  <si>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</si>
  <si>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</si>
  <si>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</si>
  <si>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</si>
  <si>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</si>
  <si>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</si>
  <si>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</si>
  <si>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</si>
  <si>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</si>
  <si>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</si>
  <si>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</si>
  <si>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</si>
  <si>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</si>
  <si>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</si>
  <si>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</si>
  <si>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</si>
  <si>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 xml:space="preserve">  Periudha  Kontabel e Pasqyrave Financiare</t>
  </si>
  <si>
    <t>&gt;</t>
  </si>
  <si>
    <t>Kliente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</si>
  <si>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</si>
  <si>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</si>
  <si>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</si>
  <si>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</si>
  <si>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</si>
  <si>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</si>
  <si>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</si>
  <si>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</si>
  <si>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</si>
  <si>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</si>
  <si>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</si>
  <si>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</si>
  <si>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</si>
  <si>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</si>
  <si>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</si>
  <si>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</si>
  <si>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</si>
  <si>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</si>
  <si>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</si>
  <si>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</si>
  <si>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</si>
  <si>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</si>
  <si>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</si>
  <si>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</si>
  <si>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</si>
  <si>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</si>
  <si>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</si>
  <si>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</si>
  <si>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</si>
  <si>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</si>
  <si>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</si>
  <si>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</si>
  <si>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</si>
  <si>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 xml:space="preserve">Permbledhese e ditareve   2008   </t>
  </si>
  <si>
    <t>llog.</t>
  </si>
  <si>
    <t xml:space="preserve">Emertimi </t>
  </si>
  <si>
    <t>çelja</t>
  </si>
  <si>
    <t>Blerjet</t>
  </si>
  <si>
    <t>Shitjet</t>
  </si>
  <si>
    <t>Pagat</t>
  </si>
  <si>
    <t>Shuma</t>
  </si>
  <si>
    <t>Xhir.+ #</t>
  </si>
  <si>
    <t>Aktivi</t>
  </si>
  <si>
    <t>Pasivi</t>
  </si>
  <si>
    <t>Kapitali</t>
  </si>
  <si>
    <t>Rezerva ligjore</t>
  </si>
  <si>
    <t>Rezerva te tjera</t>
  </si>
  <si>
    <t>Fitime te pa shpern.</t>
  </si>
  <si>
    <t>Rez.Ushtrimit</t>
  </si>
  <si>
    <t>Mak.paisje pune</t>
  </si>
  <si>
    <t>Mjete trasporti</t>
  </si>
  <si>
    <t>Tjera AAM</t>
  </si>
  <si>
    <t>Am.AAM Ndert.</t>
  </si>
  <si>
    <t>Am.AAM Mak.</t>
  </si>
  <si>
    <t>Am.AAM Mj.Trans.</t>
  </si>
  <si>
    <t>Am.AAM Tjera</t>
  </si>
  <si>
    <t>Materiale tjera</t>
  </si>
  <si>
    <t>Furnitore</t>
  </si>
  <si>
    <t>Personeli</t>
  </si>
  <si>
    <t>Sig.Shoqerore</t>
  </si>
  <si>
    <t>TAP</t>
  </si>
  <si>
    <t>Tatim mbi fitimi</t>
  </si>
  <si>
    <t>Tatim ne burim</t>
  </si>
  <si>
    <t>Banka llog.lik.</t>
  </si>
  <si>
    <t>Banka overdraft</t>
  </si>
  <si>
    <t xml:space="preserve">Xhirime </t>
  </si>
  <si>
    <t>Blerje materiale</t>
  </si>
  <si>
    <t>Blerje mat.tjera</t>
  </si>
  <si>
    <t>Blerje mallra</t>
  </si>
  <si>
    <t>Blerje te tjera</t>
  </si>
  <si>
    <t>Qera</t>
  </si>
  <si>
    <t>Sherbime te tjera</t>
  </si>
  <si>
    <t>Sherbime bankare</t>
  </si>
  <si>
    <t>Taksa vendore</t>
  </si>
  <si>
    <t>Kuota Sig.Shoq.</t>
  </si>
  <si>
    <t>Gjoba,penalitete</t>
  </si>
  <si>
    <t>Shpenzime interesa</t>
  </si>
  <si>
    <t>Humbje Kemb.Valut.</t>
  </si>
  <si>
    <t>Amortizimi A.Q.</t>
  </si>
  <si>
    <t>Shitje Prod.Gat.</t>
  </si>
  <si>
    <t>Fitim Kemb.Valut.</t>
  </si>
  <si>
    <t>Te Ardh.nga inter.</t>
  </si>
  <si>
    <t>Te Ardh.te tjera</t>
  </si>
  <si>
    <t xml:space="preserve">  SHUMA</t>
  </si>
  <si>
    <t>Kredi afatshkurter</t>
  </si>
  <si>
    <t>Kredi afatgjate</t>
  </si>
  <si>
    <t>Deb.Kred.tjere</t>
  </si>
  <si>
    <t>Detyrime orakeve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</si>
  <si>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</si>
  <si>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</si>
  <si>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</si>
  <si>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</si>
  <si>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</si>
  <si>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</si>
  <si>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</si>
  <si>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</si>
  <si>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</si>
  <si>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</si>
  <si>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Ndrysh.ne invent.prod.gatshme e prodhimit ne proces</t>
  </si>
  <si>
    <t>A</t>
  </si>
  <si>
    <t>B</t>
  </si>
  <si>
    <t>Aksione te thesari te riblera</t>
  </si>
  <si>
    <t>Emertimi dhe Forma ligjore</t>
  </si>
  <si>
    <t>Po</t>
  </si>
  <si>
    <t>Jo</t>
  </si>
  <si>
    <t>Ne   Leke</t>
  </si>
  <si>
    <t>Pasqyra e fluksit monetar - metoda direkte</t>
  </si>
  <si>
    <t>Fluksi monetar nga veprimtarite e shfrytezimit</t>
  </si>
  <si>
    <t>Mjetet monetare (MM) te arketuara nga klientet</t>
  </si>
  <si>
    <t>MM te paguara ndaj furnitoreve dhe punonjesve</t>
  </si>
  <si>
    <t>MM neto nga veprimtarite e shfytezimit</t>
  </si>
  <si>
    <t>Blerja e njesise se kontrolluar X minus parate e Arketuara</t>
  </si>
  <si>
    <t>Pagesat e detyrimeve te qerase financiare</t>
  </si>
  <si>
    <t>MM neto e perdorura ne veprimtarite Financiare</t>
  </si>
  <si>
    <t>TVsh</t>
  </si>
  <si>
    <t xml:space="preserve">Paga </t>
  </si>
  <si>
    <t xml:space="preserve">Gjoba </t>
  </si>
  <si>
    <t>MM te ardhura nga Debit &amp;Kreditore</t>
  </si>
  <si>
    <t>000/Leke</t>
  </si>
  <si>
    <t xml:space="preserve">Shoqeria  2R- CONSTRUSTION shpk </t>
  </si>
  <si>
    <t xml:space="preserve">Materiale </t>
  </si>
  <si>
    <t>31.12.2011</t>
  </si>
  <si>
    <t>Tatim  i paguar</t>
  </si>
  <si>
    <t>1. Mjete Monetare</t>
  </si>
  <si>
    <t>BKT Lek</t>
  </si>
  <si>
    <t>Intesa Sanpaolo Bank</t>
  </si>
  <si>
    <t>BKT euro</t>
  </si>
  <si>
    <t>Intesa Sanpaolo Bank euro</t>
  </si>
  <si>
    <t>NBG euro</t>
  </si>
  <si>
    <t>Arka ne leke</t>
  </si>
  <si>
    <t>Arka Euro</t>
  </si>
  <si>
    <t>Totali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</si>
  <si>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1"/>
        <color indexed="8"/>
        <rFont val="Times New Roman"/>
        <family val="1"/>
      </rPr>
      <t xml:space="preserve">Klienta  </t>
    </r>
  </si>
  <si>
    <t>Constal shpk</t>
  </si>
  <si>
    <t>Rad-Okej</t>
  </si>
  <si>
    <t>Kesh sha</t>
  </si>
  <si>
    <t>Credins euro</t>
  </si>
  <si>
    <t xml:space="preserve">5.Te pagueshme ndaj furnitoreve </t>
  </si>
  <si>
    <t>5A shpk</t>
  </si>
  <si>
    <t>Lendi shpk</t>
  </si>
  <si>
    <t>Merita Thomaj</t>
  </si>
  <si>
    <t>Koleci 2003</t>
  </si>
  <si>
    <t>SAG euro</t>
  </si>
  <si>
    <t>Ikona</t>
  </si>
  <si>
    <t>Kurti 07</t>
  </si>
  <si>
    <t>Jon shpk</t>
  </si>
  <si>
    <t>Altea&amp;Geostudio 2000</t>
  </si>
  <si>
    <t>Beka -K07</t>
  </si>
  <si>
    <t xml:space="preserve">Furnitore fat te pamebrritura </t>
  </si>
  <si>
    <t>Teha Construction</t>
  </si>
  <si>
    <t>CEZ</t>
  </si>
  <si>
    <t>Alfazeta srl</t>
  </si>
  <si>
    <t>Elal-Com shpk</t>
  </si>
  <si>
    <t>Eltjon Sulejmani</t>
  </si>
  <si>
    <t>Brunes shpk</t>
  </si>
  <si>
    <t>Environmental Building Materials</t>
  </si>
  <si>
    <t>Metal Konstruction VATA</t>
  </si>
  <si>
    <t>Mal shpk</t>
  </si>
  <si>
    <t>Eqerem Guza</t>
  </si>
  <si>
    <t>Migo Blind Center</t>
  </si>
  <si>
    <t>Internacional Ital 3</t>
  </si>
  <si>
    <t>Hatixhe Kola</t>
  </si>
  <si>
    <t>Topi EKI</t>
  </si>
  <si>
    <t>Emanuel T.H</t>
  </si>
  <si>
    <t>Rexha shpk</t>
  </si>
  <si>
    <t>AR&amp;LO</t>
  </si>
  <si>
    <t>A.B.A . shpk</t>
  </si>
  <si>
    <t>Kristi Rina</t>
  </si>
  <si>
    <t>Beair Technology</t>
  </si>
  <si>
    <t>Klead</t>
  </si>
  <si>
    <t>Gips-karton</t>
  </si>
  <si>
    <t>Siemens</t>
  </si>
  <si>
    <t>Alfa-Fab</t>
  </si>
  <si>
    <t>IMMI</t>
  </si>
  <si>
    <t>A.S shpk</t>
  </si>
  <si>
    <t>Skela Martini</t>
  </si>
  <si>
    <t>Trans-Jug</t>
  </si>
  <si>
    <t>Metalurgjai Tripoleon Ioanis Angjelopolus</t>
  </si>
  <si>
    <t>Hoxha B-M shpk</t>
  </si>
  <si>
    <t xml:space="preserve">Shpenzime te tjera </t>
  </si>
  <si>
    <t>Blerje energji, avull, uje</t>
  </si>
  <si>
    <t>Blerje te pastokueshme,mater e furnit.</t>
  </si>
  <si>
    <t>Kancelari</t>
  </si>
  <si>
    <t>Te tjera</t>
  </si>
  <si>
    <t>Qera zyre</t>
  </si>
  <si>
    <t>Shpenzime per makinat,riparim</t>
  </si>
  <si>
    <t>Konsulenca juridike,noteri</t>
  </si>
  <si>
    <t xml:space="preserve">Punime elektrike </t>
  </si>
  <si>
    <t>Skeleri</t>
  </si>
  <si>
    <t>Sherbim nga te trete</t>
  </si>
  <si>
    <t>Punim hekuri</t>
  </si>
  <si>
    <t>Transferime, udhetim e dieta</t>
  </si>
  <si>
    <t>Telefon fix</t>
  </si>
  <si>
    <t>Telefon celulare</t>
  </si>
  <si>
    <t>Te tjera tatime dhe taksa</t>
  </si>
  <si>
    <t>Shpenzime per pritje dhe dhurata</t>
  </si>
  <si>
    <t>Kuota pjese e shp per tu shperndare</t>
  </si>
  <si>
    <t xml:space="preserve">Sigurime </t>
  </si>
  <si>
    <t>Mbulesa fuge</t>
  </si>
  <si>
    <t>Zinkime</t>
  </si>
  <si>
    <t>Punime hidroizolimi</t>
  </si>
  <si>
    <t>Punime kondicionimi</t>
  </si>
  <si>
    <t xml:space="preserve">Nenkontraktore </t>
  </si>
  <si>
    <t>Parapagime</t>
  </si>
  <si>
    <t>Pozicioni me 31 dhjetor 2012</t>
  </si>
  <si>
    <t>31.12.2012</t>
  </si>
  <si>
    <t>Credins ALL</t>
  </si>
  <si>
    <t xml:space="preserve">Cez shperndarje </t>
  </si>
  <si>
    <t>BSF</t>
  </si>
  <si>
    <t>Electronet Albania</t>
  </si>
  <si>
    <t xml:space="preserve">Bisha </t>
  </si>
  <si>
    <t>Delta</t>
  </si>
  <si>
    <t>Luan</t>
  </si>
  <si>
    <t>Alba Beton</t>
  </si>
  <si>
    <t>Albitalia Mermer Granit, Arredo</t>
  </si>
  <si>
    <t>Kristi M&amp;M</t>
  </si>
  <si>
    <t>Adrenalina</t>
  </si>
  <si>
    <t>Dierre SPA</t>
  </si>
  <si>
    <t>Instalime interneti e elektrike</t>
  </si>
  <si>
    <t>Projekti monumenteve</t>
  </si>
  <si>
    <t>Germim dheu</t>
  </si>
  <si>
    <t>Nivelim betoni</t>
  </si>
  <si>
    <t>rampa per kate</t>
  </si>
  <si>
    <t>Sherbim kontabiliteti</t>
  </si>
  <si>
    <t>Internet/Poste</t>
  </si>
  <si>
    <t>Transport/Karburant</t>
  </si>
  <si>
    <t>Gjoba</t>
  </si>
  <si>
    <t xml:space="preserve">Gjendje </t>
  </si>
  <si>
    <t>Shtesa</t>
  </si>
  <si>
    <t>Emertimi</t>
  </si>
  <si>
    <t xml:space="preserve">Makineri Pajisje </t>
  </si>
  <si>
    <t xml:space="preserve">Mobilje Orendi </t>
  </si>
  <si>
    <t>Pajisje Zyre Informatike</t>
  </si>
  <si>
    <t xml:space="preserve">Mjete Transporti </t>
  </si>
  <si>
    <t>Total</t>
  </si>
  <si>
    <t>2R-Construcion</t>
  </si>
  <si>
    <t>K82303007K</t>
  </si>
  <si>
    <t xml:space="preserve">Rruga Vaso Pasha </t>
  </si>
  <si>
    <t xml:space="preserve">Tirane </t>
  </si>
  <si>
    <t>Ndertim</t>
  </si>
  <si>
    <t>Pasqyrat    Financiare    te    Vitit   2013</t>
  </si>
  <si>
    <t>Pasqyra   e   te   Ardhurave   dhe   Shpenzimeve     2013</t>
  </si>
  <si>
    <t>Viti   2013</t>
  </si>
  <si>
    <t>Pasqyra   e   Fluksit   Monetar  -  Metoda  Direkte   2013</t>
  </si>
  <si>
    <t>Kursi 31.12.13</t>
  </si>
  <si>
    <t>31.12.2013</t>
  </si>
  <si>
    <t xml:space="preserve">Credins CHF                                           </t>
  </si>
  <si>
    <t>Vlera ne monedhe te huaj</t>
  </si>
  <si>
    <t>Pasqyra  e  Ndryshimeve  ne  Kapital  2013</t>
  </si>
  <si>
    <t>01.01.2013</t>
  </si>
  <si>
    <t>Studim mjedisor</t>
  </si>
  <si>
    <t>Shp. Mirmb&amp; ripar per shitje garanci</t>
  </si>
  <si>
    <t>Monedha          ALL</t>
  </si>
  <si>
    <t>2R Construction</t>
  </si>
  <si>
    <t xml:space="preserve">Lista e Aseteve dhe Amortizimi </t>
  </si>
  <si>
    <t xml:space="preserve">Data </t>
  </si>
  <si>
    <t xml:space="preserve">Amortizim </t>
  </si>
  <si>
    <t xml:space="preserve">Vlera </t>
  </si>
  <si>
    <t xml:space="preserve">Amortizimi </t>
  </si>
  <si>
    <t>Hyrjes</t>
  </si>
  <si>
    <t xml:space="preserve">Njesia </t>
  </si>
  <si>
    <t xml:space="preserve">Saia </t>
  </si>
  <si>
    <t xml:space="preserve">Vlera  </t>
  </si>
  <si>
    <t xml:space="preserve">mbetur </t>
  </si>
  <si>
    <t>mbetur 2010</t>
  </si>
  <si>
    <t>mbetur 2011</t>
  </si>
  <si>
    <t>mbetur 2012</t>
  </si>
  <si>
    <t>mbetur 2013</t>
  </si>
  <si>
    <t>Convertitor</t>
  </si>
  <si>
    <t>Vibrator</t>
  </si>
  <si>
    <t>Pompe uji</t>
  </si>
  <si>
    <t>Gjenerator</t>
  </si>
  <si>
    <t xml:space="preserve">Betoniere </t>
  </si>
  <si>
    <t>Motor</t>
  </si>
  <si>
    <t xml:space="preserve">Puntela </t>
  </si>
  <si>
    <t>Vibratore me zorre</t>
  </si>
  <si>
    <t>Televizore</t>
  </si>
  <si>
    <t>Aparat digitalb</t>
  </si>
  <si>
    <t>Celulare</t>
  </si>
  <si>
    <t>Vinc</t>
  </si>
  <si>
    <t>Gjenerator dhe vibratore</t>
  </si>
  <si>
    <t xml:space="preserve">matrapik </t>
  </si>
  <si>
    <t>Materiale</t>
  </si>
  <si>
    <t xml:space="preserve">Mobilje orendi </t>
  </si>
  <si>
    <t>Tavoline</t>
  </si>
  <si>
    <t>Kondicioner</t>
  </si>
  <si>
    <t>Frigorifer</t>
  </si>
  <si>
    <t xml:space="preserve">Divan tek  </t>
  </si>
  <si>
    <t xml:space="preserve">Divan 2 vendesh </t>
  </si>
  <si>
    <t xml:space="preserve">Karige </t>
  </si>
  <si>
    <t>Dollap per arkive</t>
  </si>
  <si>
    <t>Kornize</t>
  </si>
  <si>
    <t>Perde</t>
  </si>
  <si>
    <t xml:space="preserve">Mobilje </t>
  </si>
  <si>
    <t xml:space="preserve">Pajisje zyre </t>
  </si>
  <si>
    <t>Sharp</t>
  </si>
  <si>
    <t>ADF</t>
  </si>
  <si>
    <t>Hardisk</t>
  </si>
  <si>
    <t xml:space="preserve">Printer </t>
  </si>
  <si>
    <t>Intesa 500 GB</t>
  </si>
  <si>
    <t>Kompiter</t>
  </si>
  <si>
    <t>Monitor</t>
  </si>
  <si>
    <t xml:space="preserve">IPAD </t>
  </si>
  <si>
    <t>Printer etj.</t>
  </si>
  <si>
    <t>monitore</t>
  </si>
  <si>
    <t>aktive</t>
  </si>
  <si>
    <t>hard</t>
  </si>
  <si>
    <t>kompiuter</t>
  </si>
  <si>
    <t>Lap Top</t>
  </si>
  <si>
    <t>Prinet</t>
  </si>
  <si>
    <t>Aparat fotografik</t>
  </si>
  <si>
    <t xml:space="preserve">Telefona </t>
  </si>
  <si>
    <t xml:space="preserve">IV </t>
  </si>
  <si>
    <t>Mjete Transporti</t>
  </si>
  <si>
    <t xml:space="preserve">Makine Skoda </t>
  </si>
  <si>
    <t>Kamioncine Mitsubishi</t>
  </si>
  <si>
    <t>Ranxh Rover</t>
  </si>
  <si>
    <t xml:space="preserve">TOTAL </t>
  </si>
  <si>
    <t>Amortizimi</t>
  </si>
  <si>
    <t>Qarkullimi vjetor</t>
  </si>
  <si>
    <t>0.3 % e 654</t>
  </si>
  <si>
    <t>shpenzime te panjohura</t>
  </si>
  <si>
    <t>Humbia qe mund te mbartet/ e tatueshme</t>
  </si>
  <si>
    <t>657, gjoba dhe demshperblime</t>
  </si>
  <si>
    <t>Pozicioni me 31 dhjetor 2013</t>
  </si>
  <si>
    <t>654 e panjohur</t>
  </si>
  <si>
    <t>Pozicioni me 31 dhjetor 2011</t>
  </si>
  <si>
    <t>Shpenzime te panjohura</t>
  </si>
  <si>
    <t>Shpenzime per pritje e percjedhje</t>
  </si>
  <si>
    <t>Shpenzime per gjoba dhe demshperblime</t>
  </si>
  <si>
    <t>Shpenzime telefonie</t>
  </si>
  <si>
    <t>Shpenzime per udhetime e djeta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</si>
</sst>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#,##0.0"/>
    <numFmt numFmtId="187" formatCode="#,##0.00_);\-#,##0.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9]dddd\,\ mmmm\ dd\,\ yyyy"/>
    <numFmt numFmtId="193" formatCode="[$-409]h:mm:ss\ AM/PM"/>
    <numFmt numFmtId="194" formatCode="_([$€-2]\ * #,##0.00_);_([$€-2]\ * \(#,##0.00\);_([$€-2]\ * &quot;-&quot;??_);_(@_)"/>
    <numFmt numFmtId="195" formatCode="_([$CHF]\ * #,##0.00_);_([$CHF]\ * \(#,##0.00\);_([$CHF]\ * &quot;-&quot;??_);_(@_)"/>
    <numFmt numFmtId="196" formatCode="#,##0.00000"/>
    <numFmt numFmtId="197" formatCode="#,##0.000"/>
    <numFmt numFmtId="198" formatCode="_(* #,##0_);_(* \(#,##0\);_(* &quot;-&quot;??_);_(@_)"/>
    <numFmt numFmtId="199" formatCode="dd/mm/yyyy"/>
    <numFmt numFmtId="200" formatCode="0.0"/>
    <numFmt numFmtId="201" formatCode="0.000"/>
    <numFmt numFmtId="202" formatCode="#,##0.0000"/>
    <numFmt numFmtId="203" formatCode="#,##0.00000000000000"/>
    <numFmt numFmtId="204" formatCode="#,##0.000000"/>
    <numFmt numFmtId="205" formatCode="0.0000"/>
    <numFmt numFmtId="206" formatCode="0.00000"/>
    <numFmt numFmtId="207" formatCode="0.000000"/>
    <numFmt numFmtId="208" formatCode="_-* #,##0.0_L_e_k_-;\-* #,##0.0_L_e_k_-;_-* &quot;-&quot;??_L_e_k_-;_-@_-"/>
    <numFmt numFmtId="209" formatCode="_-* #,##0_L_e_k_-;\-* #,##0_L_e_k_-;_-* &quot;-&quot;??_L_e_k_-;_-@_-"/>
    <numFmt numFmtId="210" formatCode="_(* #,##0.000_);_(* \(#,##0.000\);_(* &quot;-&quot;???_);_(@_)"/>
    <numFmt numFmtId="211" formatCode="_(* #,##0.0_);_(* \(#,##0.0\);_(* &quot;-&quot;?_);_(@_)"/>
    <numFmt numFmtId="212" formatCode="#,##0.0000000"/>
    <numFmt numFmtId="213" formatCode="#,##0.00000000"/>
    <numFmt numFmtId="214" formatCode="#,##0.000000000"/>
    <numFmt numFmtId="215" formatCode="_([$€-2]\ * #,##0.0000_);_([$€-2]\ * \(#,##0.0000\);_([$€-2]\ * &quot;-&quot;????_);_(@_)"/>
  </numFmts>
  <fonts count="85">
    <font>
      <sz val="10"/>
      <name val="Arial"/>
      <family val="0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sz val="14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Arial Narrow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Arial"/>
      <family val="2"/>
    </font>
    <font>
      <sz val="10.55"/>
      <color indexed="8"/>
      <name val="Microsoft Sans Serif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.0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MS Sans Serif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10.5"/>
      <color indexed="8"/>
      <name val="Microsoft Sans Serif"/>
      <family val="2"/>
    </font>
    <font>
      <b/>
      <sz val="8"/>
      <color indexed="8"/>
      <name val="Arial"/>
      <family val="2"/>
    </font>
    <font>
      <sz val="9"/>
      <color indexed="8"/>
      <name val="Microsoft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MS Sans Serif"/>
      <family val="2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9"/>
      <color rgb="FFFF0000"/>
      <name val="Arial"/>
      <family val="2"/>
    </font>
    <font>
      <sz val="10.5"/>
      <color rgb="FF000000"/>
      <name val="Microsoft Sans Serif"/>
      <family val="2"/>
    </font>
    <font>
      <b/>
      <sz val="8"/>
      <color rgb="FF000000"/>
      <name val="Arial"/>
      <family val="2"/>
    </font>
    <font>
      <sz val="9"/>
      <color rgb="FF000000"/>
      <name val="Microsoft Sans Serif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6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59" applyFont="1" applyFill="1">
      <alignment/>
      <protection/>
    </xf>
    <xf numFmtId="0" fontId="0" fillId="0" borderId="0" xfId="58" applyFont="1" applyFill="1">
      <alignment/>
      <protection/>
    </xf>
    <xf numFmtId="0" fontId="9" fillId="0" borderId="0" xfId="59" applyFont="1" applyFill="1">
      <alignment/>
      <protection/>
    </xf>
    <xf numFmtId="0" fontId="10" fillId="0" borderId="0" xfId="59" applyFont="1" applyFill="1">
      <alignment/>
      <protection/>
    </xf>
    <xf numFmtId="0" fontId="11" fillId="0" borderId="0" xfId="59" applyFont="1" applyFill="1">
      <alignment/>
      <protection/>
    </xf>
    <xf numFmtId="0" fontId="12" fillId="0" borderId="10" xfId="59" applyFont="1" applyFill="1" applyBorder="1" applyAlignment="1">
      <alignment horizontal="center"/>
      <protection/>
    </xf>
    <xf numFmtId="0" fontId="12" fillId="0" borderId="11" xfId="59" applyFont="1" applyFill="1" applyBorder="1" applyAlignment="1">
      <alignment horizontal="center"/>
      <protection/>
    </xf>
    <xf numFmtId="0" fontId="13" fillId="0" borderId="12" xfId="59" applyFont="1" applyFill="1" applyBorder="1" applyAlignment="1">
      <alignment horizontal="center"/>
      <protection/>
    </xf>
    <xf numFmtId="0" fontId="13" fillId="0" borderId="13" xfId="59" applyFont="1" applyFill="1" applyBorder="1" applyAlignment="1">
      <alignment horizontal="center"/>
      <protection/>
    </xf>
    <xf numFmtId="0" fontId="12" fillId="0" borderId="14" xfId="59" applyFont="1" applyFill="1" applyBorder="1" applyAlignment="1">
      <alignment horizontal="center"/>
      <protection/>
    </xf>
    <xf numFmtId="0" fontId="12" fillId="0" borderId="0" xfId="59" applyFont="1" applyFill="1" applyAlignment="1">
      <alignment horizontal="center"/>
      <protection/>
    </xf>
    <xf numFmtId="0" fontId="14" fillId="0" borderId="10" xfId="59" applyFont="1" applyFill="1" applyBorder="1">
      <alignment/>
      <protection/>
    </xf>
    <xf numFmtId="3" fontId="14" fillId="0" borderId="10" xfId="44" applyNumberFormat="1" applyFont="1" applyFill="1" applyBorder="1" applyAlignment="1">
      <alignment/>
    </xf>
    <xf numFmtId="0" fontId="14" fillId="0" borderId="0" xfId="59" applyFont="1" applyFill="1">
      <alignment/>
      <protection/>
    </xf>
    <xf numFmtId="3" fontId="14" fillId="0" borderId="15" xfId="44" applyNumberFormat="1" applyFont="1" applyFill="1" applyBorder="1" applyAlignment="1">
      <alignment/>
    </xf>
    <xf numFmtId="3" fontId="14" fillId="0" borderId="16" xfId="44" applyNumberFormat="1" applyFont="1" applyFill="1" applyBorder="1" applyAlignment="1">
      <alignment/>
    </xf>
    <xf numFmtId="0" fontId="14" fillId="0" borderId="0" xfId="58" applyFont="1" applyFill="1">
      <alignment/>
      <protection/>
    </xf>
    <xf numFmtId="3" fontId="14" fillId="0" borderId="0" xfId="58" applyNumberFormat="1" applyFont="1" applyFill="1">
      <alignment/>
      <protection/>
    </xf>
    <xf numFmtId="3" fontId="14" fillId="0" borderId="17" xfId="44" applyNumberFormat="1" applyFont="1" applyFill="1" applyBorder="1" applyAlignment="1">
      <alignment/>
    </xf>
    <xf numFmtId="0" fontId="4" fillId="0" borderId="0" xfId="58" applyFont="1" applyFill="1">
      <alignment/>
      <protection/>
    </xf>
    <xf numFmtId="3" fontId="12" fillId="0" borderId="0" xfId="58" applyNumberFormat="1" applyFont="1" applyFill="1">
      <alignment/>
      <protection/>
    </xf>
    <xf numFmtId="3" fontId="4" fillId="0" borderId="0" xfId="58" applyNumberFormat="1" applyFont="1" applyFill="1">
      <alignment/>
      <protection/>
    </xf>
    <xf numFmtId="3" fontId="0" fillId="0" borderId="0" xfId="58" applyNumberFormat="1" applyFont="1" applyFill="1">
      <alignment/>
      <protection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26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3" fontId="20" fillId="0" borderId="19" xfId="0" applyNumberFormat="1" applyFont="1" applyBorder="1" applyAlignment="1">
      <alignment horizontal="center" vertical="center"/>
    </xf>
    <xf numFmtId="3" fontId="20" fillId="0" borderId="25" xfId="0" applyNumberFormat="1" applyFont="1" applyBorder="1" applyAlignment="1">
      <alignment horizontal="center" vertical="center"/>
    </xf>
    <xf numFmtId="3" fontId="20" fillId="0" borderId="2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186" fontId="0" fillId="0" borderId="11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3" fontId="14" fillId="0" borderId="11" xfId="44" applyNumberFormat="1" applyFont="1" applyFill="1" applyBorder="1" applyAlignment="1">
      <alignment/>
    </xf>
    <xf numFmtId="3" fontId="14" fillId="0" borderId="28" xfId="44" applyNumberFormat="1" applyFont="1" applyFill="1" applyBorder="1" applyAlignment="1">
      <alignment/>
    </xf>
    <xf numFmtId="3" fontId="14" fillId="0" borderId="29" xfId="44" applyNumberFormat="1" applyFont="1" applyFill="1" applyBorder="1" applyAlignment="1">
      <alignment/>
    </xf>
    <xf numFmtId="3" fontId="14" fillId="0" borderId="14" xfId="44" applyNumberFormat="1" applyFont="1" applyFill="1" applyBorder="1" applyAlignment="1">
      <alignment/>
    </xf>
    <xf numFmtId="3" fontId="4" fillId="0" borderId="0" xfId="0" applyNumberFormat="1" applyFont="1" applyAlignment="1">
      <alignment horizontal="center" vertical="center"/>
    </xf>
    <xf numFmtId="0" fontId="22" fillId="0" borderId="21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20" fillId="0" borderId="26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15" fillId="0" borderId="21" xfId="0" applyFont="1" applyBorder="1" applyAlignment="1">
      <alignment/>
    </xf>
    <xf numFmtId="0" fontId="15" fillId="0" borderId="23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3" fontId="6" fillId="0" borderId="29" xfId="0" applyNumberFormat="1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3" fontId="6" fillId="0" borderId="31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26" fillId="0" borderId="10" xfId="0" applyFont="1" applyBorder="1" applyAlignment="1">
      <alignment vertical="center"/>
    </xf>
    <xf numFmtId="3" fontId="26" fillId="0" borderId="10" xfId="0" applyNumberFormat="1" applyFont="1" applyBorder="1" applyAlignment="1">
      <alignment horizontal="right" vertical="center"/>
    </xf>
    <xf numFmtId="0" fontId="74" fillId="0" borderId="10" xfId="0" applyFont="1" applyBorder="1" applyAlignment="1">
      <alignment/>
    </xf>
    <xf numFmtId="3" fontId="74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wrapText="1"/>
    </xf>
    <xf numFmtId="0" fontId="75" fillId="0" borderId="10" xfId="0" applyFont="1" applyBorder="1" applyAlignment="1">
      <alignment/>
    </xf>
    <xf numFmtId="0" fontId="76" fillId="0" borderId="10" xfId="0" applyFont="1" applyBorder="1" applyAlignment="1">
      <alignment horizontal="right"/>
    </xf>
    <xf numFmtId="0" fontId="77" fillId="0" borderId="10" xfId="0" applyFont="1" applyBorder="1" applyAlignment="1">
      <alignment horizontal="left" wrapText="1" indent="1"/>
    </xf>
    <xf numFmtId="0" fontId="77" fillId="0" borderId="10" xfId="0" applyFont="1" applyBorder="1" applyAlignment="1">
      <alignment horizontal="right" wrapText="1" indent="1"/>
    </xf>
    <xf numFmtId="0" fontId="77" fillId="33" borderId="10" xfId="0" applyFont="1" applyFill="1" applyBorder="1" applyAlignment="1">
      <alignment horizontal="left" indent="4"/>
    </xf>
    <xf numFmtId="3" fontId="74" fillId="0" borderId="10" xfId="0" applyNumberFormat="1" applyFont="1" applyBorder="1" applyAlignment="1">
      <alignment horizontal="right" wrapText="1"/>
    </xf>
    <xf numFmtId="3" fontId="74" fillId="0" borderId="10" xfId="0" applyNumberFormat="1" applyFont="1" applyBorder="1" applyAlignment="1">
      <alignment horizontal="right"/>
    </xf>
    <xf numFmtId="3" fontId="23" fillId="0" borderId="10" xfId="0" applyNumberFormat="1" applyFont="1" applyBorder="1" applyAlignment="1">
      <alignment/>
    </xf>
    <xf numFmtId="0" fontId="15" fillId="34" borderId="31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vertical="center"/>
    </xf>
    <xf numFmtId="3" fontId="74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74" fillId="0" borderId="0" xfId="0" applyNumberFormat="1" applyFont="1" applyFill="1" applyBorder="1" applyAlignment="1">
      <alignment/>
    </xf>
    <xf numFmtId="3" fontId="74" fillId="0" borderId="10" xfId="0" applyNumberFormat="1" applyFont="1" applyBorder="1" applyAlignment="1">
      <alignment/>
    </xf>
    <xf numFmtId="3" fontId="75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0" fontId="78" fillId="35" borderId="32" xfId="0" applyFont="1" applyFill="1" applyBorder="1" applyAlignment="1">
      <alignment horizontal="center"/>
    </xf>
    <xf numFmtId="3" fontId="75" fillId="35" borderId="32" xfId="0" applyNumberFormat="1" applyFont="1" applyFill="1" applyBorder="1" applyAlignment="1">
      <alignment horizontal="right"/>
    </xf>
    <xf numFmtId="0" fontId="20" fillId="35" borderId="10" xfId="0" applyFont="1" applyFill="1" applyBorder="1" applyAlignment="1">
      <alignment/>
    </xf>
    <xf numFmtId="3" fontId="20" fillId="35" borderId="10" xfId="0" applyNumberFormat="1" applyFont="1" applyFill="1" applyBorder="1" applyAlignment="1">
      <alignment/>
    </xf>
    <xf numFmtId="0" fontId="78" fillId="35" borderId="32" xfId="0" applyFont="1" applyFill="1" applyBorder="1" applyAlignment="1">
      <alignment/>
    </xf>
    <xf numFmtId="3" fontId="78" fillId="35" borderId="32" xfId="0" applyNumberFormat="1" applyFont="1" applyFill="1" applyBorder="1" applyAlignment="1">
      <alignment wrapText="1"/>
    </xf>
    <xf numFmtId="0" fontId="75" fillId="35" borderId="32" xfId="0" applyFont="1" applyFill="1" applyBorder="1" applyAlignment="1">
      <alignment/>
    </xf>
    <xf numFmtId="3" fontId="75" fillId="35" borderId="32" xfId="0" applyNumberFormat="1" applyFont="1" applyFill="1" applyBorder="1" applyAlignment="1">
      <alignment wrapText="1"/>
    </xf>
    <xf numFmtId="0" fontId="78" fillId="35" borderId="0" xfId="0" applyFont="1" applyFill="1" applyBorder="1" applyAlignment="1">
      <alignment/>
    </xf>
    <xf numFmtId="3" fontId="78" fillId="35" borderId="0" xfId="0" applyNumberFormat="1" applyFont="1" applyFill="1" applyBorder="1" applyAlignment="1">
      <alignment horizontal="right" wrapText="1"/>
    </xf>
    <xf numFmtId="3" fontId="79" fillId="0" borderId="10" xfId="0" applyNumberFormat="1" applyFont="1" applyBorder="1" applyAlignment="1">
      <alignment/>
    </xf>
    <xf numFmtId="3" fontId="0" fillId="34" borderId="10" xfId="0" applyNumberFormat="1" applyFont="1" applyFill="1" applyBorder="1" applyAlignment="1">
      <alignment horizontal="right" vertical="center"/>
    </xf>
    <xf numFmtId="0" fontId="20" fillId="0" borderId="21" xfId="0" applyFont="1" applyBorder="1" applyAlignment="1">
      <alignment/>
    </xf>
    <xf numFmtId="3" fontId="80" fillId="0" borderId="0" xfId="0" applyNumberFormat="1" applyFont="1" applyAlignment="1">
      <alignment/>
    </xf>
    <xf numFmtId="3" fontId="0" fillId="0" borderId="0" xfId="0" applyNumberFormat="1" applyFill="1" applyBorder="1" applyAlignment="1" applyProtection="1">
      <alignment/>
      <protection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3" fontId="26" fillId="0" borderId="10" xfId="0" applyNumberFormat="1" applyFont="1" applyFill="1" applyBorder="1" applyAlignment="1" applyProtection="1">
      <alignment/>
      <protection/>
    </xf>
    <xf numFmtId="194" fontId="0" fillId="0" borderId="10" xfId="0" applyNumberFormat="1" applyBorder="1" applyAlignment="1">
      <alignment/>
    </xf>
    <xf numFmtId="194" fontId="74" fillId="0" borderId="10" xfId="0" applyNumberFormat="1" applyFont="1" applyBorder="1" applyAlignment="1">
      <alignment/>
    </xf>
    <xf numFmtId="194" fontId="74" fillId="0" borderId="10" xfId="0" applyNumberFormat="1" applyFont="1" applyBorder="1" applyAlignment="1">
      <alignment horizontal="right" wrapText="1"/>
    </xf>
    <xf numFmtId="195" fontId="0" fillId="0" borderId="14" xfId="0" applyNumberForma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/>
      <protection/>
    </xf>
    <xf numFmtId="0" fontId="26" fillId="0" borderId="0" xfId="0" applyFont="1" applyAlignment="1">
      <alignment vertical="center"/>
    </xf>
    <xf numFmtId="3" fontId="26" fillId="0" borderId="0" xfId="0" applyNumberFormat="1" applyFont="1" applyAlignment="1">
      <alignment horizontal="right" vertical="center"/>
    </xf>
    <xf numFmtId="4" fontId="0" fillId="0" borderId="0" xfId="0" applyNumberFormat="1" applyFill="1" applyBorder="1" applyAlignment="1" applyProtection="1">
      <alignment/>
      <protection/>
    </xf>
    <xf numFmtId="4" fontId="27" fillId="0" borderId="0" xfId="0" applyNumberFormat="1" applyFont="1" applyAlignment="1">
      <alignment horizontal="right" vertical="center"/>
    </xf>
    <xf numFmtId="4" fontId="0" fillId="0" borderId="10" xfId="0" applyNumberFormat="1" applyFont="1" applyBorder="1" applyAlignment="1">
      <alignment vertical="center"/>
    </xf>
    <xf numFmtId="4" fontId="79" fillId="0" borderId="10" xfId="0" applyNumberFormat="1" applyFont="1" applyBorder="1" applyAlignment="1">
      <alignment/>
    </xf>
    <xf numFmtId="4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3" fontId="26" fillId="0" borderId="10" xfId="0" applyNumberFormat="1" applyFont="1" applyFill="1" applyBorder="1" applyAlignment="1">
      <alignment horizontal="right" vertical="center"/>
    </xf>
    <xf numFmtId="0" fontId="77" fillId="35" borderId="10" xfId="0" applyFont="1" applyFill="1" applyBorder="1" applyAlignment="1">
      <alignment/>
    </xf>
    <xf numFmtId="0" fontId="77" fillId="35" borderId="10" xfId="0" applyFont="1" applyFill="1" applyBorder="1" applyAlignment="1">
      <alignment horizontal="left" wrapText="1" indent="1"/>
    </xf>
    <xf numFmtId="205" fontId="0" fillId="0" borderId="10" xfId="0" applyNumberFormat="1" applyBorder="1" applyAlignment="1">
      <alignment/>
    </xf>
    <xf numFmtId="205" fontId="74" fillId="0" borderId="10" xfId="0" applyNumberFormat="1" applyFont="1" applyBorder="1" applyAlignment="1">
      <alignment/>
    </xf>
    <xf numFmtId="1" fontId="74" fillId="0" borderId="10" xfId="0" applyNumberFormat="1" applyFont="1" applyBorder="1" applyAlignment="1">
      <alignment horizontal="right" wrapText="1"/>
    </xf>
    <xf numFmtId="3" fontId="20" fillId="36" borderId="1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37" xfId="0" applyFont="1" applyBorder="1" applyAlignment="1">
      <alignment horizontal="left"/>
    </xf>
    <xf numFmtId="14" fontId="0" fillId="0" borderId="37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0" fontId="6" fillId="0" borderId="37" xfId="0" applyFont="1" applyBorder="1" applyAlignment="1">
      <alignment horizontal="left"/>
    </xf>
    <xf numFmtId="0" fontId="0" fillId="37" borderId="12" xfId="0" applyFill="1" applyBorder="1" applyAlignment="1">
      <alignment horizontal="center"/>
    </xf>
    <xf numFmtId="0" fontId="0" fillId="37" borderId="30" xfId="0" applyFont="1" applyFill="1" applyBorder="1" applyAlignment="1">
      <alignment horizontal="left"/>
    </xf>
    <xf numFmtId="14" fontId="0" fillId="37" borderId="30" xfId="0" applyNumberForma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34" borderId="10" xfId="0" applyFont="1" applyFill="1" applyBorder="1" applyAlignment="1">
      <alignment/>
    </xf>
    <xf numFmtId="14" fontId="6" fillId="3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0" fontId="6" fillId="0" borderId="10" xfId="0" applyFont="1" applyBorder="1" applyAlignment="1">
      <alignment/>
    </xf>
    <xf numFmtId="14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81" fillId="34" borderId="11" xfId="0" applyNumberFormat="1" applyFont="1" applyFill="1" applyBorder="1" applyAlignment="1">
      <alignment/>
    </xf>
    <xf numFmtId="0" fontId="81" fillId="34" borderId="10" xfId="0" applyFont="1" applyFill="1" applyBorder="1" applyAlignment="1">
      <alignment/>
    </xf>
    <xf numFmtId="14" fontId="81" fillId="34" borderId="10" xfId="0" applyNumberFormat="1" applyFont="1" applyFill="1" applyBorder="1" applyAlignment="1">
      <alignment/>
    </xf>
    <xf numFmtId="3" fontId="81" fillId="34" borderId="10" xfId="0" applyNumberFormat="1" applyFont="1" applyFill="1" applyBorder="1" applyAlignment="1">
      <alignment/>
    </xf>
    <xf numFmtId="0" fontId="6" fillId="0" borderId="28" xfId="0" applyFont="1" applyBorder="1" applyAlignment="1">
      <alignment/>
    </xf>
    <xf numFmtId="0" fontId="6" fillId="36" borderId="10" xfId="0" applyFont="1" applyFill="1" applyBorder="1" applyAlignment="1">
      <alignment/>
    </xf>
    <xf numFmtId="14" fontId="6" fillId="36" borderId="10" xfId="0" applyNumberFormat="1" applyFont="1" applyFill="1" applyBorder="1" applyAlignment="1">
      <alignment/>
    </xf>
    <xf numFmtId="3" fontId="6" fillId="36" borderId="10" xfId="0" applyNumberFormat="1" applyFont="1" applyFill="1" applyBorder="1" applyAlignment="1">
      <alignment/>
    </xf>
    <xf numFmtId="3" fontId="15" fillId="36" borderId="10" xfId="0" applyNumberFormat="1" applyFont="1" applyFill="1" applyBorder="1" applyAlignment="1">
      <alignment/>
    </xf>
    <xf numFmtId="3" fontId="20" fillId="36" borderId="11" xfId="0" applyNumberFormat="1" applyFont="1" applyFill="1" applyBorder="1" applyAlignment="1">
      <alignment/>
    </xf>
    <xf numFmtId="3" fontId="20" fillId="38" borderId="10" xfId="0" applyNumberFormat="1" applyFont="1" applyFill="1" applyBorder="1" applyAlignment="1">
      <alignment/>
    </xf>
    <xf numFmtId="0" fontId="0" fillId="0" borderId="28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37" borderId="10" xfId="0" applyFill="1" applyBorder="1" applyAlignment="1">
      <alignment/>
    </xf>
    <xf numFmtId="14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0" fillId="37" borderId="11" xfId="0" applyNumberFormat="1" applyFill="1" applyBorder="1" applyAlignment="1">
      <alignment/>
    </xf>
    <xf numFmtId="14" fontId="6" fillId="0" borderId="10" xfId="0" applyNumberFormat="1" applyFont="1" applyBorder="1" applyAlignment="1">
      <alignment horizontal="right"/>
    </xf>
    <xf numFmtId="0" fontId="6" fillId="39" borderId="28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3" fontId="30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15" fillId="36" borderId="10" xfId="0" applyFont="1" applyFill="1" applyBorder="1" applyAlignment="1">
      <alignment/>
    </xf>
    <xf numFmtId="14" fontId="15" fillId="36" borderId="10" xfId="0" applyNumberFormat="1" applyFont="1" applyFill="1" applyBorder="1" applyAlignment="1">
      <alignment/>
    </xf>
    <xf numFmtId="0" fontId="6" fillId="39" borderId="38" xfId="0" applyFont="1" applyFill="1" applyBorder="1" applyAlignment="1">
      <alignment/>
    </xf>
    <xf numFmtId="0" fontId="6" fillId="39" borderId="26" xfId="0" applyFont="1" applyFill="1" applyBorder="1" applyAlignment="1">
      <alignment/>
    </xf>
    <xf numFmtId="14" fontId="6" fillId="39" borderId="26" xfId="0" applyNumberFormat="1" applyFont="1" applyFill="1" applyBorder="1" applyAlignment="1">
      <alignment/>
    </xf>
    <xf numFmtId="3" fontId="6" fillId="39" borderId="26" xfId="0" applyNumberFormat="1" applyFont="1" applyFill="1" applyBorder="1" applyAlignment="1">
      <alignment/>
    </xf>
    <xf numFmtId="3" fontId="15" fillId="34" borderId="26" xfId="0" applyNumberFormat="1" applyFont="1" applyFill="1" applyBorder="1" applyAlignment="1">
      <alignment/>
    </xf>
    <xf numFmtId="3" fontId="20" fillId="0" borderId="26" xfId="0" applyNumberFormat="1" applyFont="1" applyBorder="1" applyAlignment="1">
      <alignment/>
    </xf>
    <xf numFmtId="3" fontId="20" fillId="0" borderId="18" xfId="0" applyNumberFormat="1" applyFont="1" applyBorder="1" applyAlignment="1">
      <alignment/>
    </xf>
    <xf numFmtId="0" fontId="6" fillId="37" borderId="26" xfId="0" applyFont="1" applyFill="1" applyBorder="1" applyAlignment="1">
      <alignment/>
    </xf>
    <xf numFmtId="14" fontId="6" fillId="37" borderId="26" xfId="0" applyNumberFormat="1" applyFont="1" applyFill="1" applyBorder="1" applyAlignment="1">
      <alignment/>
    </xf>
    <xf numFmtId="3" fontId="6" fillId="37" borderId="26" xfId="0" applyNumberFormat="1" applyFont="1" applyFill="1" applyBorder="1" applyAlignment="1">
      <alignment/>
    </xf>
    <xf numFmtId="3" fontId="15" fillId="37" borderId="26" xfId="0" applyNumberFormat="1" applyFont="1" applyFill="1" applyBorder="1" applyAlignment="1">
      <alignment/>
    </xf>
    <xf numFmtId="3" fontId="20" fillId="37" borderId="26" xfId="0" applyNumberFormat="1" applyFont="1" applyFill="1" applyBorder="1" applyAlignment="1">
      <alignment/>
    </xf>
    <xf numFmtId="3" fontId="20" fillId="37" borderId="18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81" fillId="39" borderId="26" xfId="0" applyFont="1" applyFill="1" applyBorder="1" applyAlignment="1">
      <alignment/>
    </xf>
    <xf numFmtId="14" fontId="81" fillId="39" borderId="26" xfId="0" applyNumberFormat="1" applyFont="1" applyFill="1" applyBorder="1" applyAlignment="1">
      <alignment/>
    </xf>
    <xf numFmtId="0" fontId="15" fillId="36" borderId="26" xfId="0" applyFont="1" applyFill="1" applyBorder="1" applyAlignment="1">
      <alignment/>
    </xf>
    <xf numFmtId="14" fontId="6" fillId="36" borderId="26" xfId="0" applyNumberFormat="1" applyFont="1" applyFill="1" applyBorder="1" applyAlignment="1">
      <alignment/>
    </xf>
    <xf numFmtId="0" fontId="6" fillId="36" borderId="26" xfId="0" applyFont="1" applyFill="1" applyBorder="1" applyAlignment="1">
      <alignment/>
    </xf>
    <xf numFmtId="3" fontId="6" fillId="36" borderId="26" xfId="0" applyNumberFormat="1" applyFont="1" applyFill="1" applyBorder="1" applyAlignment="1">
      <alignment/>
    </xf>
    <xf numFmtId="3" fontId="15" fillId="36" borderId="26" xfId="0" applyNumberFormat="1" applyFont="1" applyFill="1" applyBorder="1" applyAlignment="1">
      <alignment/>
    </xf>
    <xf numFmtId="3" fontId="20" fillId="36" borderId="26" xfId="0" applyNumberFormat="1" applyFont="1" applyFill="1" applyBorder="1" applyAlignment="1">
      <alignment/>
    </xf>
    <xf numFmtId="3" fontId="20" fillId="36" borderId="18" xfId="0" applyNumberFormat="1" applyFont="1" applyFill="1" applyBorder="1" applyAlignment="1">
      <alignment/>
    </xf>
    <xf numFmtId="0" fontId="20" fillId="35" borderId="26" xfId="0" applyFont="1" applyFill="1" applyBorder="1" applyAlignment="1">
      <alignment/>
    </xf>
    <xf numFmtId="0" fontId="20" fillId="35" borderId="37" xfId="0" applyFont="1" applyFill="1" applyBorder="1" applyAlignment="1">
      <alignment/>
    </xf>
    <xf numFmtId="3" fontId="82" fillId="0" borderId="10" xfId="0" applyNumberFormat="1" applyFont="1" applyBorder="1" applyAlignment="1">
      <alignment/>
    </xf>
    <xf numFmtId="43" fontId="0" fillId="0" borderId="0" xfId="42" applyNumberFormat="1" applyFont="1" applyAlignment="1">
      <alignment/>
    </xf>
    <xf numFmtId="0" fontId="0" fillId="0" borderId="0" xfId="0" applyFont="1" applyBorder="1" applyAlignment="1">
      <alignment horizontal="center" vertical="center"/>
    </xf>
    <xf numFmtId="0" fontId="20" fillId="40" borderId="0" xfId="0" applyFont="1" applyFill="1" applyBorder="1" applyAlignment="1">
      <alignment horizontal="center" vertical="center"/>
    </xf>
    <xf numFmtId="185" fontId="0" fillId="0" borderId="0" xfId="42" applyFont="1" applyAlignment="1">
      <alignment/>
    </xf>
    <xf numFmtId="3" fontId="0" fillId="0" borderId="10" xfId="0" applyNumberFormat="1" applyFont="1" applyFill="1" applyBorder="1" applyAlignment="1">
      <alignment vertical="center"/>
    </xf>
    <xf numFmtId="186" fontId="26" fillId="0" borderId="0" xfId="0" applyNumberFormat="1" applyFont="1" applyAlignment="1">
      <alignment horizontal="right" vertical="center"/>
    </xf>
    <xf numFmtId="186" fontId="0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185" fontId="0" fillId="0" borderId="0" xfId="42" applyFont="1" applyAlignment="1">
      <alignment/>
    </xf>
    <xf numFmtId="209" fontId="0" fillId="0" borderId="0" xfId="42" applyNumberFormat="1" applyFont="1" applyAlignment="1">
      <alignment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horizontal="right"/>
    </xf>
    <xf numFmtId="0" fontId="6" fillId="39" borderId="14" xfId="0" applyFont="1" applyFill="1" applyBorder="1" applyAlignment="1">
      <alignment/>
    </xf>
    <xf numFmtId="0" fontId="6" fillId="39" borderId="19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0" fontId="6" fillId="0" borderId="41" xfId="0" applyFont="1" applyBorder="1" applyAlignment="1">
      <alignment horizontal="left"/>
    </xf>
    <xf numFmtId="14" fontId="0" fillId="37" borderId="13" xfId="0" applyNumberFormat="1" applyFill="1" applyBorder="1" applyAlignment="1">
      <alignment horizontal="center"/>
    </xf>
    <xf numFmtId="3" fontId="0" fillId="0" borderId="29" xfId="0" applyNumberFormat="1" applyBorder="1" applyAlignment="1">
      <alignment/>
    </xf>
    <xf numFmtId="3" fontId="20" fillId="38" borderId="29" xfId="0" applyNumberFormat="1" applyFont="1" applyFill="1" applyBorder="1" applyAlignment="1">
      <alignment/>
    </xf>
    <xf numFmtId="3" fontId="0" fillId="37" borderId="29" xfId="0" applyNumberFormat="1" applyFill="1" applyBorder="1" applyAlignment="1">
      <alignment/>
    </xf>
    <xf numFmtId="3" fontId="0" fillId="0" borderId="29" xfId="0" applyNumberFormat="1" applyFont="1" applyBorder="1" applyAlignment="1">
      <alignment/>
    </xf>
    <xf numFmtId="3" fontId="20" fillId="36" borderId="29" xfId="0" applyNumberFormat="1" applyFont="1" applyFill="1" applyBorder="1" applyAlignment="1">
      <alignment/>
    </xf>
    <xf numFmtId="3" fontId="0" fillId="0" borderId="16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20" fillId="38" borderId="42" xfId="0" applyNumberFormat="1" applyFont="1" applyFill="1" applyBorder="1" applyAlignment="1">
      <alignment/>
    </xf>
    <xf numFmtId="3" fontId="20" fillId="0" borderId="31" xfId="0" applyNumberFormat="1" applyFont="1" applyBorder="1" applyAlignment="1">
      <alignment/>
    </xf>
    <xf numFmtId="3" fontId="15" fillId="34" borderId="31" xfId="0" applyNumberFormat="1" applyFont="1" applyFill="1" applyBorder="1" applyAlignment="1">
      <alignment/>
    </xf>
    <xf numFmtId="3" fontId="6" fillId="39" borderId="31" xfId="0" applyNumberFormat="1" applyFont="1" applyFill="1" applyBorder="1" applyAlignment="1">
      <alignment/>
    </xf>
    <xf numFmtId="3" fontId="20" fillId="38" borderId="43" xfId="0" applyNumberFormat="1" applyFont="1" applyFill="1" applyBorder="1" applyAlignment="1">
      <alignment/>
    </xf>
    <xf numFmtId="3" fontId="20" fillId="41" borderId="44" xfId="0" applyNumberFormat="1" applyFont="1" applyFill="1" applyBorder="1" applyAlignment="1">
      <alignment/>
    </xf>
    <xf numFmtId="0" fontId="0" fillId="0" borderId="45" xfId="0" applyBorder="1" applyAlignment="1">
      <alignment/>
    </xf>
    <xf numFmtId="0" fontId="20" fillId="41" borderId="45" xfId="0" applyFont="1" applyFill="1" applyBorder="1" applyAlignment="1">
      <alignment/>
    </xf>
    <xf numFmtId="0" fontId="20" fillId="41" borderId="46" xfId="0" applyFont="1" applyFill="1" applyBorder="1" applyAlignment="1">
      <alignment/>
    </xf>
    <xf numFmtId="3" fontId="20" fillId="38" borderId="45" xfId="0" applyNumberFormat="1" applyFont="1" applyFill="1" applyBorder="1" applyAlignment="1">
      <alignment/>
    </xf>
    <xf numFmtId="3" fontId="20" fillId="42" borderId="43" xfId="0" applyNumberFormat="1" applyFont="1" applyFill="1" applyBorder="1" applyAlignment="1">
      <alignment/>
    </xf>
    <xf numFmtId="3" fontId="20" fillId="38" borderId="47" xfId="0" applyNumberFormat="1" applyFont="1" applyFill="1" applyBorder="1" applyAlignment="1">
      <alignment/>
    </xf>
    <xf numFmtId="3" fontId="20" fillId="42" borderId="45" xfId="0" applyNumberFormat="1" applyFont="1" applyFill="1" applyBorder="1" applyAlignment="1">
      <alignment/>
    </xf>
    <xf numFmtId="3" fontId="20" fillId="42" borderId="47" xfId="0" applyNumberFormat="1" applyFont="1" applyFill="1" applyBorder="1" applyAlignment="1">
      <alignment/>
    </xf>
    <xf numFmtId="3" fontId="26" fillId="41" borderId="0" xfId="0" applyNumberFormat="1" applyFont="1" applyFill="1" applyAlignment="1">
      <alignment horizontal="right" vertical="center"/>
    </xf>
    <xf numFmtId="202" fontId="0" fillId="0" borderId="0" xfId="0" applyNumberFormat="1" applyFont="1" applyBorder="1" applyAlignment="1">
      <alignment vertical="center"/>
    </xf>
    <xf numFmtId="196" fontId="0" fillId="0" borderId="0" xfId="0" applyNumberFormat="1" applyFont="1" applyBorder="1" applyAlignment="1">
      <alignment vertical="center"/>
    </xf>
    <xf numFmtId="3" fontId="83" fillId="41" borderId="0" xfId="0" applyNumberFormat="1" applyFont="1" applyFill="1" applyAlignment="1">
      <alignment/>
    </xf>
    <xf numFmtId="209" fontId="20" fillId="40" borderId="0" xfId="0" applyNumberFormat="1" applyFont="1" applyFill="1" applyBorder="1" applyAlignment="1" applyProtection="1">
      <alignment/>
      <protection/>
    </xf>
    <xf numFmtId="209" fontId="20" fillId="0" borderId="0" xfId="0" applyNumberFormat="1" applyFont="1" applyBorder="1" applyAlignment="1">
      <alignment vertical="center"/>
    </xf>
    <xf numFmtId="186" fontId="0" fillId="0" borderId="0" xfId="0" applyNumberFormat="1" applyFont="1" applyAlignment="1">
      <alignment/>
    </xf>
    <xf numFmtId="186" fontId="0" fillId="41" borderId="0" xfId="42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left" vertical="top"/>
    </xf>
    <xf numFmtId="0" fontId="6" fillId="0" borderId="10" xfId="0" applyFont="1" applyBorder="1" applyAlignment="1">
      <alignment vertical="center"/>
    </xf>
    <xf numFmtId="1" fontId="0" fillId="0" borderId="0" xfId="0" applyNumberForma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209" fontId="20" fillId="0" borderId="0" xfId="42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85" fontId="0" fillId="0" borderId="0" xfId="0" applyNumberFormat="1" applyAlignment="1">
      <alignment/>
    </xf>
    <xf numFmtId="3" fontId="84" fillId="0" borderId="0" xfId="0" applyNumberFormat="1" applyFont="1" applyAlignment="1">
      <alignment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1" fillId="0" borderId="2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Book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01.Centralizatori  model 08" xfId="58"/>
    <cellStyle name="Normal_Book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2:K57"/>
  <sheetViews>
    <sheetView tabSelected="1" zoomScalePageLayoutView="0" workbookViewId="0" topLeftCell="A1">
      <selection activeCell="F60" sqref="F60"/>
    </sheetView>
  </sheetViews>
  <sheetFormatPr defaultColWidth="9.140625" defaultRowHeight="12.75"/>
  <cols>
    <col min="1" max="1" width="9.57421875" style="68" customWidth="1"/>
    <col min="2" max="3" width="9.140625" style="68" customWidth="1"/>
    <col min="4" max="4" width="9.28125" style="68" customWidth="1"/>
    <col min="5" max="5" width="11.421875" style="68" customWidth="1"/>
    <col min="6" max="6" width="12.8515625" style="68" customWidth="1"/>
    <col min="7" max="7" width="5.421875" style="68" customWidth="1"/>
    <col min="8" max="9" width="9.140625" style="68" customWidth="1"/>
    <col min="10" max="10" width="3.140625" style="68" customWidth="1"/>
    <col min="11" max="11" width="6.8515625" style="68" customWidth="1"/>
    <col min="12" max="12" width="6.00390625" style="68" customWidth="1"/>
    <col min="13" max="16384" width="9.140625" style="68" customWidth="1"/>
  </cols>
  <sheetData>
    <row r="1" s="32" customFormat="1" ht="6.75" customHeight="1"/>
    <row r="2" spans="2:11" s="32" customFormat="1" ht="12.75">
      <c r="B2" s="33"/>
      <c r="C2" s="34"/>
      <c r="D2" s="34"/>
      <c r="E2" s="34"/>
      <c r="F2" s="34"/>
      <c r="G2" s="34"/>
      <c r="H2" s="34"/>
      <c r="I2" s="34"/>
      <c r="J2" s="34"/>
      <c r="K2" s="35"/>
    </row>
    <row r="3" spans="2:11" s="42" customFormat="1" ht="21" customHeight="1">
      <c r="B3" s="36"/>
      <c r="C3" s="37" t="s">
        <v>205</v>
      </c>
      <c r="D3" s="37"/>
      <c r="E3" s="37"/>
      <c r="F3" s="134" t="s">
        <v>338</v>
      </c>
      <c r="G3" s="39"/>
      <c r="H3" s="40"/>
      <c r="I3" s="38"/>
      <c r="J3" s="37"/>
      <c r="K3" s="41"/>
    </row>
    <row r="4" spans="2:11" s="42" customFormat="1" ht="13.5" customHeight="1">
      <c r="B4" s="36"/>
      <c r="C4" s="37" t="s">
        <v>91</v>
      </c>
      <c r="D4" s="37"/>
      <c r="E4" s="37"/>
      <c r="F4" s="201" t="s">
        <v>339</v>
      </c>
      <c r="G4" s="43"/>
      <c r="H4" s="44"/>
      <c r="I4" s="45"/>
      <c r="J4" s="45"/>
      <c r="K4" s="41"/>
    </row>
    <row r="5" spans="2:11" s="42" customFormat="1" ht="13.5" customHeight="1">
      <c r="B5" s="36"/>
      <c r="C5" s="37" t="s">
        <v>6</v>
      </c>
      <c r="D5" s="37"/>
      <c r="E5" s="37"/>
      <c r="F5" s="145" t="s">
        <v>340</v>
      </c>
      <c r="G5" s="38"/>
      <c r="H5" s="38"/>
      <c r="I5" s="38"/>
      <c r="J5" s="38"/>
      <c r="K5" s="41"/>
    </row>
    <row r="6" spans="2:11" s="42" customFormat="1" ht="13.5" customHeight="1">
      <c r="B6" s="36"/>
      <c r="C6" s="37"/>
      <c r="D6" s="37"/>
      <c r="E6" s="37"/>
      <c r="F6" s="37" t="s">
        <v>341</v>
      </c>
      <c r="G6" s="37"/>
      <c r="H6" s="47"/>
      <c r="I6" s="47"/>
      <c r="J6" s="45"/>
      <c r="K6" s="41"/>
    </row>
    <row r="7" spans="2:11" s="42" customFormat="1" ht="13.5" customHeight="1">
      <c r="B7" s="36"/>
      <c r="C7" s="37" t="s">
        <v>0</v>
      </c>
      <c r="D7" s="37"/>
      <c r="E7" s="37"/>
      <c r="F7" s="46"/>
      <c r="G7" s="48"/>
      <c r="H7" s="37"/>
      <c r="I7" s="37"/>
      <c r="J7" s="37"/>
      <c r="K7" s="41"/>
    </row>
    <row r="8" spans="2:11" s="42" customFormat="1" ht="13.5" customHeight="1">
      <c r="B8" s="36"/>
      <c r="C8" s="37" t="s">
        <v>1</v>
      </c>
      <c r="D8" s="37"/>
      <c r="E8" s="37"/>
      <c r="F8" s="146"/>
      <c r="G8" s="49"/>
      <c r="H8" s="37"/>
      <c r="I8" s="37"/>
      <c r="J8" s="37"/>
      <c r="K8" s="41"/>
    </row>
    <row r="9" spans="2:11" s="42" customFormat="1" ht="13.5" customHeight="1">
      <c r="B9" s="36"/>
      <c r="C9" s="37"/>
      <c r="D9" s="37"/>
      <c r="E9" s="37"/>
      <c r="F9" s="37"/>
      <c r="G9" s="37"/>
      <c r="H9" s="37"/>
      <c r="I9" s="37"/>
      <c r="J9" s="37"/>
      <c r="K9" s="41"/>
    </row>
    <row r="10" spans="2:11" s="42" customFormat="1" ht="13.5" customHeight="1">
      <c r="B10" s="36"/>
      <c r="C10" s="37" t="s">
        <v>31</v>
      </c>
      <c r="D10" s="37"/>
      <c r="E10" s="37"/>
      <c r="F10" s="144" t="s">
        <v>342</v>
      </c>
      <c r="G10" s="38"/>
      <c r="H10" s="38"/>
      <c r="I10" s="38"/>
      <c r="J10" s="38"/>
      <c r="K10" s="41"/>
    </row>
    <row r="11" spans="2:11" s="42" customFormat="1" ht="13.5" customHeight="1">
      <c r="B11" s="36"/>
      <c r="C11" s="37"/>
      <c r="D11" s="37"/>
      <c r="E11" s="37"/>
      <c r="F11" s="46"/>
      <c r="G11" s="46"/>
      <c r="H11" s="46"/>
      <c r="I11" s="46"/>
      <c r="J11" s="46"/>
      <c r="K11" s="41"/>
    </row>
    <row r="12" spans="2:11" s="42" customFormat="1" ht="13.5" customHeight="1">
      <c r="B12" s="36"/>
      <c r="C12" s="37"/>
      <c r="D12" s="37"/>
      <c r="E12" s="37"/>
      <c r="F12" s="46"/>
      <c r="G12" s="46"/>
      <c r="H12" s="46"/>
      <c r="I12" s="46"/>
      <c r="J12" s="46"/>
      <c r="K12" s="41"/>
    </row>
    <row r="13" spans="2:11" s="53" customFormat="1" ht="12.75">
      <c r="B13" s="50"/>
      <c r="C13" s="51"/>
      <c r="D13" s="51"/>
      <c r="E13" s="51"/>
      <c r="F13" s="51"/>
      <c r="G13" s="51"/>
      <c r="H13" s="51"/>
      <c r="I13" s="51"/>
      <c r="J13" s="51"/>
      <c r="K13" s="52"/>
    </row>
    <row r="14" spans="2:11" s="53" customFormat="1" ht="12.75">
      <c r="B14" s="50"/>
      <c r="C14" s="51"/>
      <c r="D14" s="51"/>
      <c r="E14" s="51"/>
      <c r="F14" s="51"/>
      <c r="G14" s="51"/>
      <c r="H14" s="51"/>
      <c r="I14" s="51"/>
      <c r="J14" s="51"/>
      <c r="K14" s="52"/>
    </row>
    <row r="15" spans="2:11" s="53" customFormat="1" ht="12.75">
      <c r="B15" s="50"/>
      <c r="C15" s="51"/>
      <c r="D15" s="51"/>
      <c r="E15" s="51"/>
      <c r="F15" s="51"/>
      <c r="G15" s="51"/>
      <c r="H15" s="51"/>
      <c r="I15" s="51"/>
      <c r="J15" s="51"/>
      <c r="K15" s="52"/>
    </row>
    <row r="16" spans="2:11" s="53" customFormat="1" ht="12.75">
      <c r="B16" s="50"/>
      <c r="C16" s="51"/>
      <c r="D16" s="51"/>
      <c r="E16" s="51"/>
      <c r="F16" s="51"/>
      <c r="G16" s="51"/>
      <c r="H16" s="51"/>
      <c r="I16" s="51"/>
      <c r="J16" s="51"/>
      <c r="K16" s="52"/>
    </row>
    <row r="17" spans="2:11" s="53" customFormat="1" ht="12.75">
      <c r="B17" s="50"/>
      <c r="C17" s="51"/>
      <c r="D17" s="51"/>
      <c r="E17" s="51"/>
      <c r="F17" s="51"/>
      <c r="G17" s="51"/>
      <c r="H17" s="51"/>
      <c r="I17" s="51"/>
      <c r="J17" s="51"/>
      <c r="K17" s="52"/>
    </row>
    <row r="18" spans="2:11" s="53" customFormat="1" ht="12.75">
      <c r="B18" s="50"/>
      <c r="C18" s="51"/>
      <c r="D18" s="51"/>
      <c r="E18" s="51"/>
      <c r="F18" s="51"/>
      <c r="G18" s="51"/>
      <c r="H18" s="51"/>
      <c r="I18" s="51"/>
      <c r="J18" s="51"/>
      <c r="K18" s="52"/>
    </row>
    <row r="19" spans="2:11" s="53" customFormat="1" ht="12.75">
      <c r="B19" s="50"/>
      <c r="C19" s="51"/>
      <c r="D19" s="51"/>
      <c r="E19" s="51"/>
      <c r="F19" s="51"/>
      <c r="G19" s="51"/>
      <c r="H19" s="51"/>
      <c r="I19" s="51"/>
      <c r="J19" s="51"/>
      <c r="K19" s="52"/>
    </row>
    <row r="20" spans="2:11" s="53" customFormat="1" ht="12.75">
      <c r="B20" s="50"/>
      <c r="C20" s="51"/>
      <c r="D20" s="51"/>
      <c r="E20" s="51"/>
      <c r="F20" s="51"/>
      <c r="G20" s="51"/>
      <c r="H20" s="51"/>
      <c r="I20" s="51"/>
      <c r="J20" s="51"/>
      <c r="K20" s="52"/>
    </row>
    <row r="21" spans="2:11" s="53" customFormat="1" ht="12.75">
      <c r="B21" s="50"/>
      <c r="D21" s="51"/>
      <c r="E21" s="51"/>
      <c r="F21" s="51"/>
      <c r="G21" s="51"/>
      <c r="H21" s="51"/>
      <c r="I21" s="51"/>
      <c r="J21" s="51"/>
      <c r="K21" s="52"/>
    </row>
    <row r="22" spans="2:11" s="53" customFormat="1" ht="12.75">
      <c r="B22" s="50"/>
      <c r="C22" s="51"/>
      <c r="D22" s="51"/>
      <c r="E22" s="51"/>
      <c r="F22" s="51"/>
      <c r="G22" s="51"/>
      <c r="H22" s="51"/>
      <c r="I22" s="51"/>
      <c r="J22" s="51"/>
      <c r="K22" s="52"/>
    </row>
    <row r="23" spans="2:11" s="53" customFormat="1" ht="12.75">
      <c r="B23" s="50"/>
      <c r="C23" s="51"/>
      <c r="D23" s="51"/>
      <c r="E23" s="51"/>
      <c r="F23" s="51"/>
      <c r="G23" s="51"/>
      <c r="H23" s="51"/>
      <c r="I23" s="51"/>
      <c r="J23" s="51"/>
      <c r="K23" s="52"/>
    </row>
    <row r="24" spans="2:11" s="53" customFormat="1" ht="12.75">
      <c r="B24" s="50"/>
      <c r="C24" s="51"/>
      <c r="D24" s="51"/>
      <c r="E24" s="51"/>
      <c r="F24" s="51"/>
      <c r="G24" s="51"/>
      <c r="H24" s="51"/>
      <c r="I24" s="51"/>
      <c r="J24" s="51"/>
      <c r="K24" s="52"/>
    </row>
    <row r="25" spans="2:11" s="54" customFormat="1" ht="33.75">
      <c r="B25" s="367" t="s">
        <v>7</v>
      </c>
      <c r="C25" s="368"/>
      <c r="D25" s="368"/>
      <c r="E25" s="368"/>
      <c r="F25" s="368"/>
      <c r="G25" s="368"/>
      <c r="H25" s="368"/>
      <c r="I25" s="368"/>
      <c r="J25" s="368"/>
      <c r="K25" s="369"/>
    </row>
    <row r="26" spans="2:11" s="53" customFormat="1" ht="12.75">
      <c r="B26" s="55"/>
      <c r="C26" s="370" t="s">
        <v>75</v>
      </c>
      <c r="D26" s="370"/>
      <c r="E26" s="370"/>
      <c r="F26" s="370"/>
      <c r="G26" s="370"/>
      <c r="H26" s="370"/>
      <c r="I26" s="370"/>
      <c r="J26" s="370"/>
      <c r="K26" s="52"/>
    </row>
    <row r="27" spans="2:11" s="53" customFormat="1" ht="12.75">
      <c r="B27" s="50"/>
      <c r="C27" s="370" t="s">
        <v>76</v>
      </c>
      <c r="D27" s="370"/>
      <c r="E27" s="370"/>
      <c r="F27" s="370"/>
      <c r="G27" s="370"/>
      <c r="H27" s="370"/>
      <c r="I27" s="370"/>
      <c r="J27" s="370"/>
      <c r="K27" s="52"/>
    </row>
    <row r="28" spans="2:11" s="53" customFormat="1" ht="12.75">
      <c r="B28" s="50"/>
      <c r="C28" s="51"/>
      <c r="D28" s="51"/>
      <c r="E28" s="51"/>
      <c r="F28" s="51"/>
      <c r="G28" s="51"/>
      <c r="H28" s="51"/>
      <c r="I28" s="51"/>
      <c r="J28" s="51"/>
      <c r="K28" s="52"/>
    </row>
    <row r="29" spans="2:11" s="53" customFormat="1" ht="12.75">
      <c r="B29" s="50"/>
      <c r="C29" s="51"/>
      <c r="D29" s="51"/>
      <c r="E29" s="51"/>
      <c r="F29" s="51"/>
      <c r="G29" s="51"/>
      <c r="H29" s="51"/>
      <c r="I29" s="51"/>
      <c r="J29" s="51"/>
      <c r="K29" s="52"/>
    </row>
    <row r="30" spans="2:11" s="59" customFormat="1" ht="33.75">
      <c r="B30" s="50"/>
      <c r="C30" s="51"/>
      <c r="D30" s="51"/>
      <c r="E30" s="51"/>
      <c r="F30" s="56" t="s">
        <v>345</v>
      </c>
      <c r="G30" s="57"/>
      <c r="H30" s="57"/>
      <c r="I30" s="57"/>
      <c r="J30" s="57"/>
      <c r="K30" s="58"/>
    </row>
    <row r="31" spans="2:11" s="59" customFormat="1" ht="12.75">
      <c r="B31" s="60"/>
      <c r="C31" s="57"/>
      <c r="D31" s="57"/>
      <c r="E31" s="57"/>
      <c r="F31" s="57"/>
      <c r="G31" s="57"/>
      <c r="H31" s="57"/>
      <c r="I31" s="57"/>
      <c r="J31" s="57"/>
      <c r="K31" s="58"/>
    </row>
    <row r="32" spans="2:11" s="59" customFormat="1" ht="12.75">
      <c r="B32" s="60"/>
      <c r="C32" s="57"/>
      <c r="D32" s="57"/>
      <c r="E32" s="57"/>
      <c r="F32" s="57"/>
      <c r="G32" s="57"/>
      <c r="H32" s="57"/>
      <c r="I32" s="57"/>
      <c r="J32" s="57"/>
      <c r="K32" s="58"/>
    </row>
    <row r="33" spans="2:11" s="59" customFormat="1" ht="12.75">
      <c r="B33" s="60"/>
      <c r="C33" s="57"/>
      <c r="D33" s="57"/>
      <c r="E33" s="57"/>
      <c r="F33" s="57"/>
      <c r="G33" s="57"/>
      <c r="H33" s="57"/>
      <c r="I33" s="57"/>
      <c r="J33" s="57"/>
      <c r="K33" s="58"/>
    </row>
    <row r="34" spans="2:11" s="59" customFormat="1" ht="12.75">
      <c r="B34" s="60"/>
      <c r="C34" s="57"/>
      <c r="D34" s="57"/>
      <c r="E34" s="57"/>
      <c r="F34" s="57"/>
      <c r="G34" s="57"/>
      <c r="H34" s="57"/>
      <c r="I34" s="57"/>
      <c r="J34" s="57"/>
      <c r="K34" s="58"/>
    </row>
    <row r="35" spans="2:11" s="59" customFormat="1" ht="12.75">
      <c r="B35" s="60"/>
      <c r="C35" s="57"/>
      <c r="D35" s="57"/>
      <c r="E35" s="57"/>
      <c r="F35" s="57"/>
      <c r="G35" s="57"/>
      <c r="H35" s="57"/>
      <c r="I35" s="57"/>
      <c r="J35" s="57"/>
      <c r="K35" s="58"/>
    </row>
    <row r="36" spans="2:11" s="59" customFormat="1" ht="12.75">
      <c r="B36" s="60"/>
      <c r="C36" s="57"/>
      <c r="D36" s="57"/>
      <c r="E36" s="57"/>
      <c r="F36" s="57"/>
      <c r="G36" s="57"/>
      <c r="H36" s="57"/>
      <c r="I36" s="57"/>
      <c r="J36" s="57"/>
      <c r="K36" s="58"/>
    </row>
    <row r="37" spans="2:11" s="59" customFormat="1" ht="12.75">
      <c r="B37" s="60"/>
      <c r="C37" s="57"/>
      <c r="D37" s="57"/>
      <c r="E37" s="57"/>
      <c r="F37" s="57"/>
      <c r="G37" s="57"/>
      <c r="H37" s="57"/>
      <c r="I37" s="57"/>
      <c r="J37" s="57"/>
      <c r="K37" s="58"/>
    </row>
    <row r="38" spans="2:11" s="59" customFormat="1" ht="12.75">
      <c r="B38" s="60"/>
      <c r="C38" s="57"/>
      <c r="D38" s="57"/>
      <c r="E38" s="57"/>
      <c r="F38" s="57"/>
      <c r="G38" s="57"/>
      <c r="H38" s="57"/>
      <c r="I38" s="57"/>
      <c r="J38" s="57"/>
      <c r="K38" s="58"/>
    </row>
    <row r="39" spans="2:11" s="59" customFormat="1" ht="12.75">
      <c r="B39" s="60"/>
      <c r="C39" s="57"/>
      <c r="D39" s="57"/>
      <c r="E39" s="57"/>
      <c r="F39" s="57"/>
      <c r="G39" s="57"/>
      <c r="H39" s="57"/>
      <c r="I39" s="57"/>
      <c r="J39" s="57"/>
      <c r="K39" s="58"/>
    </row>
    <row r="40" spans="2:11" s="59" customFormat="1" ht="12.75">
      <c r="B40" s="60"/>
      <c r="C40" s="57"/>
      <c r="D40" s="57"/>
      <c r="E40" s="57"/>
      <c r="F40" s="57"/>
      <c r="G40" s="57"/>
      <c r="H40" s="57"/>
      <c r="I40" s="57"/>
      <c r="J40" s="57"/>
      <c r="K40" s="58"/>
    </row>
    <row r="41" spans="2:11" s="59" customFormat="1" ht="12.75">
      <c r="B41" s="60"/>
      <c r="C41" s="57"/>
      <c r="D41" s="57"/>
      <c r="E41" s="57"/>
      <c r="F41" s="57"/>
      <c r="G41" s="57"/>
      <c r="H41" s="57"/>
      <c r="I41" s="57"/>
      <c r="J41" s="57"/>
      <c r="K41" s="58"/>
    </row>
    <row r="42" spans="2:11" s="59" customFormat="1" ht="12.75">
      <c r="B42" s="60"/>
      <c r="C42" s="57"/>
      <c r="D42" s="57"/>
      <c r="E42" s="57"/>
      <c r="F42" s="57"/>
      <c r="G42" s="57"/>
      <c r="H42" s="57"/>
      <c r="I42" s="57"/>
      <c r="J42" s="57"/>
      <c r="K42" s="58"/>
    </row>
    <row r="43" spans="2:11" s="59" customFormat="1" ht="12.75">
      <c r="B43" s="60"/>
      <c r="C43" s="57"/>
      <c r="D43" s="57"/>
      <c r="E43" s="57"/>
      <c r="F43" s="57"/>
      <c r="G43" s="57"/>
      <c r="H43" s="57"/>
      <c r="I43" s="57"/>
      <c r="J43" s="57"/>
      <c r="K43" s="58"/>
    </row>
    <row r="44" spans="2:11" s="59" customFormat="1" ht="12.75">
      <c r="B44" s="60"/>
      <c r="C44" s="57"/>
      <c r="D44" s="57"/>
      <c r="E44" s="57"/>
      <c r="F44" s="57"/>
      <c r="G44" s="57"/>
      <c r="H44" s="57"/>
      <c r="I44" s="57"/>
      <c r="J44" s="57"/>
      <c r="K44" s="58"/>
    </row>
    <row r="45" spans="2:11" s="59" customFormat="1" ht="9" customHeight="1">
      <c r="B45" s="60"/>
      <c r="C45" s="57"/>
      <c r="D45" s="57"/>
      <c r="E45" s="57"/>
      <c r="F45" s="57"/>
      <c r="G45" s="57"/>
      <c r="H45" s="57"/>
      <c r="I45" s="57"/>
      <c r="J45" s="57"/>
      <c r="K45" s="58"/>
    </row>
    <row r="46" spans="2:11" s="59" customFormat="1" ht="12.75">
      <c r="B46" s="60"/>
      <c r="C46" s="57"/>
      <c r="D46" s="57"/>
      <c r="E46" s="57"/>
      <c r="F46" s="57"/>
      <c r="G46" s="57"/>
      <c r="H46" s="57"/>
      <c r="I46" s="57"/>
      <c r="J46" s="57"/>
      <c r="K46" s="58"/>
    </row>
    <row r="47" spans="2:11" s="59" customFormat="1" ht="12.75">
      <c r="B47" s="60"/>
      <c r="C47" s="57"/>
      <c r="D47" s="57"/>
      <c r="E47" s="57"/>
      <c r="F47" s="57"/>
      <c r="G47" s="57"/>
      <c r="H47" s="57"/>
      <c r="I47" s="57"/>
      <c r="J47" s="57"/>
      <c r="K47" s="58"/>
    </row>
    <row r="48" spans="2:11" s="42" customFormat="1" ht="12.75" customHeight="1">
      <c r="B48" s="36"/>
      <c r="C48" s="37" t="s">
        <v>97</v>
      </c>
      <c r="D48" s="37"/>
      <c r="E48" s="37"/>
      <c r="F48" s="37"/>
      <c r="G48" s="37"/>
      <c r="H48" s="366" t="s">
        <v>206</v>
      </c>
      <c r="I48" s="366"/>
      <c r="J48" s="37"/>
      <c r="K48" s="41"/>
    </row>
    <row r="49" spans="2:11" s="42" customFormat="1" ht="12.75" customHeight="1">
      <c r="B49" s="36"/>
      <c r="C49" s="37" t="s">
        <v>98</v>
      </c>
      <c r="D49" s="37"/>
      <c r="E49" s="37"/>
      <c r="F49" s="37"/>
      <c r="G49" s="37"/>
      <c r="H49" s="365" t="s">
        <v>207</v>
      </c>
      <c r="I49" s="365"/>
      <c r="J49" s="37"/>
      <c r="K49" s="41"/>
    </row>
    <row r="50" spans="2:11" s="42" customFormat="1" ht="12.75" customHeight="1">
      <c r="B50" s="36"/>
      <c r="C50" s="37" t="s">
        <v>92</v>
      </c>
      <c r="D50" s="37"/>
      <c r="E50" s="37"/>
      <c r="F50" s="37"/>
      <c r="G50" s="37"/>
      <c r="H50" s="365" t="s">
        <v>99</v>
      </c>
      <c r="I50" s="365"/>
      <c r="J50" s="37"/>
      <c r="K50" s="41"/>
    </row>
    <row r="51" spans="2:11" s="42" customFormat="1" ht="12.75" customHeight="1">
      <c r="B51" s="36"/>
      <c r="C51" s="37" t="s">
        <v>93</v>
      </c>
      <c r="D51" s="37"/>
      <c r="E51" s="37"/>
      <c r="F51" s="37"/>
      <c r="G51" s="37"/>
      <c r="H51" s="365" t="s">
        <v>99</v>
      </c>
      <c r="I51" s="365"/>
      <c r="J51" s="37"/>
      <c r="K51" s="41"/>
    </row>
    <row r="52" spans="2:11" s="53" customFormat="1" ht="12.75">
      <c r="B52" s="50"/>
      <c r="C52" s="51"/>
      <c r="D52" s="51"/>
      <c r="E52" s="51"/>
      <c r="F52" s="51"/>
      <c r="G52" s="51"/>
      <c r="H52" s="51"/>
      <c r="I52" s="51"/>
      <c r="J52" s="51"/>
      <c r="K52" s="52"/>
    </row>
    <row r="53" spans="2:11" s="64" customFormat="1" ht="12.75" customHeight="1">
      <c r="B53" s="61"/>
      <c r="C53" s="37" t="s">
        <v>100</v>
      </c>
      <c r="D53" s="37"/>
      <c r="E53" s="37"/>
      <c r="F53" s="37"/>
      <c r="G53" s="49" t="s">
        <v>94</v>
      </c>
      <c r="H53" s="366" t="s">
        <v>352</v>
      </c>
      <c r="I53" s="366"/>
      <c r="J53" s="62"/>
      <c r="K53" s="63"/>
    </row>
    <row r="54" spans="2:11" s="64" customFormat="1" ht="12.75" customHeight="1">
      <c r="B54" s="61"/>
      <c r="C54" s="37"/>
      <c r="D54" s="37"/>
      <c r="E54" s="37"/>
      <c r="F54" s="37"/>
      <c r="G54" s="49" t="s">
        <v>95</v>
      </c>
      <c r="H54" s="365" t="s">
        <v>348</v>
      </c>
      <c r="I54" s="365"/>
      <c r="J54" s="62"/>
      <c r="K54" s="63"/>
    </row>
    <row r="55" spans="2:11" s="64" customFormat="1" ht="7.5" customHeight="1">
      <c r="B55" s="61"/>
      <c r="C55" s="37"/>
      <c r="D55" s="37"/>
      <c r="E55" s="37"/>
      <c r="F55" s="37"/>
      <c r="G55" s="49"/>
      <c r="H55" s="49"/>
      <c r="I55" s="49"/>
      <c r="J55" s="62"/>
      <c r="K55" s="63"/>
    </row>
    <row r="56" spans="2:11" s="64" customFormat="1" ht="12.75" customHeight="1">
      <c r="B56" s="61"/>
      <c r="C56" s="37" t="s">
        <v>96</v>
      </c>
      <c r="D56" s="37"/>
      <c r="E56" s="37"/>
      <c r="F56" s="49"/>
      <c r="G56" s="37"/>
      <c r="H56" s="38"/>
      <c r="I56" s="38"/>
      <c r="J56" s="62"/>
      <c r="K56" s="63"/>
    </row>
    <row r="57" spans="2:11" ht="22.5" customHeight="1">
      <c r="B57" s="65"/>
      <c r="C57" s="66"/>
      <c r="D57" s="66"/>
      <c r="E57" s="66"/>
      <c r="F57" s="66"/>
      <c r="G57" s="66"/>
      <c r="H57" s="66"/>
      <c r="I57" s="66"/>
      <c r="J57" s="66"/>
      <c r="K57" s="67"/>
    </row>
    <row r="58" ht="6.75" customHeight="1"/>
  </sheetData>
  <sheetProtection/>
  <mergeCells count="9">
    <mergeCell ref="H54:I54"/>
    <mergeCell ref="H49:I49"/>
    <mergeCell ref="H50:I50"/>
    <mergeCell ref="H51:I51"/>
    <mergeCell ref="H53:I53"/>
    <mergeCell ref="B25:K25"/>
    <mergeCell ref="C26:J26"/>
    <mergeCell ref="C27:J27"/>
    <mergeCell ref="H48:I4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66FF"/>
  </sheetPr>
  <dimension ref="B1:M83"/>
  <sheetViews>
    <sheetView zoomScalePageLayoutView="0" workbookViewId="0" topLeftCell="A7">
      <selection activeCell="M41" sqref="M41"/>
    </sheetView>
  </sheetViews>
  <sheetFormatPr defaultColWidth="9.140625" defaultRowHeight="12.75"/>
  <cols>
    <col min="1" max="1" width="7.421875" style="104" customWidth="1"/>
    <col min="2" max="2" width="3.7109375" style="105" customWidth="1"/>
    <col min="3" max="3" width="2.7109375" style="105" customWidth="1"/>
    <col min="4" max="4" width="4.00390625" style="105" customWidth="1"/>
    <col min="5" max="5" width="40.57421875" style="104" customWidth="1"/>
    <col min="6" max="6" width="8.28125" style="104" customWidth="1"/>
    <col min="7" max="7" width="15.7109375" style="106" customWidth="1"/>
    <col min="8" max="8" width="14.7109375" style="106" customWidth="1"/>
    <col min="9" max="9" width="2.7109375" style="104" customWidth="1"/>
    <col min="10" max="10" width="9.57421875" style="104" bestFit="1" customWidth="1"/>
    <col min="11" max="11" width="20.28125" style="104" customWidth="1"/>
    <col min="12" max="12" width="9.140625" style="104" customWidth="1"/>
    <col min="13" max="13" width="12.140625" style="104" customWidth="1"/>
    <col min="14" max="16384" width="9.140625" style="104" customWidth="1"/>
  </cols>
  <sheetData>
    <row r="1" spans="2:8" s="32" customFormat="1" ht="17.25" customHeight="1">
      <c r="B1" s="69"/>
      <c r="C1" s="69"/>
      <c r="D1" s="69"/>
      <c r="G1" s="70"/>
      <c r="H1" s="70"/>
    </row>
    <row r="2" spans="2:8" s="74" customFormat="1" ht="18">
      <c r="B2" s="211" t="s">
        <v>222</v>
      </c>
      <c r="C2" s="72"/>
      <c r="D2" s="72"/>
      <c r="E2" s="73"/>
      <c r="H2" s="75" t="s">
        <v>208</v>
      </c>
    </row>
    <row r="3" spans="2:8" s="74" customFormat="1" ht="9" customHeight="1">
      <c r="B3" s="71"/>
      <c r="C3" s="72"/>
      <c r="D3" s="72"/>
      <c r="E3" s="73"/>
      <c r="G3" s="75"/>
      <c r="H3" s="75"/>
    </row>
    <row r="4" spans="2:8" s="76" customFormat="1" ht="18" customHeight="1">
      <c r="B4" s="371" t="s">
        <v>343</v>
      </c>
      <c r="C4" s="371"/>
      <c r="D4" s="371"/>
      <c r="E4" s="371"/>
      <c r="F4" s="371"/>
      <c r="G4" s="371"/>
      <c r="H4" s="371"/>
    </row>
    <row r="5" spans="2:8" s="53" customFormat="1" ht="14.25" customHeight="1">
      <c r="B5" s="77"/>
      <c r="C5" s="77"/>
      <c r="D5" s="77"/>
      <c r="G5" s="78"/>
      <c r="H5" s="75" t="s">
        <v>208</v>
      </c>
    </row>
    <row r="6" spans="2:8" s="53" customFormat="1" ht="12" customHeight="1">
      <c r="B6" s="375" t="s">
        <v>2</v>
      </c>
      <c r="C6" s="377" t="s">
        <v>8</v>
      </c>
      <c r="D6" s="378"/>
      <c r="E6" s="379"/>
      <c r="F6" s="375" t="s">
        <v>9</v>
      </c>
      <c r="G6" s="81" t="s">
        <v>134</v>
      </c>
      <c r="H6" s="81" t="s">
        <v>134</v>
      </c>
    </row>
    <row r="7" spans="2:8" s="53" customFormat="1" ht="12" customHeight="1">
      <c r="B7" s="376"/>
      <c r="C7" s="380"/>
      <c r="D7" s="381"/>
      <c r="E7" s="382"/>
      <c r="F7" s="376"/>
      <c r="G7" s="82" t="s">
        <v>135</v>
      </c>
      <c r="H7" s="83" t="s">
        <v>191</v>
      </c>
    </row>
    <row r="8" spans="2:8" s="87" customFormat="1" ht="24.75" customHeight="1">
      <c r="B8" s="84" t="s">
        <v>3</v>
      </c>
      <c r="C8" s="372" t="s">
        <v>192</v>
      </c>
      <c r="D8" s="373"/>
      <c r="E8" s="374"/>
      <c r="F8" s="86"/>
      <c r="G8" s="161">
        <f>G9+G12+G13+G21+G29+G30+G31</f>
        <v>143617626.0552</v>
      </c>
      <c r="H8" s="161">
        <f>H9+H12+H13+H21+H29+H30+H31</f>
        <v>265751226</v>
      </c>
    </row>
    <row r="9" spans="2:13" s="87" customFormat="1" ht="16.5" customHeight="1">
      <c r="B9" s="88"/>
      <c r="C9" s="85">
        <v>1</v>
      </c>
      <c r="D9" s="80" t="s">
        <v>10</v>
      </c>
      <c r="E9" s="89"/>
      <c r="F9" s="90">
        <v>1</v>
      </c>
      <c r="G9" s="161">
        <f>SUM(G10:G11)</f>
        <v>1880263.1245000185</v>
      </c>
      <c r="H9" s="161">
        <f>H10+H11</f>
        <v>20073285</v>
      </c>
      <c r="M9" s="162"/>
    </row>
    <row r="10" spans="2:13" s="94" customFormat="1" ht="16.5" customHeight="1">
      <c r="B10" s="88"/>
      <c r="C10" s="85"/>
      <c r="D10" s="91" t="s">
        <v>101</v>
      </c>
      <c r="E10" s="92" t="s">
        <v>28</v>
      </c>
      <c r="F10" s="93"/>
      <c r="G10" s="161">
        <v>1829606.4185000185</v>
      </c>
      <c r="H10" s="199">
        <v>19807601</v>
      </c>
      <c r="K10" s="87"/>
      <c r="M10" s="181"/>
    </row>
    <row r="11" spans="2:13" s="94" customFormat="1" ht="16.5" customHeight="1">
      <c r="B11" s="95"/>
      <c r="C11" s="85"/>
      <c r="D11" s="91" t="s">
        <v>101</v>
      </c>
      <c r="E11" s="92" t="s">
        <v>29</v>
      </c>
      <c r="F11" s="93"/>
      <c r="G11" s="199">
        <v>50656.706</v>
      </c>
      <c r="H11" s="199">
        <v>265684</v>
      </c>
      <c r="K11" s="87"/>
      <c r="M11" s="182"/>
    </row>
    <row r="12" spans="2:8" s="87" customFormat="1" ht="16.5" customHeight="1">
      <c r="B12" s="95"/>
      <c r="C12" s="85">
        <v>2</v>
      </c>
      <c r="D12" s="80" t="s">
        <v>193</v>
      </c>
      <c r="E12" s="89"/>
      <c r="F12" s="90"/>
      <c r="G12" s="161"/>
      <c r="H12" s="161"/>
    </row>
    <row r="13" spans="2:8" s="87" customFormat="1" ht="16.5" customHeight="1">
      <c r="B13" s="88"/>
      <c r="C13" s="85">
        <v>3</v>
      </c>
      <c r="D13" s="80" t="s">
        <v>194</v>
      </c>
      <c r="E13" s="89"/>
      <c r="F13" s="90"/>
      <c r="G13" s="161">
        <f>SUM(G14:G20)</f>
        <v>139228027.21130002</v>
      </c>
      <c r="H13" s="161">
        <f>H14+H15+H16+H17+H18+H19+H20</f>
        <v>233843535</v>
      </c>
    </row>
    <row r="14" spans="2:11" s="94" customFormat="1" ht="16.5" customHeight="1">
      <c r="B14" s="88"/>
      <c r="C14" s="96"/>
      <c r="D14" s="91" t="s">
        <v>101</v>
      </c>
      <c r="E14" s="92" t="s">
        <v>102</v>
      </c>
      <c r="F14" s="93">
        <v>2</v>
      </c>
      <c r="G14" s="199">
        <v>123269544.78</v>
      </c>
      <c r="H14" s="199">
        <v>217122642</v>
      </c>
      <c r="K14" s="87"/>
    </row>
    <row r="15" spans="2:11" s="94" customFormat="1" ht="16.5" customHeight="1">
      <c r="B15" s="95"/>
      <c r="C15" s="97"/>
      <c r="D15" s="98" t="s">
        <v>101</v>
      </c>
      <c r="E15" s="92" t="s">
        <v>103</v>
      </c>
      <c r="F15" s="93"/>
      <c r="G15" s="161"/>
      <c r="H15" s="161"/>
      <c r="K15" s="87"/>
    </row>
    <row r="16" spans="2:11" s="94" customFormat="1" ht="16.5" customHeight="1">
      <c r="B16" s="95"/>
      <c r="C16" s="97"/>
      <c r="D16" s="98" t="s">
        <v>101</v>
      </c>
      <c r="E16" s="92" t="s">
        <v>104</v>
      </c>
      <c r="F16" s="93"/>
      <c r="G16" s="214">
        <v>811395</v>
      </c>
      <c r="H16" s="199">
        <v>68400</v>
      </c>
      <c r="K16" s="87"/>
    </row>
    <row r="17" spans="2:11" s="94" customFormat="1" ht="16.5" customHeight="1">
      <c r="B17" s="95"/>
      <c r="C17" s="97"/>
      <c r="D17" s="98" t="s">
        <v>101</v>
      </c>
      <c r="E17" s="92" t="s">
        <v>105</v>
      </c>
      <c r="F17" s="93"/>
      <c r="G17" s="199">
        <v>15147087.431300001</v>
      </c>
      <c r="H17" s="199">
        <v>16652493</v>
      </c>
      <c r="K17" s="162"/>
    </row>
    <row r="18" spans="2:11" s="94" customFormat="1" ht="16.5" customHeight="1">
      <c r="B18" s="95"/>
      <c r="C18" s="97"/>
      <c r="D18" s="98" t="s">
        <v>101</v>
      </c>
      <c r="E18" s="92" t="s">
        <v>108</v>
      </c>
      <c r="F18" s="93"/>
      <c r="G18" s="217"/>
      <c r="H18" s="161"/>
      <c r="K18" s="219"/>
    </row>
    <row r="19" spans="2:11" s="94" customFormat="1" ht="16.5" customHeight="1">
      <c r="B19" s="95"/>
      <c r="C19" s="97"/>
      <c r="D19" s="98" t="s">
        <v>101</v>
      </c>
      <c r="E19" s="92"/>
      <c r="F19" s="93"/>
      <c r="G19" s="161"/>
      <c r="H19" s="161"/>
      <c r="K19" s="219"/>
    </row>
    <row r="20" spans="2:8" s="94" customFormat="1" ht="16.5" customHeight="1">
      <c r="B20" s="95"/>
      <c r="C20" s="97"/>
      <c r="D20" s="98" t="s">
        <v>101</v>
      </c>
      <c r="E20" s="92"/>
      <c r="F20" s="93"/>
      <c r="G20" s="161"/>
      <c r="H20" s="161"/>
    </row>
    <row r="21" spans="2:11" s="87" customFormat="1" ht="16.5" customHeight="1">
      <c r="B21" s="95"/>
      <c r="C21" s="85">
        <v>4</v>
      </c>
      <c r="D21" s="80" t="s">
        <v>11</v>
      </c>
      <c r="E21" s="89"/>
      <c r="F21" s="90"/>
      <c r="G21" s="161">
        <f>G22+G26</f>
        <v>2509335.7194</v>
      </c>
      <c r="H21" s="161">
        <f>H22+H23+H24+H25+H26+H27+H28</f>
        <v>11834406</v>
      </c>
      <c r="K21" s="94"/>
    </row>
    <row r="22" spans="2:8" s="94" customFormat="1" ht="16.5" customHeight="1">
      <c r="B22" s="88"/>
      <c r="C22" s="96"/>
      <c r="D22" s="91" t="s">
        <v>101</v>
      </c>
      <c r="E22" s="92" t="s">
        <v>223</v>
      </c>
      <c r="F22" s="93"/>
      <c r="G22" s="199">
        <v>2509335.7194</v>
      </c>
      <c r="H22" s="199">
        <v>11834406</v>
      </c>
    </row>
    <row r="23" spans="2:8" s="94" customFormat="1" ht="16.5" customHeight="1">
      <c r="B23" s="95"/>
      <c r="C23" s="97"/>
      <c r="D23" s="98" t="s">
        <v>101</v>
      </c>
      <c r="E23" s="92" t="s">
        <v>107</v>
      </c>
      <c r="F23" s="93"/>
      <c r="G23" s="161"/>
      <c r="H23" s="161"/>
    </row>
    <row r="24" spans="2:8" s="94" customFormat="1" ht="16.5" customHeight="1">
      <c r="B24" s="95"/>
      <c r="C24" s="97"/>
      <c r="D24" s="98" t="s">
        <v>101</v>
      </c>
      <c r="E24" s="92" t="s">
        <v>12</v>
      </c>
      <c r="F24" s="93"/>
      <c r="G24" s="161"/>
      <c r="H24" s="161"/>
    </row>
    <row r="25" spans="2:11" s="94" customFormat="1" ht="16.5" customHeight="1">
      <c r="B25" s="95"/>
      <c r="C25" s="97"/>
      <c r="D25" s="98" t="s">
        <v>101</v>
      </c>
      <c r="E25" s="92" t="s">
        <v>197</v>
      </c>
      <c r="F25" s="93"/>
      <c r="G25" s="161"/>
      <c r="H25" s="161"/>
      <c r="K25" s="219"/>
    </row>
    <row r="26" spans="2:8" s="94" customFormat="1" ht="16.5" customHeight="1">
      <c r="B26" s="95"/>
      <c r="C26" s="97"/>
      <c r="D26" s="98" t="s">
        <v>101</v>
      </c>
      <c r="E26" s="92" t="s">
        <v>13</v>
      </c>
      <c r="F26" s="93"/>
      <c r="G26" s="161"/>
      <c r="H26" s="161"/>
    </row>
    <row r="27" spans="2:8" s="94" customFormat="1" ht="16.5" customHeight="1">
      <c r="B27" s="95"/>
      <c r="C27" s="97"/>
      <c r="D27" s="98" t="s">
        <v>101</v>
      </c>
      <c r="E27" s="92" t="s">
        <v>14</v>
      </c>
      <c r="F27" s="93"/>
      <c r="G27" s="161"/>
      <c r="H27" s="161"/>
    </row>
    <row r="28" spans="2:8" s="94" customFormat="1" ht="16.5" customHeight="1">
      <c r="B28" s="95"/>
      <c r="C28" s="97"/>
      <c r="D28" s="98" t="s">
        <v>101</v>
      </c>
      <c r="E28" s="92"/>
      <c r="F28" s="93"/>
      <c r="G28" s="161"/>
      <c r="H28" s="161"/>
    </row>
    <row r="29" spans="2:8" s="87" customFormat="1" ht="16.5" customHeight="1">
      <c r="B29" s="95"/>
      <c r="C29" s="85">
        <v>5</v>
      </c>
      <c r="D29" s="80" t="s">
        <v>195</v>
      </c>
      <c r="E29" s="89"/>
      <c r="F29" s="90"/>
      <c r="G29" s="161"/>
      <c r="H29" s="161"/>
    </row>
    <row r="30" spans="2:8" s="87" customFormat="1" ht="16.5" customHeight="1">
      <c r="B30" s="88"/>
      <c r="C30" s="85">
        <v>6</v>
      </c>
      <c r="D30" s="80" t="s">
        <v>196</v>
      </c>
      <c r="E30" s="89"/>
      <c r="F30" s="90"/>
      <c r="G30" s="161"/>
      <c r="H30" s="161"/>
    </row>
    <row r="31" spans="2:8" s="87" customFormat="1" ht="16.5" customHeight="1">
      <c r="B31" s="88"/>
      <c r="C31" s="85">
        <v>7</v>
      </c>
      <c r="D31" s="80" t="s">
        <v>15</v>
      </c>
      <c r="E31" s="89"/>
      <c r="F31" s="90"/>
      <c r="G31" s="161"/>
      <c r="H31" s="161">
        <f>H32+H33</f>
        <v>0</v>
      </c>
    </row>
    <row r="32" spans="2:8" s="87" customFormat="1" ht="16.5" customHeight="1">
      <c r="B32" s="88"/>
      <c r="C32" s="85"/>
      <c r="D32" s="91" t="s">
        <v>101</v>
      </c>
      <c r="E32" s="89" t="s">
        <v>198</v>
      </c>
      <c r="F32" s="90"/>
      <c r="G32" s="161"/>
      <c r="H32" s="161"/>
    </row>
    <row r="33" spans="2:8" s="87" customFormat="1" ht="16.5" customHeight="1">
      <c r="B33" s="88"/>
      <c r="C33" s="85"/>
      <c r="D33" s="91" t="s">
        <v>101</v>
      </c>
      <c r="E33" s="178" t="s">
        <v>306</v>
      </c>
      <c r="F33" s="90"/>
      <c r="G33" s="161"/>
      <c r="H33" s="161"/>
    </row>
    <row r="34" spans="2:8" s="87" customFormat="1" ht="24.75" customHeight="1">
      <c r="B34" s="99" t="s">
        <v>4</v>
      </c>
      <c r="C34" s="372" t="s">
        <v>16</v>
      </c>
      <c r="D34" s="373"/>
      <c r="E34" s="374"/>
      <c r="F34" s="90"/>
      <c r="G34" s="161">
        <f>G35+G36+G41+G42+G43+G44</f>
        <v>21180767.3738</v>
      </c>
      <c r="H34" s="161">
        <f>H35+H36+H41+H42+H43+H44</f>
        <v>5853024</v>
      </c>
    </row>
    <row r="35" spans="2:8" s="87" customFormat="1" ht="16.5" customHeight="1">
      <c r="B35" s="88"/>
      <c r="C35" s="85">
        <v>1</v>
      </c>
      <c r="D35" s="80" t="s">
        <v>17</v>
      </c>
      <c r="E35" s="89"/>
      <c r="F35" s="90"/>
      <c r="G35" s="161"/>
      <c r="H35" s="161"/>
    </row>
    <row r="36" spans="2:8" s="87" customFormat="1" ht="16.5" customHeight="1">
      <c r="B36" s="88"/>
      <c r="C36" s="85">
        <v>2</v>
      </c>
      <c r="D36" s="80" t="s">
        <v>18</v>
      </c>
      <c r="E36" s="100"/>
      <c r="F36" s="90">
        <v>4</v>
      </c>
      <c r="G36" s="161">
        <f>SUM(G37:G44)</f>
        <v>21180767.3738</v>
      </c>
      <c r="H36" s="161">
        <f>H37+H38+H39+H40</f>
        <v>5853024</v>
      </c>
    </row>
    <row r="37" spans="2:8" s="94" customFormat="1" ht="16.5" customHeight="1">
      <c r="B37" s="88"/>
      <c r="C37" s="96"/>
      <c r="D37" s="91" t="s">
        <v>101</v>
      </c>
      <c r="E37" s="92" t="s">
        <v>23</v>
      </c>
      <c r="F37" s="93"/>
      <c r="G37" s="161"/>
      <c r="H37" s="161">
        <f>'Centro 08'!M8</f>
        <v>0</v>
      </c>
    </row>
    <row r="38" spans="2:8" s="94" customFormat="1" ht="16.5" customHeight="1">
      <c r="B38" s="95"/>
      <c r="C38" s="97"/>
      <c r="D38" s="98" t="s">
        <v>101</v>
      </c>
      <c r="E38" s="92" t="s">
        <v>5</v>
      </c>
      <c r="F38" s="93"/>
      <c r="G38" s="161"/>
      <c r="H38" s="161">
        <f>'Centro 08'!M9+'Centro 08'!M13</f>
        <v>0</v>
      </c>
    </row>
    <row r="39" spans="2:8" s="94" customFormat="1" ht="16.5" customHeight="1">
      <c r="B39" s="95"/>
      <c r="C39" s="97"/>
      <c r="D39" s="98" t="s">
        <v>101</v>
      </c>
      <c r="E39" s="92" t="s">
        <v>106</v>
      </c>
      <c r="F39" s="93"/>
      <c r="G39" s="199">
        <v>18710818.4738</v>
      </c>
      <c r="H39" s="199">
        <v>2816021</v>
      </c>
    </row>
    <row r="40" spans="2:8" s="94" customFormat="1" ht="16.5" customHeight="1">
      <c r="B40" s="95"/>
      <c r="C40" s="97"/>
      <c r="D40" s="98" t="s">
        <v>101</v>
      </c>
      <c r="E40" s="92" t="s">
        <v>115</v>
      </c>
      <c r="F40" s="93"/>
      <c r="G40" s="199">
        <v>2469948.9</v>
      </c>
      <c r="H40" s="199">
        <v>3037003</v>
      </c>
    </row>
    <row r="41" spans="2:11" s="87" customFormat="1" ht="16.5" customHeight="1">
      <c r="B41" s="95"/>
      <c r="C41" s="85">
        <v>3</v>
      </c>
      <c r="D41" s="80" t="s">
        <v>19</v>
      </c>
      <c r="E41" s="89"/>
      <c r="F41" s="90"/>
      <c r="G41" s="161"/>
      <c r="H41" s="161"/>
      <c r="K41" s="94"/>
    </row>
    <row r="42" spans="2:11" s="87" customFormat="1" ht="16.5" customHeight="1">
      <c r="B42" s="88"/>
      <c r="C42" s="85">
        <v>4</v>
      </c>
      <c r="D42" s="80" t="s">
        <v>20</v>
      </c>
      <c r="E42" s="89"/>
      <c r="F42" s="90"/>
      <c r="G42" s="161"/>
      <c r="H42" s="161"/>
      <c r="K42" s="94"/>
    </row>
    <row r="43" spans="2:11" s="87" customFormat="1" ht="16.5" customHeight="1">
      <c r="B43" s="88"/>
      <c r="C43" s="85">
        <v>5</v>
      </c>
      <c r="D43" s="80" t="s">
        <v>21</v>
      </c>
      <c r="E43" s="89"/>
      <c r="F43" s="90"/>
      <c r="G43" s="161"/>
      <c r="H43" s="161"/>
      <c r="K43" s="94"/>
    </row>
    <row r="44" spans="2:11" s="87" customFormat="1" ht="16.5" customHeight="1">
      <c r="B44" s="88"/>
      <c r="C44" s="85">
        <v>6</v>
      </c>
      <c r="D44" s="80" t="s">
        <v>22</v>
      </c>
      <c r="E44" s="89"/>
      <c r="F44" s="90"/>
      <c r="G44" s="161"/>
      <c r="H44" s="161"/>
      <c r="K44" s="94"/>
    </row>
    <row r="45" spans="2:11" s="87" customFormat="1" ht="30" customHeight="1">
      <c r="B45" s="90"/>
      <c r="C45" s="372" t="s">
        <v>53</v>
      </c>
      <c r="D45" s="373"/>
      <c r="E45" s="374"/>
      <c r="F45" s="90"/>
      <c r="G45" s="161">
        <f>G8+G34</f>
        <v>164798393.42900002</v>
      </c>
      <c r="H45" s="161">
        <f>H8+H34</f>
        <v>271604250</v>
      </c>
      <c r="K45" s="94"/>
    </row>
    <row r="46" spans="2:8" s="87" customFormat="1" ht="9.75" customHeight="1">
      <c r="B46" s="101"/>
      <c r="C46" s="101"/>
      <c r="D46" s="101"/>
      <c r="E46" s="101"/>
      <c r="F46" s="102"/>
      <c r="G46" s="103"/>
      <c r="H46" s="103"/>
    </row>
    <row r="47" spans="2:8" s="87" customFormat="1" ht="15.75" customHeight="1">
      <c r="B47" s="101"/>
      <c r="C47" s="101"/>
      <c r="D47" s="101"/>
      <c r="E47" s="101"/>
      <c r="F47" s="102"/>
      <c r="G47" s="346"/>
      <c r="H47" s="103"/>
    </row>
    <row r="48" ht="12.75">
      <c r="K48" s="87"/>
    </row>
    <row r="65" ht="12.75">
      <c r="E65" s="306"/>
    </row>
    <row r="66" ht="12.75">
      <c r="E66" s="306"/>
    </row>
    <row r="67" ht="12.75">
      <c r="E67" s="306"/>
    </row>
    <row r="68" ht="12.75">
      <c r="E68" s="306"/>
    </row>
    <row r="69" ht="12.75">
      <c r="E69" s="306"/>
    </row>
    <row r="70" ht="12.75">
      <c r="E70" s="306"/>
    </row>
    <row r="71" ht="12.75">
      <c r="E71" s="306"/>
    </row>
    <row r="72" ht="12.75">
      <c r="E72" s="306"/>
    </row>
    <row r="73" ht="12.75">
      <c r="E73" s="306"/>
    </row>
    <row r="81" ht="12.75">
      <c r="K81" s="309"/>
    </row>
    <row r="82" ht="12.75">
      <c r="K82" s="106"/>
    </row>
    <row r="83" ht="12.75">
      <c r="K83" s="106"/>
    </row>
  </sheetData>
  <sheetProtection/>
  <mergeCells count="7">
    <mergeCell ref="B4:H4"/>
    <mergeCell ref="C34:E34"/>
    <mergeCell ref="C45:E45"/>
    <mergeCell ref="F6:F7"/>
    <mergeCell ref="C6:E7"/>
    <mergeCell ref="B6:B7"/>
    <mergeCell ref="C8:E8"/>
  </mergeCells>
  <printOptions horizontalCentered="1" verticalCentered="1"/>
  <pageMargins left="0" right="0" top="0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B2:M56"/>
  <sheetViews>
    <sheetView zoomScalePageLayoutView="0" workbookViewId="0" topLeftCell="A25">
      <selection activeCell="G34" sqref="G34"/>
    </sheetView>
  </sheetViews>
  <sheetFormatPr defaultColWidth="9.140625" defaultRowHeight="12.75"/>
  <cols>
    <col min="1" max="1" width="7.8515625" style="104" customWidth="1"/>
    <col min="2" max="2" width="3.7109375" style="105" customWidth="1"/>
    <col min="3" max="3" width="2.7109375" style="105" customWidth="1"/>
    <col min="4" max="4" width="4.00390625" style="105" customWidth="1"/>
    <col min="5" max="5" width="40.57421875" style="104" customWidth="1"/>
    <col min="6" max="6" width="8.28125" style="104" customWidth="1"/>
    <col min="7" max="8" width="14.7109375" style="106" customWidth="1"/>
    <col min="9" max="9" width="3.7109375" style="104" customWidth="1"/>
    <col min="10" max="10" width="9.140625" style="104" customWidth="1"/>
    <col min="11" max="11" width="14.421875" style="104" customWidth="1"/>
    <col min="12" max="12" width="9.140625" style="104" customWidth="1"/>
    <col min="13" max="13" width="10.140625" style="104" bestFit="1" customWidth="1"/>
    <col min="14" max="16384" width="9.140625" style="104" customWidth="1"/>
  </cols>
  <sheetData>
    <row r="2" spans="2:8" s="74" customFormat="1" ht="18">
      <c r="B2" s="71" t="s">
        <v>222</v>
      </c>
      <c r="C2" s="72"/>
      <c r="D2" s="72"/>
      <c r="E2" s="73"/>
      <c r="H2" s="75" t="s">
        <v>208</v>
      </c>
    </row>
    <row r="3" spans="2:8" s="74" customFormat="1" ht="6" customHeight="1">
      <c r="B3" s="71"/>
      <c r="C3" s="72"/>
      <c r="D3" s="72"/>
      <c r="E3" s="73"/>
      <c r="G3" s="75"/>
      <c r="H3" s="75"/>
    </row>
    <row r="4" spans="2:8" s="76" customFormat="1" ht="14.25" customHeight="1">
      <c r="B4" s="371" t="s">
        <v>343</v>
      </c>
      <c r="C4" s="371"/>
      <c r="D4" s="371"/>
      <c r="E4" s="371"/>
      <c r="F4" s="371"/>
      <c r="G4" s="371"/>
      <c r="H4" s="371"/>
    </row>
    <row r="5" spans="2:8" s="53" customFormat="1" ht="13.5" customHeight="1">
      <c r="B5" s="77"/>
      <c r="C5" s="77"/>
      <c r="D5" s="77"/>
      <c r="G5" s="78"/>
      <c r="H5" s="75" t="s">
        <v>208</v>
      </c>
    </row>
    <row r="6" spans="2:8" s="76" customFormat="1" ht="12" customHeight="1">
      <c r="B6" s="375" t="s">
        <v>2</v>
      </c>
      <c r="C6" s="377" t="s">
        <v>48</v>
      </c>
      <c r="D6" s="378"/>
      <c r="E6" s="379"/>
      <c r="F6" s="375" t="s">
        <v>9</v>
      </c>
      <c r="G6" s="81" t="s">
        <v>134</v>
      </c>
      <c r="H6" s="81" t="s">
        <v>134</v>
      </c>
    </row>
    <row r="7" spans="2:8" s="76" customFormat="1" ht="13.5" customHeight="1">
      <c r="B7" s="376"/>
      <c r="C7" s="380"/>
      <c r="D7" s="381"/>
      <c r="E7" s="382"/>
      <c r="F7" s="376"/>
      <c r="G7" s="82" t="s">
        <v>135</v>
      </c>
      <c r="H7" s="83" t="s">
        <v>191</v>
      </c>
    </row>
    <row r="8" spans="2:8" s="87" customFormat="1" ht="24.75" customHeight="1">
      <c r="B8" s="99" t="s">
        <v>3</v>
      </c>
      <c r="C8" s="372" t="s">
        <v>49</v>
      </c>
      <c r="D8" s="373"/>
      <c r="E8" s="374"/>
      <c r="F8" s="90"/>
      <c r="G8" s="161">
        <f>SUM(G9+G13+G24+G25)</f>
        <v>116444742.9914</v>
      </c>
      <c r="H8" s="161">
        <f>H9+H10+H13+H24+H25</f>
        <v>159349692</v>
      </c>
    </row>
    <row r="9" spans="2:8" s="87" customFormat="1" ht="15.75" customHeight="1">
      <c r="B9" s="88"/>
      <c r="C9" s="85">
        <v>1</v>
      </c>
      <c r="D9" s="80" t="s">
        <v>24</v>
      </c>
      <c r="E9" s="89"/>
      <c r="F9" s="90"/>
      <c r="G9" s="161"/>
      <c r="H9" s="161"/>
    </row>
    <row r="10" spans="2:8" s="87" customFormat="1" ht="15.75" customHeight="1">
      <c r="B10" s="88"/>
      <c r="C10" s="85">
        <v>2</v>
      </c>
      <c r="D10" s="80" t="s">
        <v>25</v>
      </c>
      <c r="E10" s="89"/>
      <c r="F10" s="90"/>
      <c r="G10" s="161"/>
      <c r="H10" s="161">
        <f>H11+H12</f>
        <v>0</v>
      </c>
    </row>
    <row r="11" spans="2:13" s="94" customFormat="1" ht="15.75" customHeight="1">
      <c r="B11" s="88"/>
      <c r="C11" s="96"/>
      <c r="D11" s="91" t="s">
        <v>101</v>
      </c>
      <c r="E11" s="92" t="s">
        <v>109</v>
      </c>
      <c r="F11" s="93"/>
      <c r="G11" s="161"/>
      <c r="H11" s="161"/>
      <c r="J11" s="87"/>
      <c r="K11" s="87"/>
      <c r="L11" s="87"/>
      <c r="M11" s="87"/>
    </row>
    <row r="12" spans="2:13" s="94" customFormat="1" ht="15.75" customHeight="1">
      <c r="B12" s="95"/>
      <c r="C12" s="97"/>
      <c r="D12" s="98" t="s">
        <v>101</v>
      </c>
      <c r="E12" s="92" t="s">
        <v>199</v>
      </c>
      <c r="F12" s="93"/>
      <c r="G12" s="161"/>
      <c r="H12" s="161"/>
      <c r="J12" s="87"/>
      <c r="K12" s="87"/>
      <c r="L12" s="87"/>
      <c r="M12" s="87"/>
    </row>
    <row r="13" spans="2:8" s="87" customFormat="1" ht="15.75" customHeight="1">
      <c r="B13" s="95"/>
      <c r="C13" s="85">
        <v>3</v>
      </c>
      <c r="D13" s="80" t="s">
        <v>26</v>
      </c>
      <c r="E13" s="89"/>
      <c r="F13" s="90"/>
      <c r="G13" s="161">
        <f>SUM(G14:G23)</f>
        <v>116444742.9914</v>
      </c>
      <c r="H13" s="161">
        <f>H14+H15+H16+H17+H18+H19+H20+H21+H22+H23</f>
        <v>159349692</v>
      </c>
    </row>
    <row r="14" spans="2:13" s="94" customFormat="1" ht="15.75" customHeight="1">
      <c r="B14" s="88"/>
      <c r="C14" s="96"/>
      <c r="D14" s="91" t="s">
        <v>101</v>
      </c>
      <c r="E14" s="92" t="s">
        <v>32</v>
      </c>
      <c r="F14" s="93">
        <v>5</v>
      </c>
      <c r="G14" s="199">
        <v>36630701.4582</v>
      </c>
      <c r="H14" s="199">
        <v>45463419</v>
      </c>
      <c r="J14" s="87"/>
      <c r="K14" s="87"/>
      <c r="L14" s="87"/>
      <c r="M14" s="87"/>
    </row>
    <row r="15" spans="2:13" s="94" customFormat="1" ht="15.75" customHeight="1">
      <c r="B15" s="95"/>
      <c r="C15" s="97"/>
      <c r="D15" s="98" t="s">
        <v>101</v>
      </c>
      <c r="E15" s="92" t="s">
        <v>63</v>
      </c>
      <c r="F15" s="93"/>
      <c r="G15" s="161"/>
      <c r="H15" s="161"/>
      <c r="J15" s="87"/>
      <c r="K15" s="87"/>
      <c r="L15" s="87"/>
      <c r="M15" s="87"/>
    </row>
    <row r="16" spans="2:13" s="94" customFormat="1" ht="15.75" customHeight="1">
      <c r="B16" s="95"/>
      <c r="C16" s="97"/>
      <c r="D16" s="98" t="s">
        <v>101</v>
      </c>
      <c r="E16" s="92" t="s">
        <v>110</v>
      </c>
      <c r="F16" s="93"/>
      <c r="G16" s="218">
        <v>58906</v>
      </c>
      <c r="H16" s="199">
        <v>134111</v>
      </c>
      <c r="J16" s="87"/>
      <c r="K16" s="216"/>
      <c r="L16" s="87"/>
      <c r="M16" s="87"/>
    </row>
    <row r="17" spans="2:13" s="94" customFormat="1" ht="15.75" customHeight="1">
      <c r="B17" s="95"/>
      <c r="C17" s="97"/>
      <c r="D17" s="98" t="s">
        <v>101</v>
      </c>
      <c r="E17" s="92" t="s">
        <v>111</v>
      </c>
      <c r="F17" s="93"/>
      <c r="G17" s="218">
        <v>26629</v>
      </c>
      <c r="H17" s="199">
        <v>100329</v>
      </c>
      <c r="J17" s="87"/>
      <c r="K17" s="87"/>
      <c r="L17" s="87"/>
      <c r="M17" s="87"/>
    </row>
    <row r="18" spans="2:13" s="94" customFormat="1" ht="15.75" customHeight="1">
      <c r="B18" s="95"/>
      <c r="C18" s="97"/>
      <c r="D18" s="98" t="s">
        <v>101</v>
      </c>
      <c r="E18" s="92" t="s">
        <v>112</v>
      </c>
      <c r="F18" s="93"/>
      <c r="G18" s="161"/>
      <c r="H18" s="161"/>
      <c r="J18" s="87"/>
      <c r="K18" s="220"/>
      <c r="L18" s="87"/>
      <c r="M18" s="87"/>
    </row>
    <row r="19" spans="2:13" s="94" customFormat="1" ht="15.75" customHeight="1">
      <c r="B19" s="95"/>
      <c r="C19" s="97"/>
      <c r="D19" s="98" t="s">
        <v>101</v>
      </c>
      <c r="E19" s="92" t="s">
        <v>113</v>
      </c>
      <c r="F19" s="93"/>
      <c r="G19" s="161"/>
      <c r="H19" s="161"/>
      <c r="J19" s="87"/>
      <c r="K19" s="87"/>
      <c r="L19" s="87"/>
      <c r="M19" s="87"/>
    </row>
    <row r="20" spans="2:13" s="94" customFormat="1" ht="15.75" customHeight="1">
      <c r="B20" s="95"/>
      <c r="C20" s="97"/>
      <c r="D20" s="98" t="s">
        <v>101</v>
      </c>
      <c r="E20" s="92" t="s">
        <v>114</v>
      </c>
      <c r="F20" s="93"/>
      <c r="G20" s="199">
        <v>0</v>
      </c>
      <c r="H20" s="199">
        <v>37047</v>
      </c>
      <c r="J20" s="87"/>
      <c r="K20" s="87"/>
      <c r="L20" s="87"/>
      <c r="M20" s="87"/>
    </row>
    <row r="21" spans="2:13" s="94" customFormat="1" ht="15.75" customHeight="1">
      <c r="B21" s="95"/>
      <c r="C21" s="97"/>
      <c r="D21" s="98" t="s">
        <v>101</v>
      </c>
      <c r="E21" s="92" t="s">
        <v>108</v>
      </c>
      <c r="F21" s="93"/>
      <c r="G21" s="161"/>
      <c r="H21" s="161"/>
      <c r="J21" s="87"/>
      <c r="K21" s="87"/>
      <c r="L21" s="87"/>
      <c r="M21" s="87"/>
    </row>
    <row r="22" spans="2:13" s="94" customFormat="1" ht="15.75" customHeight="1">
      <c r="B22" s="95"/>
      <c r="C22" s="97"/>
      <c r="D22" s="98" t="s">
        <v>101</v>
      </c>
      <c r="E22" s="92" t="s">
        <v>117</v>
      </c>
      <c r="F22" s="93"/>
      <c r="G22" s="161">
        <v>45000000</v>
      </c>
      <c r="H22" s="161"/>
      <c r="J22" s="87"/>
      <c r="K22" s="87"/>
      <c r="L22" s="87"/>
      <c r="M22" s="87"/>
    </row>
    <row r="23" spans="2:13" s="94" customFormat="1" ht="15.75" customHeight="1">
      <c r="B23" s="95"/>
      <c r="C23" s="97"/>
      <c r="D23" s="98" t="s">
        <v>101</v>
      </c>
      <c r="E23" s="92" t="s">
        <v>116</v>
      </c>
      <c r="F23" s="93">
        <v>3</v>
      </c>
      <c r="G23" s="199">
        <v>34728506.533199996</v>
      </c>
      <c r="H23" s="199">
        <v>113614786</v>
      </c>
      <c r="J23" s="87"/>
      <c r="K23" s="87"/>
      <c r="L23" s="87"/>
      <c r="M23" s="87"/>
    </row>
    <row r="24" spans="2:8" s="87" customFormat="1" ht="15.75" customHeight="1">
      <c r="B24" s="95"/>
      <c r="C24" s="85">
        <v>4</v>
      </c>
      <c r="D24" s="80" t="s">
        <v>27</v>
      </c>
      <c r="E24" s="89"/>
      <c r="F24" s="90"/>
      <c r="G24" s="161"/>
      <c r="H24" s="161"/>
    </row>
    <row r="25" spans="2:8" s="87" customFormat="1" ht="15.75" customHeight="1">
      <c r="B25" s="88"/>
      <c r="C25" s="85">
        <v>5</v>
      </c>
      <c r="D25" s="80" t="s">
        <v>200</v>
      </c>
      <c r="E25" s="89"/>
      <c r="F25" s="90"/>
      <c r="G25" s="161"/>
      <c r="H25" s="161"/>
    </row>
    <row r="26" spans="2:8" s="87" customFormat="1" ht="24.75" customHeight="1">
      <c r="B26" s="99" t="s">
        <v>4</v>
      </c>
      <c r="C26" s="372" t="s">
        <v>50</v>
      </c>
      <c r="D26" s="373"/>
      <c r="E26" s="374"/>
      <c r="F26" s="90"/>
      <c r="G26" s="161"/>
      <c r="H26" s="161">
        <f>H27+H30+H31+H32</f>
        <v>0</v>
      </c>
    </row>
    <row r="27" spans="2:8" s="87" customFormat="1" ht="15.75" customHeight="1">
      <c r="B27" s="88"/>
      <c r="C27" s="85">
        <v>1</v>
      </c>
      <c r="D27" s="80" t="s">
        <v>33</v>
      </c>
      <c r="E27" s="100"/>
      <c r="F27" s="90"/>
      <c r="G27" s="161"/>
      <c r="H27" s="161">
        <f>H28+H29</f>
        <v>0</v>
      </c>
    </row>
    <row r="28" spans="2:13" s="94" customFormat="1" ht="15.75" customHeight="1">
      <c r="B28" s="88"/>
      <c r="C28" s="96"/>
      <c r="D28" s="91" t="s">
        <v>101</v>
      </c>
      <c r="E28" s="92" t="s">
        <v>34</v>
      </c>
      <c r="F28" s="93"/>
      <c r="G28" s="161"/>
      <c r="H28" s="161"/>
      <c r="J28" s="87"/>
      <c r="K28" s="87"/>
      <c r="L28" s="87"/>
      <c r="M28" s="87"/>
    </row>
    <row r="29" spans="2:13" s="94" customFormat="1" ht="15.75" customHeight="1">
      <c r="B29" s="95"/>
      <c r="C29" s="97"/>
      <c r="D29" s="98" t="s">
        <v>101</v>
      </c>
      <c r="E29" s="92" t="s">
        <v>30</v>
      </c>
      <c r="F29" s="93"/>
      <c r="G29" s="161"/>
      <c r="H29" s="161"/>
      <c r="J29" s="87"/>
      <c r="K29" s="87"/>
      <c r="L29" s="87"/>
      <c r="M29" s="87"/>
    </row>
    <row r="30" spans="2:8" s="87" customFormat="1" ht="15.75" customHeight="1">
      <c r="B30" s="95"/>
      <c r="C30" s="85">
        <v>2</v>
      </c>
      <c r="D30" s="80" t="s">
        <v>35</v>
      </c>
      <c r="E30" s="89"/>
      <c r="F30" s="90"/>
      <c r="G30" s="161"/>
      <c r="H30" s="161">
        <f>'Centro 08'!N29</f>
        <v>0</v>
      </c>
    </row>
    <row r="31" spans="2:8" s="87" customFormat="1" ht="15.75" customHeight="1">
      <c r="B31" s="88"/>
      <c r="C31" s="85">
        <v>3</v>
      </c>
      <c r="D31" s="80" t="s">
        <v>27</v>
      </c>
      <c r="E31" s="89"/>
      <c r="F31" s="90"/>
      <c r="G31" s="161"/>
      <c r="H31" s="161"/>
    </row>
    <row r="32" spans="2:8" s="87" customFormat="1" ht="15.75" customHeight="1">
      <c r="B32" s="88"/>
      <c r="C32" s="85">
        <v>4</v>
      </c>
      <c r="D32" s="80" t="s">
        <v>36</v>
      </c>
      <c r="E32" s="89"/>
      <c r="F32" s="90"/>
      <c r="G32" s="161"/>
      <c r="H32" s="161"/>
    </row>
    <row r="33" spans="2:8" s="87" customFormat="1" ht="24.75" customHeight="1">
      <c r="B33" s="88"/>
      <c r="C33" s="372" t="s">
        <v>52</v>
      </c>
      <c r="D33" s="373"/>
      <c r="E33" s="374"/>
      <c r="F33" s="90"/>
      <c r="G33" s="161">
        <f>G26+G8</f>
        <v>116444742.9914</v>
      </c>
      <c r="H33" s="161">
        <f>H8+H26</f>
        <v>159349692</v>
      </c>
    </row>
    <row r="34" spans="2:8" s="87" customFormat="1" ht="24.75" customHeight="1">
      <c r="B34" s="99" t="s">
        <v>37</v>
      </c>
      <c r="C34" s="372" t="s">
        <v>38</v>
      </c>
      <c r="D34" s="373"/>
      <c r="E34" s="374"/>
      <c r="F34" s="90"/>
      <c r="G34" s="161">
        <f>SUM(G35:G44)</f>
        <v>48353650</v>
      </c>
      <c r="H34" s="161">
        <f>H35+H36+H37+H38+H39+H40+H41+H42+H43+H44</f>
        <v>112254558</v>
      </c>
    </row>
    <row r="35" spans="2:8" s="87" customFormat="1" ht="15.75" customHeight="1">
      <c r="B35" s="88"/>
      <c r="C35" s="85">
        <v>1</v>
      </c>
      <c r="D35" s="80" t="s">
        <v>39</v>
      </c>
      <c r="E35" s="89"/>
      <c r="F35" s="90"/>
      <c r="G35" s="161"/>
      <c r="H35" s="161"/>
    </row>
    <row r="36" spans="2:8" s="87" customFormat="1" ht="15.75" customHeight="1">
      <c r="B36" s="88"/>
      <c r="C36" s="107">
        <v>2</v>
      </c>
      <c r="D36" s="80" t="s">
        <v>40</v>
      </c>
      <c r="E36" s="89"/>
      <c r="F36" s="90"/>
      <c r="G36" s="161"/>
      <c r="H36" s="161"/>
    </row>
    <row r="37" spans="2:8" s="87" customFormat="1" ht="15.75" customHeight="1">
      <c r="B37" s="88"/>
      <c r="C37" s="85">
        <v>3</v>
      </c>
      <c r="D37" s="80" t="s">
        <v>41</v>
      </c>
      <c r="E37" s="89"/>
      <c r="F37" s="90"/>
      <c r="G37" s="199">
        <v>50000000</v>
      </c>
      <c r="H37" s="199">
        <v>50000000</v>
      </c>
    </row>
    <row r="38" spans="2:8" s="87" customFormat="1" ht="15.75" customHeight="1">
      <c r="B38" s="88"/>
      <c r="C38" s="107">
        <v>4</v>
      </c>
      <c r="D38" s="80" t="s">
        <v>42</v>
      </c>
      <c r="E38" s="89"/>
      <c r="F38" s="90"/>
      <c r="G38" s="161"/>
      <c r="H38" s="161"/>
    </row>
    <row r="39" spans="2:8" s="87" customFormat="1" ht="15.75" customHeight="1">
      <c r="B39" s="88"/>
      <c r="C39" s="85">
        <v>5</v>
      </c>
      <c r="D39" s="80" t="s">
        <v>118</v>
      </c>
      <c r="E39" s="89"/>
      <c r="F39" s="90"/>
      <c r="G39" s="161"/>
      <c r="H39" s="161"/>
    </row>
    <row r="40" spans="2:8" s="87" customFormat="1" ht="15.75" customHeight="1">
      <c r="B40" s="88"/>
      <c r="C40" s="107">
        <v>6</v>
      </c>
      <c r="D40" s="80" t="s">
        <v>43</v>
      </c>
      <c r="E40" s="89"/>
      <c r="F40" s="90"/>
      <c r="G40" s="161"/>
      <c r="H40" s="161"/>
    </row>
    <row r="41" spans="2:8" s="87" customFormat="1" ht="15.75" customHeight="1">
      <c r="B41" s="88"/>
      <c r="C41" s="85">
        <v>7</v>
      </c>
      <c r="D41" s="80" t="s">
        <v>44</v>
      </c>
      <c r="E41" s="89"/>
      <c r="F41" s="90"/>
      <c r="G41" s="161"/>
      <c r="H41" s="161">
        <f>'Centro 08'!N4</f>
        <v>0</v>
      </c>
    </row>
    <row r="42" spans="2:8" s="87" customFormat="1" ht="15.75" customHeight="1">
      <c r="B42" s="88"/>
      <c r="C42" s="107">
        <v>8</v>
      </c>
      <c r="D42" s="80" t="s">
        <v>45</v>
      </c>
      <c r="E42" s="89"/>
      <c r="F42" s="90"/>
      <c r="G42" s="161"/>
      <c r="H42" s="161">
        <f>'Centro 08'!N5</f>
        <v>0</v>
      </c>
    </row>
    <row r="43" spans="2:8" s="87" customFormat="1" ht="15.75" customHeight="1">
      <c r="B43" s="88"/>
      <c r="C43" s="85">
        <v>9</v>
      </c>
      <c r="D43" s="80" t="s">
        <v>46</v>
      </c>
      <c r="E43" s="89"/>
      <c r="F43" s="90"/>
      <c r="G43" s="161">
        <v>12254558</v>
      </c>
      <c r="H43" s="161"/>
    </row>
    <row r="44" spans="2:8" s="87" customFormat="1" ht="15.75" customHeight="1">
      <c r="B44" s="88"/>
      <c r="C44" s="107">
        <v>10</v>
      </c>
      <c r="D44" s="80" t="s">
        <v>47</v>
      </c>
      <c r="E44" s="89"/>
      <c r="F44" s="90"/>
      <c r="G44" s="161">
        <v>-13900908</v>
      </c>
      <c r="H44" s="161">
        <v>62254558</v>
      </c>
    </row>
    <row r="45" spans="2:8" s="87" customFormat="1" ht="24.75" customHeight="1">
      <c r="B45" s="88"/>
      <c r="C45" s="372" t="s">
        <v>51</v>
      </c>
      <c r="D45" s="373"/>
      <c r="E45" s="374"/>
      <c r="F45" s="90"/>
      <c r="G45" s="161">
        <f>G8+G26+G34</f>
        <v>164798392.9914</v>
      </c>
      <c r="H45" s="161">
        <f>H33+H34</f>
        <v>271604250</v>
      </c>
    </row>
    <row r="46" spans="2:8" s="87" customFormat="1" ht="15.75" customHeight="1">
      <c r="B46" s="101"/>
      <c r="C46" s="101"/>
      <c r="D46" s="108"/>
      <c r="E46" s="102"/>
      <c r="F46" s="102"/>
      <c r="G46" s="103"/>
      <c r="H46" s="103"/>
    </row>
    <row r="47" spans="2:8" s="87" customFormat="1" ht="15.75" customHeight="1">
      <c r="B47" s="101"/>
      <c r="C47" s="101"/>
      <c r="D47" s="108"/>
      <c r="E47" s="102"/>
      <c r="F47" s="102"/>
      <c r="G47" s="347"/>
      <c r="H47" s="103"/>
    </row>
    <row r="48" spans="2:8" s="87" customFormat="1" ht="15.75" customHeight="1">
      <c r="B48" s="101"/>
      <c r="C48" s="101"/>
      <c r="D48" s="101"/>
      <c r="E48" s="101"/>
      <c r="F48" s="101"/>
      <c r="G48" s="102"/>
      <c r="H48" s="102"/>
    </row>
    <row r="49" spans="2:8" s="87" customFormat="1" ht="15.75" customHeight="1">
      <c r="B49" s="101"/>
      <c r="C49" s="101"/>
      <c r="D49" s="108"/>
      <c r="E49" s="102"/>
      <c r="F49" s="102"/>
      <c r="G49" s="102"/>
      <c r="H49" s="103"/>
    </row>
    <row r="50" spans="2:8" s="87" customFormat="1" ht="15.75" customHeight="1">
      <c r="B50" s="101"/>
      <c r="C50" s="101"/>
      <c r="D50" s="108"/>
      <c r="E50" s="102"/>
      <c r="F50" s="102"/>
      <c r="G50" s="102"/>
      <c r="H50" s="103"/>
    </row>
    <row r="51" spans="2:8" s="87" customFormat="1" ht="15.75" customHeight="1">
      <c r="B51" s="101"/>
      <c r="C51" s="101"/>
      <c r="D51" s="108"/>
      <c r="E51" s="102"/>
      <c r="F51" s="102"/>
      <c r="G51" s="102"/>
      <c r="H51" s="103"/>
    </row>
    <row r="52" spans="2:8" s="87" customFormat="1" ht="15.75" customHeight="1">
      <c r="B52" s="101"/>
      <c r="C52" s="101"/>
      <c r="D52" s="108"/>
      <c r="E52" s="102"/>
      <c r="F52" s="102"/>
      <c r="G52" s="102"/>
      <c r="H52" s="103"/>
    </row>
    <row r="53" spans="2:8" s="87" customFormat="1" ht="15.75" customHeight="1">
      <c r="B53" s="101"/>
      <c r="C53" s="101"/>
      <c r="D53" s="108"/>
      <c r="E53" s="102"/>
      <c r="F53" s="102"/>
      <c r="G53" s="103"/>
      <c r="H53" s="103"/>
    </row>
    <row r="54" spans="2:8" s="87" customFormat="1" ht="15.75" customHeight="1">
      <c r="B54" s="101"/>
      <c r="C54" s="101"/>
      <c r="D54" s="108"/>
      <c r="E54" s="102"/>
      <c r="F54" s="102"/>
      <c r="G54" s="103"/>
      <c r="H54" s="103"/>
    </row>
    <row r="55" spans="2:8" s="87" customFormat="1" ht="15.75" customHeight="1">
      <c r="B55" s="101"/>
      <c r="C55" s="101"/>
      <c r="D55" s="101"/>
      <c r="E55" s="101"/>
      <c r="F55" s="102"/>
      <c r="G55" s="103"/>
      <c r="H55" s="103"/>
    </row>
    <row r="56" spans="2:8" ht="12.75">
      <c r="B56" s="109"/>
      <c r="C56" s="109"/>
      <c r="D56" s="110"/>
      <c r="E56" s="111"/>
      <c r="F56" s="111"/>
      <c r="G56" s="112"/>
      <c r="H56" s="112"/>
    </row>
  </sheetData>
  <sheetProtection/>
  <mergeCells count="9">
    <mergeCell ref="B4:H4"/>
    <mergeCell ref="C33:E33"/>
    <mergeCell ref="C8:E8"/>
    <mergeCell ref="F6:F7"/>
    <mergeCell ref="C34:E34"/>
    <mergeCell ref="C45:E45"/>
    <mergeCell ref="B6:B7"/>
    <mergeCell ref="C6:E7"/>
    <mergeCell ref="C26:E26"/>
  </mergeCells>
  <printOptions horizontalCentered="1" verticalCentered="1"/>
  <pageMargins left="0" right="0" top="0" bottom="0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2:M61"/>
  <sheetViews>
    <sheetView zoomScalePageLayoutView="0" workbookViewId="0" topLeftCell="A16">
      <selection activeCell="I47" sqref="I47"/>
    </sheetView>
  </sheetViews>
  <sheetFormatPr defaultColWidth="9.140625" defaultRowHeight="12.75"/>
  <cols>
    <col min="1" max="1" width="5.140625" style="53" customWidth="1"/>
    <col min="2" max="2" width="3.7109375" style="77" customWidth="1"/>
    <col min="3" max="3" width="5.28125" style="77" customWidth="1"/>
    <col min="4" max="4" width="2.7109375" style="77" customWidth="1"/>
    <col min="5" max="5" width="51.7109375" style="53" customWidth="1"/>
    <col min="6" max="6" width="18.421875" style="78" customWidth="1"/>
    <col min="7" max="7" width="13.421875" style="78" customWidth="1"/>
    <col min="8" max="8" width="14.57421875" style="53" customWidth="1"/>
    <col min="9" max="9" width="18.00390625" style="116" customWidth="1"/>
    <col min="10" max="10" width="13.57421875" style="53" customWidth="1"/>
    <col min="11" max="11" width="12.140625" style="53" customWidth="1"/>
    <col min="12" max="12" width="10.140625" style="53" bestFit="1" customWidth="1"/>
    <col min="13" max="13" width="13.28125" style="53" customWidth="1"/>
    <col min="14" max="16384" width="9.140625" style="53" customWidth="1"/>
  </cols>
  <sheetData>
    <row r="2" spans="2:9" s="76" customFormat="1" ht="18">
      <c r="B2" s="71" t="s">
        <v>222</v>
      </c>
      <c r="C2" s="71"/>
      <c r="D2" s="72"/>
      <c r="E2" s="73"/>
      <c r="F2" s="74"/>
      <c r="G2" s="75" t="s">
        <v>208</v>
      </c>
      <c r="H2" s="74"/>
      <c r="I2" s="114"/>
    </row>
    <row r="3" spans="2:9" s="76" customFormat="1" ht="7.5" customHeight="1">
      <c r="B3" s="71"/>
      <c r="C3" s="71"/>
      <c r="D3" s="72"/>
      <c r="E3" s="73"/>
      <c r="F3" s="75"/>
      <c r="G3" s="113"/>
      <c r="H3" s="74"/>
      <c r="I3" s="114"/>
    </row>
    <row r="4" spans="2:9" s="76" customFormat="1" ht="29.25" customHeight="1">
      <c r="B4" s="393" t="s">
        <v>344</v>
      </c>
      <c r="C4" s="393"/>
      <c r="D4" s="393"/>
      <c r="E4" s="393"/>
      <c r="F4" s="393"/>
      <c r="G4" s="393"/>
      <c r="H4" s="74"/>
      <c r="I4" s="114"/>
    </row>
    <row r="5" spans="2:9" s="76" customFormat="1" ht="18.75" customHeight="1">
      <c r="B5" s="383" t="s">
        <v>132</v>
      </c>
      <c r="C5" s="383"/>
      <c r="D5" s="383"/>
      <c r="E5" s="383"/>
      <c r="F5" s="383"/>
      <c r="G5" s="383"/>
      <c r="H5" s="115"/>
      <c r="I5" s="114"/>
    </row>
    <row r="6" ht="12.75" customHeight="1">
      <c r="G6" s="75" t="s">
        <v>208</v>
      </c>
    </row>
    <row r="7" spans="2:9" s="76" customFormat="1" ht="15" customHeight="1">
      <c r="B7" s="400" t="s">
        <v>2</v>
      </c>
      <c r="C7" s="394" t="s">
        <v>133</v>
      </c>
      <c r="D7" s="395"/>
      <c r="E7" s="396"/>
      <c r="F7" s="117" t="s">
        <v>134</v>
      </c>
      <c r="G7" s="117" t="s">
        <v>134</v>
      </c>
      <c r="H7" s="87"/>
      <c r="I7" s="114"/>
    </row>
    <row r="8" spans="2:9" s="76" customFormat="1" ht="11.25" customHeight="1">
      <c r="B8" s="401"/>
      <c r="C8" s="397"/>
      <c r="D8" s="398"/>
      <c r="E8" s="399"/>
      <c r="F8" s="118" t="s">
        <v>135</v>
      </c>
      <c r="G8" s="119" t="s">
        <v>191</v>
      </c>
      <c r="H8" s="87"/>
      <c r="I8" s="114"/>
    </row>
    <row r="9" spans="2:9" s="76" customFormat="1" ht="19.5" customHeight="1">
      <c r="B9" s="120">
        <v>1</v>
      </c>
      <c r="C9" s="389" t="s">
        <v>54</v>
      </c>
      <c r="D9" s="390"/>
      <c r="E9" s="391"/>
      <c r="F9" s="159">
        <v>16062411.3094</v>
      </c>
      <c r="G9" s="159">
        <v>297016344</v>
      </c>
      <c r="I9" s="133"/>
    </row>
    <row r="10" spans="2:12" s="76" customFormat="1" ht="19.5" customHeight="1">
      <c r="B10" s="120">
        <v>2</v>
      </c>
      <c r="C10" s="389" t="s">
        <v>55</v>
      </c>
      <c r="D10" s="402"/>
      <c r="E10" s="403"/>
      <c r="F10" s="159">
        <v>562688.1880000001</v>
      </c>
      <c r="G10" s="159"/>
      <c r="I10" s="133"/>
      <c r="L10" s="180"/>
    </row>
    <row r="11" spans="2:9" s="76" customFormat="1" ht="18.75" customHeight="1">
      <c r="B11" s="79">
        <v>3</v>
      </c>
      <c r="C11" s="389" t="s">
        <v>201</v>
      </c>
      <c r="D11" s="390"/>
      <c r="E11" s="391"/>
      <c r="F11" s="159"/>
      <c r="G11" s="159"/>
      <c r="I11" s="114"/>
    </row>
    <row r="12" spans="2:13" s="76" customFormat="1" ht="20.25" customHeight="1">
      <c r="B12" s="79">
        <v>4</v>
      </c>
      <c r="C12" s="389" t="s">
        <v>119</v>
      </c>
      <c r="D12" s="390"/>
      <c r="E12" s="391"/>
      <c r="F12" s="159">
        <v>12040044.8403</v>
      </c>
      <c r="G12" s="159">
        <v>173779891</v>
      </c>
      <c r="I12" s="133"/>
      <c r="J12" s="185"/>
      <c r="K12" s="180"/>
      <c r="L12" s="180"/>
      <c r="M12" s="185"/>
    </row>
    <row r="13" spans="2:13" s="76" customFormat="1" ht="18.75" customHeight="1">
      <c r="B13" s="79">
        <v>5</v>
      </c>
      <c r="C13" s="389" t="s">
        <v>120</v>
      </c>
      <c r="D13" s="390"/>
      <c r="E13" s="391"/>
      <c r="F13" s="159">
        <f>F14+F15</f>
        <v>11787656</v>
      </c>
      <c r="G13" s="159">
        <f>G14+G15</f>
        <v>20365715</v>
      </c>
      <c r="I13" s="133"/>
      <c r="K13" s="203"/>
      <c r="M13" s="185"/>
    </row>
    <row r="14" spans="2:13" s="76" customFormat="1" ht="20.25" customHeight="1">
      <c r="B14" s="79"/>
      <c r="C14" s="121"/>
      <c r="D14" s="384" t="s">
        <v>121</v>
      </c>
      <c r="E14" s="385"/>
      <c r="F14" s="200">
        <v>11247772</v>
      </c>
      <c r="G14" s="200">
        <v>18506547</v>
      </c>
      <c r="H14" s="94"/>
      <c r="I14" s="133"/>
      <c r="M14" s="202"/>
    </row>
    <row r="15" spans="2:13" s="76" customFormat="1" ht="22.5" customHeight="1">
      <c r="B15" s="79"/>
      <c r="C15" s="121"/>
      <c r="D15" s="384" t="s">
        <v>122</v>
      </c>
      <c r="E15" s="385"/>
      <c r="F15" s="200">
        <v>539884</v>
      </c>
      <c r="G15" s="200">
        <v>1859168</v>
      </c>
      <c r="H15" s="94"/>
      <c r="I15" s="133"/>
      <c r="M15" s="202"/>
    </row>
    <row r="16" spans="2:13" s="76" customFormat="1" ht="29.25" customHeight="1">
      <c r="B16" s="120">
        <v>6</v>
      </c>
      <c r="C16" s="392" t="s">
        <v>123</v>
      </c>
      <c r="D16" s="390"/>
      <c r="E16" s="391"/>
      <c r="F16" s="159">
        <v>1487857</v>
      </c>
      <c r="G16" s="159">
        <v>1228984</v>
      </c>
      <c r="I16" s="133"/>
      <c r="M16" s="202"/>
    </row>
    <row r="17" spans="2:13" s="76" customFormat="1" ht="17.25" customHeight="1">
      <c r="B17" s="120">
        <v>7</v>
      </c>
      <c r="C17" s="392" t="s">
        <v>124</v>
      </c>
      <c r="D17" s="390"/>
      <c r="E17" s="391"/>
      <c r="F17" s="159">
        <v>5092772.6409</v>
      </c>
      <c r="G17" s="159">
        <v>31173895</v>
      </c>
      <c r="I17" s="133"/>
      <c r="M17" s="202"/>
    </row>
    <row r="18" spans="2:13" s="76" customFormat="1" ht="27" customHeight="1">
      <c r="B18" s="120">
        <v>8</v>
      </c>
      <c r="C18" s="372" t="s">
        <v>125</v>
      </c>
      <c r="D18" s="373"/>
      <c r="E18" s="374"/>
      <c r="F18" s="159">
        <f>F12+F13+F16+F17</f>
        <v>30408330.481200002</v>
      </c>
      <c r="G18" s="159">
        <f>G12+G13+G16+G17</f>
        <v>226548485</v>
      </c>
      <c r="H18" s="87"/>
      <c r="I18" s="133"/>
      <c r="L18" s="180"/>
      <c r="M18" s="202"/>
    </row>
    <row r="19" spans="2:13" s="76" customFormat="1" ht="33" customHeight="1">
      <c r="B19" s="120">
        <v>9</v>
      </c>
      <c r="C19" s="386" t="s">
        <v>126</v>
      </c>
      <c r="D19" s="387"/>
      <c r="E19" s="388"/>
      <c r="F19" s="159">
        <f>F9+F10-F18</f>
        <v>-13783230.983800001</v>
      </c>
      <c r="G19" s="159">
        <f>(G9+G10+G11)-G18</f>
        <v>70467859</v>
      </c>
      <c r="H19" s="87"/>
      <c r="I19" s="203"/>
      <c r="J19" s="180"/>
      <c r="K19" s="180"/>
      <c r="M19" s="202"/>
    </row>
    <row r="20" spans="2:13" s="76" customFormat="1" ht="24.75" customHeight="1">
      <c r="B20" s="120">
        <v>10</v>
      </c>
      <c r="C20" s="389" t="s">
        <v>56</v>
      </c>
      <c r="D20" s="390"/>
      <c r="E20" s="391"/>
      <c r="F20" s="159"/>
      <c r="G20" s="159"/>
      <c r="I20" s="114"/>
      <c r="M20" s="202"/>
    </row>
    <row r="21" spans="2:13" s="76" customFormat="1" ht="24.75" customHeight="1">
      <c r="B21" s="120">
        <v>11</v>
      </c>
      <c r="C21" s="389" t="s">
        <v>127</v>
      </c>
      <c r="D21" s="390"/>
      <c r="E21" s="391"/>
      <c r="F21" s="159"/>
      <c r="G21" s="159"/>
      <c r="I21" s="114"/>
      <c r="M21" s="202"/>
    </row>
    <row r="22" spans="2:11" s="76" customFormat="1" ht="24.75" customHeight="1">
      <c r="B22" s="120">
        <v>12</v>
      </c>
      <c r="C22" s="389" t="s">
        <v>57</v>
      </c>
      <c r="D22" s="390"/>
      <c r="E22" s="391"/>
      <c r="F22" s="159">
        <f>SUM(F23:F26)</f>
        <v>-117677.49959999998</v>
      </c>
      <c r="G22" s="159">
        <f>G23+G24+G25+G26</f>
        <v>-1191633</v>
      </c>
      <c r="I22" s="114"/>
      <c r="K22" s="180"/>
    </row>
    <row r="23" spans="2:9" s="76" customFormat="1" ht="24.75" customHeight="1">
      <c r="B23" s="120"/>
      <c r="C23" s="122">
        <v>121</v>
      </c>
      <c r="D23" s="384" t="s">
        <v>58</v>
      </c>
      <c r="E23" s="385"/>
      <c r="F23" s="159"/>
      <c r="G23" s="159"/>
      <c r="H23" s="94"/>
      <c r="I23" s="133"/>
    </row>
    <row r="24" spans="2:8" s="76" customFormat="1" ht="24.75" customHeight="1">
      <c r="B24" s="120"/>
      <c r="C24" s="121">
        <v>122</v>
      </c>
      <c r="D24" s="384" t="s">
        <v>128</v>
      </c>
      <c r="E24" s="385"/>
      <c r="F24" s="159">
        <v>7685.357400000003</v>
      </c>
      <c r="G24" s="159">
        <v>-170844</v>
      </c>
      <c r="H24" s="94"/>
    </row>
    <row r="25" spans="2:8" s="76" customFormat="1" ht="24.75" customHeight="1">
      <c r="B25" s="120"/>
      <c r="C25" s="121">
        <v>123</v>
      </c>
      <c r="D25" s="384" t="s">
        <v>59</v>
      </c>
      <c r="E25" s="385"/>
      <c r="F25" s="159">
        <v>-125362.85699999999</v>
      </c>
      <c r="G25" s="159">
        <v>-1020789</v>
      </c>
      <c r="H25" s="94"/>
    </row>
    <row r="26" spans="2:10" s="76" customFormat="1" ht="18.75" customHeight="1">
      <c r="B26" s="120"/>
      <c r="C26" s="121">
        <v>124</v>
      </c>
      <c r="D26" s="384" t="s">
        <v>60</v>
      </c>
      <c r="E26" s="385"/>
      <c r="F26" s="159"/>
      <c r="G26" s="159"/>
      <c r="H26" s="94"/>
      <c r="J26" s="123"/>
    </row>
    <row r="27" spans="2:8" s="76" customFormat="1" ht="32.25" customHeight="1">
      <c r="B27" s="120">
        <v>13</v>
      </c>
      <c r="C27" s="386" t="s">
        <v>61</v>
      </c>
      <c r="D27" s="387"/>
      <c r="E27" s="388"/>
      <c r="F27" s="159">
        <f>SUM(F20:F22)</f>
        <v>-117677.49959999998</v>
      </c>
      <c r="G27" s="159">
        <f>SUM(G24:G26)</f>
        <v>-1191633</v>
      </c>
      <c r="H27" s="87"/>
    </row>
    <row r="28" spans="2:8" s="76" customFormat="1" ht="31.5" customHeight="1">
      <c r="B28" s="120">
        <v>14</v>
      </c>
      <c r="C28" s="386" t="s">
        <v>130</v>
      </c>
      <c r="D28" s="387"/>
      <c r="E28" s="388"/>
      <c r="F28" s="159">
        <f>F19+F27</f>
        <v>-13900908.483400002</v>
      </c>
      <c r="G28" s="159">
        <f>G19+G27</f>
        <v>69276226</v>
      </c>
      <c r="H28" s="87"/>
    </row>
    <row r="29" spans="2:7" s="76" customFormat="1" ht="18.75" customHeight="1">
      <c r="B29" s="120">
        <v>15</v>
      </c>
      <c r="C29" s="389" t="s">
        <v>62</v>
      </c>
      <c r="D29" s="390"/>
      <c r="E29" s="391"/>
      <c r="F29" s="204">
        <v>0</v>
      </c>
      <c r="G29" s="161">
        <v>7021668</v>
      </c>
    </row>
    <row r="30" spans="2:8" s="76" customFormat="1" ht="30.75" customHeight="1">
      <c r="B30" s="120">
        <v>16</v>
      </c>
      <c r="C30" s="386" t="s">
        <v>131</v>
      </c>
      <c r="D30" s="387"/>
      <c r="E30" s="388"/>
      <c r="F30" s="159">
        <f>F28-F29</f>
        <v>-13900908.483400002</v>
      </c>
      <c r="G30" s="159">
        <f>G28-G29</f>
        <v>62254558</v>
      </c>
      <c r="H30" s="87"/>
    </row>
    <row r="31" spans="2:9" s="76" customFormat="1" ht="24.75" customHeight="1">
      <c r="B31" s="120">
        <v>17</v>
      </c>
      <c r="C31" s="389" t="s">
        <v>129</v>
      </c>
      <c r="D31" s="390"/>
      <c r="E31" s="391"/>
      <c r="F31" s="159"/>
      <c r="G31" s="159"/>
      <c r="I31" s="355"/>
    </row>
    <row r="32" spans="2:10" s="76" customFormat="1" ht="15.75" customHeight="1">
      <c r="B32" s="124"/>
      <c r="E32" s="307" t="s">
        <v>422</v>
      </c>
      <c r="F32" s="351">
        <v>16062436.74</v>
      </c>
      <c r="G32" s="125"/>
      <c r="H32" s="125"/>
      <c r="I32" s="125"/>
      <c r="J32" s="125"/>
    </row>
    <row r="33" spans="2:10" s="76" customFormat="1" ht="15.75" customHeight="1">
      <c r="B33" s="124"/>
      <c r="E33" s="124">
        <v>654</v>
      </c>
      <c r="F33" s="311">
        <v>749882.84</v>
      </c>
      <c r="G33" s="125"/>
      <c r="H33" s="125"/>
      <c r="I33" s="125"/>
      <c r="J33" s="125"/>
    </row>
    <row r="34" spans="2:10" s="76" customFormat="1" ht="15.75" customHeight="1">
      <c r="B34" s="124"/>
      <c r="C34" s="124"/>
      <c r="E34" s="307" t="s">
        <v>423</v>
      </c>
      <c r="F34" s="312">
        <f>F32*0.003</f>
        <v>48187.31022</v>
      </c>
      <c r="G34" s="125"/>
      <c r="H34" s="125"/>
      <c r="I34" s="125"/>
      <c r="J34" s="125"/>
    </row>
    <row r="35" spans="2:10" s="76" customFormat="1" ht="15.75" customHeight="1">
      <c r="B35" s="124"/>
      <c r="C35" s="124"/>
      <c r="E35" s="307" t="s">
        <v>428</v>
      </c>
      <c r="F35" s="312">
        <f>F33-F34</f>
        <v>701695.52978</v>
      </c>
      <c r="G35" s="125"/>
      <c r="H35" s="125"/>
      <c r="I35" s="125"/>
      <c r="J35" s="125"/>
    </row>
    <row r="36" spans="2:10" s="76" customFormat="1" ht="15.75" customHeight="1">
      <c r="B36" s="124"/>
      <c r="C36" s="124"/>
      <c r="E36" s="307" t="s">
        <v>426</v>
      </c>
      <c r="F36" s="311">
        <v>104415</v>
      </c>
      <c r="G36" s="125"/>
      <c r="H36" s="125"/>
      <c r="I36" s="125"/>
      <c r="J36" s="125"/>
    </row>
    <row r="37" spans="2:10" s="76" customFormat="1" ht="15.75" customHeight="1">
      <c r="B37" s="124"/>
      <c r="C37" s="124"/>
      <c r="E37" s="307">
        <v>6261</v>
      </c>
      <c r="F37" s="352">
        <v>363772.98333333334</v>
      </c>
      <c r="G37" s="125"/>
      <c r="H37" s="125"/>
      <c r="I37" s="125"/>
      <c r="J37" s="125"/>
    </row>
    <row r="38" spans="2:10" s="76" customFormat="1" ht="15.75" customHeight="1">
      <c r="B38" s="124"/>
      <c r="C38" s="124"/>
      <c r="E38" s="307">
        <v>625</v>
      </c>
      <c r="F38" s="348">
        <v>225136</v>
      </c>
      <c r="G38" s="125"/>
      <c r="H38" s="125"/>
      <c r="I38" s="125"/>
      <c r="J38" s="125"/>
    </row>
    <row r="39" spans="2:10" s="76" customFormat="1" ht="15.75" customHeight="1">
      <c r="B39" s="124"/>
      <c r="C39" s="124"/>
      <c r="D39" s="124"/>
      <c r="E39" s="308" t="s">
        <v>424</v>
      </c>
      <c r="F39" s="349">
        <f>F33-F34+F36+F37+F38</f>
        <v>1395019.5131133334</v>
      </c>
      <c r="G39" s="354"/>
      <c r="H39" s="125"/>
      <c r="I39" s="125"/>
      <c r="J39" s="125"/>
    </row>
    <row r="40" spans="2:10" s="76" customFormat="1" ht="15.75" customHeight="1">
      <c r="B40" s="124"/>
      <c r="C40" s="124"/>
      <c r="D40" s="124"/>
      <c r="E40" s="313" t="s">
        <v>425</v>
      </c>
      <c r="F40" s="350">
        <f>F30+F39</f>
        <v>-12505888.97028667</v>
      </c>
      <c r="G40" s="125"/>
      <c r="H40" s="125"/>
      <c r="I40" s="125"/>
      <c r="J40" s="125"/>
    </row>
    <row r="41" spans="2:10" s="76" customFormat="1" ht="15.75" customHeight="1">
      <c r="B41" s="124"/>
      <c r="C41" s="124"/>
      <c r="D41" s="124"/>
      <c r="E41" s="125"/>
      <c r="F41" s="125"/>
      <c r="G41" s="125"/>
      <c r="H41" s="125"/>
      <c r="I41" s="125"/>
      <c r="J41" s="125"/>
    </row>
    <row r="42" spans="2:10" s="76" customFormat="1" ht="15.75" customHeight="1">
      <c r="B42" s="124"/>
      <c r="C42" s="124"/>
      <c r="D42" s="124"/>
      <c r="E42" s="125"/>
      <c r="F42" s="345">
        <v>811395</v>
      </c>
      <c r="G42" s="125"/>
      <c r="H42" s="125"/>
      <c r="I42" s="125"/>
      <c r="J42" s="125"/>
    </row>
    <row r="43" spans="2:10" ht="12.75">
      <c r="B43" s="126"/>
      <c r="C43" s="126"/>
      <c r="D43" s="126"/>
      <c r="E43" s="125"/>
      <c r="F43" s="199">
        <v>68400</v>
      </c>
      <c r="G43" s="125">
        <v>2012</v>
      </c>
      <c r="H43" s="125"/>
      <c r="I43" s="125"/>
      <c r="J43" s="125"/>
    </row>
    <row r="44" spans="5:10" ht="12.75">
      <c r="E44" s="125"/>
      <c r="F44" s="353">
        <f>F42-F43</f>
        <v>742995</v>
      </c>
      <c r="G44" s="125">
        <v>2013</v>
      </c>
      <c r="H44" s="125"/>
      <c r="I44" s="125"/>
      <c r="J44" s="125"/>
    </row>
    <row r="45" spans="5:10" ht="12.75">
      <c r="E45" s="125"/>
      <c r="F45" s="125"/>
      <c r="G45" s="125"/>
      <c r="H45" s="125"/>
      <c r="I45" s="125"/>
      <c r="J45" s="125"/>
    </row>
    <row r="46" spans="5:10" ht="12.75">
      <c r="E46" s="358"/>
      <c r="F46" s="125"/>
      <c r="G46" s="125"/>
      <c r="H46" s="125"/>
      <c r="I46" s="125"/>
      <c r="J46" s="125"/>
    </row>
    <row r="47" spans="5:10" ht="12.75">
      <c r="E47" s="359" t="s">
        <v>430</v>
      </c>
      <c r="F47" s="360">
        <f>SUM(F48:F51)</f>
        <v>1395019.9833333334</v>
      </c>
      <c r="G47" s="125"/>
      <c r="H47" s="125"/>
      <c r="I47" s="125"/>
      <c r="J47" s="125"/>
    </row>
    <row r="48" spans="5:10" ht="12.75">
      <c r="E48" s="359" t="s">
        <v>431</v>
      </c>
      <c r="F48" s="125">
        <v>701696</v>
      </c>
      <c r="G48" s="125"/>
      <c r="H48" s="125"/>
      <c r="I48" s="125"/>
      <c r="J48" s="125"/>
    </row>
    <row r="49" spans="5:10" ht="12.75">
      <c r="E49" s="359" t="s">
        <v>432</v>
      </c>
      <c r="F49" s="125">
        <v>104415</v>
      </c>
      <c r="G49" s="125"/>
      <c r="H49" s="125"/>
      <c r="I49" s="125"/>
      <c r="J49" s="125"/>
    </row>
    <row r="50" spans="5:10" ht="12.75">
      <c r="E50" s="359" t="s">
        <v>433</v>
      </c>
      <c r="F50" s="361">
        <v>363772.98333333334</v>
      </c>
      <c r="G50" s="125"/>
      <c r="H50" s="125"/>
      <c r="I50" s="125"/>
      <c r="J50" s="125"/>
    </row>
    <row r="51" spans="5:10" ht="12.75">
      <c r="E51" s="359" t="s">
        <v>434</v>
      </c>
      <c r="F51" s="125">
        <v>225136</v>
      </c>
      <c r="G51" s="125"/>
      <c r="H51" s="125"/>
      <c r="I51" s="125"/>
      <c r="J51" s="125"/>
    </row>
    <row r="52" spans="5:10" ht="12.75">
      <c r="E52" s="359"/>
      <c r="F52" s="125"/>
      <c r="G52" s="125"/>
      <c r="H52" s="125"/>
      <c r="I52" s="125"/>
      <c r="J52" s="125"/>
    </row>
    <row r="53" spans="5:10" ht="12.75">
      <c r="E53" s="358"/>
      <c r="F53" s="125"/>
      <c r="G53" s="125"/>
      <c r="H53" s="125"/>
      <c r="I53" s="125"/>
      <c r="J53" s="125"/>
    </row>
    <row r="54" spans="5:10" ht="12.75">
      <c r="E54" s="125"/>
      <c r="F54" s="125"/>
      <c r="G54" s="125"/>
      <c r="H54" s="125"/>
      <c r="I54" s="125"/>
      <c r="J54" s="125"/>
    </row>
    <row r="55" spans="5:10" ht="12.75">
      <c r="E55" s="125"/>
      <c r="F55" s="125"/>
      <c r="G55" s="125"/>
      <c r="H55" s="125"/>
      <c r="I55" s="125"/>
      <c r="J55" s="125"/>
    </row>
    <row r="56" spans="5:10" ht="12.75">
      <c r="E56" s="125"/>
      <c r="F56" s="125"/>
      <c r="G56" s="125"/>
      <c r="H56" s="125"/>
      <c r="I56" s="125"/>
      <c r="J56" s="125"/>
    </row>
    <row r="57" spans="5:10" ht="12.75">
      <c r="E57" s="125"/>
      <c r="F57" s="125"/>
      <c r="G57" s="125"/>
      <c r="H57" s="125"/>
      <c r="I57" s="125"/>
      <c r="J57" s="125"/>
    </row>
    <row r="58" spans="5:10" ht="12.75">
      <c r="E58" s="125"/>
      <c r="F58" s="125"/>
      <c r="G58" s="125"/>
      <c r="H58" s="125"/>
      <c r="I58" s="125"/>
      <c r="J58" s="125"/>
    </row>
    <row r="59" spans="5:10" ht="12.75">
      <c r="E59" s="125"/>
      <c r="F59" s="125"/>
      <c r="G59" s="125"/>
      <c r="H59" s="125"/>
      <c r="I59" s="125"/>
      <c r="J59" s="125"/>
    </row>
    <row r="60" spans="5:10" ht="12.75">
      <c r="E60" s="125"/>
      <c r="F60" s="125"/>
      <c r="G60" s="125"/>
      <c r="H60" s="125"/>
      <c r="I60" s="125"/>
      <c r="J60" s="125"/>
    </row>
    <row r="61" spans="5:10" ht="12.75">
      <c r="E61" s="125"/>
      <c r="F61" s="125"/>
      <c r="G61" s="125"/>
      <c r="H61" s="125"/>
      <c r="I61" s="125"/>
      <c r="J61" s="125"/>
    </row>
  </sheetData>
  <sheetProtection/>
  <mergeCells count="27"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  <mergeCell ref="C21:E21"/>
    <mergeCell ref="C31:E31"/>
    <mergeCell ref="C30:E30"/>
    <mergeCell ref="C13:E13"/>
    <mergeCell ref="D14:E14"/>
    <mergeCell ref="D15:E15"/>
    <mergeCell ref="C16:E16"/>
    <mergeCell ref="B5:G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</mergeCells>
  <printOptions horizontalCentered="1" verticalCentered="1"/>
  <pageMargins left="0" right="0" top="0" bottom="0" header="0" footer="0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G26"/>
  <sheetViews>
    <sheetView zoomScalePageLayoutView="0" workbookViewId="0" topLeftCell="A7">
      <selection activeCell="F17" sqref="F17"/>
    </sheetView>
  </sheetViews>
  <sheetFormatPr defaultColWidth="17.7109375" defaultRowHeight="12.75"/>
  <cols>
    <col min="1" max="1" width="2.8515625" style="0" customWidth="1"/>
    <col min="2" max="2" width="43.8515625" style="0" customWidth="1"/>
    <col min="3" max="3" width="13.7109375" style="0" customWidth="1"/>
    <col min="4" max="4" width="13.00390625" style="0" customWidth="1"/>
    <col min="5" max="5" width="10.00390625" style="0" customWidth="1"/>
    <col min="6" max="6" width="18.140625" style="0" customWidth="1"/>
    <col min="7" max="7" width="20.28125" style="0" customWidth="1"/>
    <col min="8" max="8" width="2.7109375" style="0" customWidth="1"/>
  </cols>
  <sheetData>
    <row r="2" spans="2:7" ht="15">
      <c r="B2" s="71" t="s">
        <v>222</v>
      </c>
      <c r="F2" s="74"/>
      <c r="G2" s="75" t="s">
        <v>208</v>
      </c>
    </row>
    <row r="3" ht="6.75" customHeight="1"/>
    <row r="4" spans="1:7" ht="25.5" customHeight="1">
      <c r="A4" s="404" t="s">
        <v>351</v>
      </c>
      <c r="B4" s="404"/>
      <c r="C4" s="404"/>
      <c r="D4" s="404"/>
      <c r="E4" s="404"/>
      <c r="F4" s="404"/>
      <c r="G4" s="404"/>
    </row>
    <row r="5" ht="6.75" customHeight="1"/>
    <row r="6" spans="2:7" ht="12.75" customHeight="1">
      <c r="B6" s="7"/>
      <c r="F6" s="3"/>
      <c r="G6" s="75" t="s">
        <v>208</v>
      </c>
    </row>
    <row r="7" ht="6.75" customHeight="1" thickBot="1"/>
    <row r="8" spans="1:7" s="4" customFormat="1" ht="28.5" customHeight="1">
      <c r="A8" s="147"/>
      <c r="B8" s="148"/>
      <c r="C8" s="148" t="s">
        <v>41</v>
      </c>
      <c r="D8" s="149" t="s">
        <v>70</v>
      </c>
      <c r="E8" s="149" t="s">
        <v>69</v>
      </c>
      <c r="F8" s="148" t="s">
        <v>71</v>
      </c>
      <c r="G8" s="150" t="s">
        <v>65</v>
      </c>
    </row>
    <row r="9" spans="1:7" s="6" customFormat="1" ht="33" customHeight="1">
      <c r="A9" s="151" t="s">
        <v>3</v>
      </c>
      <c r="B9" s="157" t="s">
        <v>429</v>
      </c>
      <c r="C9" s="5">
        <v>100000</v>
      </c>
      <c r="D9" s="5"/>
      <c r="E9" s="5"/>
      <c r="F9" s="5">
        <v>51866284</v>
      </c>
      <c r="G9" s="152">
        <v>51966284</v>
      </c>
    </row>
    <row r="10" spans="1:7" s="6" customFormat="1" ht="27" customHeight="1">
      <c r="A10" s="153" t="s">
        <v>202</v>
      </c>
      <c r="B10" s="158" t="s">
        <v>66</v>
      </c>
      <c r="C10" s="5"/>
      <c r="D10" s="5"/>
      <c r="E10" s="5"/>
      <c r="F10" s="5"/>
      <c r="G10" s="152">
        <f>SUM(C10:F10)</f>
        <v>0</v>
      </c>
    </row>
    <row r="11" spans="1:7" s="6" customFormat="1" ht="27" customHeight="1">
      <c r="A11" s="151" t="s">
        <v>203</v>
      </c>
      <c r="B11" s="157" t="s">
        <v>64</v>
      </c>
      <c r="C11" s="5"/>
      <c r="D11" s="5"/>
      <c r="E11" s="5"/>
      <c r="F11" s="5"/>
      <c r="G11" s="152">
        <f>SUM(C11:F11)</f>
        <v>0</v>
      </c>
    </row>
    <row r="12" spans="1:7" s="6" customFormat="1" ht="26.25" customHeight="1">
      <c r="A12" s="153">
        <v>1</v>
      </c>
      <c r="B12" s="356" t="s">
        <v>68</v>
      </c>
      <c r="C12" s="5"/>
      <c r="D12" s="5"/>
      <c r="E12" s="5"/>
      <c r="F12" s="159">
        <v>62254558</v>
      </c>
      <c r="G12" s="152">
        <f>SUM(C12:F12)</f>
        <v>62254558</v>
      </c>
    </row>
    <row r="13" spans="1:7" s="6" customFormat="1" ht="27" customHeight="1">
      <c r="A13" s="153">
        <v>2</v>
      </c>
      <c r="B13" s="158" t="s">
        <v>67</v>
      </c>
      <c r="C13" s="5"/>
      <c r="D13" s="5"/>
      <c r="E13" s="5"/>
      <c r="F13" s="5">
        <v>-1966284</v>
      </c>
      <c r="G13" s="152">
        <f>SUM(C13:F13)</f>
        <v>-1966284</v>
      </c>
    </row>
    <row r="14" spans="1:7" s="6" customFormat="1" ht="26.25" customHeight="1">
      <c r="A14" s="153">
        <v>3</v>
      </c>
      <c r="B14" s="158" t="s">
        <v>72</v>
      </c>
      <c r="C14" s="5">
        <v>49900000</v>
      </c>
      <c r="D14" s="5"/>
      <c r="E14" s="5"/>
      <c r="F14" s="5">
        <v>-49900000</v>
      </c>
      <c r="G14" s="152">
        <v>0</v>
      </c>
    </row>
    <row r="15" spans="1:7" s="6" customFormat="1" ht="27.75" customHeight="1">
      <c r="A15" s="153">
        <v>4</v>
      </c>
      <c r="B15" s="158" t="s">
        <v>73</v>
      </c>
      <c r="C15" s="5"/>
      <c r="D15" s="5"/>
      <c r="E15" s="5"/>
      <c r="F15" s="5"/>
      <c r="G15" s="152">
        <f>SUM(C15:F15)</f>
        <v>0</v>
      </c>
    </row>
    <row r="16" spans="1:7" s="6" customFormat="1" ht="30.75" customHeight="1">
      <c r="A16" s="151" t="s">
        <v>4</v>
      </c>
      <c r="B16" s="157" t="s">
        <v>307</v>
      </c>
      <c r="C16" s="5">
        <f>SUM(C9:C15)</f>
        <v>50000000</v>
      </c>
      <c r="D16" s="5"/>
      <c r="E16" s="5"/>
      <c r="F16" s="5">
        <f>SUM(F9:F15)</f>
        <v>62254558</v>
      </c>
      <c r="G16" s="152">
        <f>SUM(C16:F16)</f>
        <v>112254558</v>
      </c>
    </row>
    <row r="17" spans="1:7" s="6" customFormat="1" ht="27" customHeight="1">
      <c r="A17" s="153">
        <v>1</v>
      </c>
      <c r="B17" s="356" t="s">
        <v>68</v>
      </c>
      <c r="C17" s="5"/>
      <c r="D17" s="5"/>
      <c r="E17" s="5"/>
      <c r="F17" s="159">
        <f>Rezultati!F30</f>
        <v>-13900908.483400002</v>
      </c>
      <c r="G17" s="152">
        <f>SUM(C17:F17)</f>
        <v>-13900908.483400002</v>
      </c>
    </row>
    <row r="18" spans="1:7" s="6" customFormat="1" ht="26.25" customHeight="1">
      <c r="A18" s="153">
        <v>2</v>
      </c>
      <c r="B18" s="356" t="s">
        <v>67</v>
      </c>
      <c r="C18" s="5"/>
      <c r="D18" s="5"/>
      <c r="E18" s="5"/>
      <c r="F18" s="5">
        <v>-50000000</v>
      </c>
      <c r="G18" s="152">
        <f>F18</f>
        <v>-50000000</v>
      </c>
    </row>
    <row r="19" spans="1:7" s="6" customFormat="1" ht="27.75" customHeight="1">
      <c r="A19" s="153">
        <v>3</v>
      </c>
      <c r="B19" s="356" t="s">
        <v>74</v>
      </c>
      <c r="C19" s="5"/>
      <c r="D19" s="5"/>
      <c r="E19" s="5"/>
      <c r="F19" s="5"/>
      <c r="G19" s="152"/>
    </row>
    <row r="20" spans="1:7" s="6" customFormat="1" ht="29.25" customHeight="1">
      <c r="A20" s="153">
        <v>4</v>
      </c>
      <c r="B20" s="356" t="s">
        <v>204</v>
      </c>
      <c r="C20" s="5"/>
      <c r="D20" s="5"/>
      <c r="E20" s="5"/>
      <c r="F20" s="5"/>
      <c r="G20" s="152"/>
    </row>
    <row r="21" spans="1:7" s="6" customFormat="1" ht="38.25" customHeight="1" thickBot="1">
      <c r="A21" s="154" t="s">
        <v>37</v>
      </c>
      <c r="B21" s="177" t="s">
        <v>427</v>
      </c>
      <c r="C21" s="155">
        <f>SUM(C16:C20)</f>
        <v>50000000</v>
      </c>
      <c r="D21" s="155">
        <f>SUM(D16:D20)</f>
        <v>0</v>
      </c>
      <c r="E21" s="155">
        <f>SUM(E16:E20)</f>
        <v>0</v>
      </c>
      <c r="F21" s="155">
        <f>SUM(F16:F20)</f>
        <v>-1646350.4834000021</v>
      </c>
      <c r="G21" s="156">
        <f>SUM(G16:G20)</f>
        <v>48353649.5166</v>
      </c>
    </row>
    <row r="22" ht="13.5" customHeight="1"/>
    <row r="23" ht="13.5" customHeight="1">
      <c r="G23" s="357"/>
    </row>
    <row r="24" ht="13.5" customHeight="1"/>
    <row r="25" ht="13.5" customHeight="1"/>
    <row r="26" ht="13.5" customHeight="1">
      <c r="G26" s="179"/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G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B3:G51"/>
  <sheetViews>
    <sheetView zoomScalePageLayoutView="0" workbookViewId="0" topLeftCell="A16">
      <selection activeCell="J29" sqref="J29"/>
    </sheetView>
  </sheetViews>
  <sheetFormatPr defaultColWidth="9.140625" defaultRowHeight="12.75"/>
  <cols>
    <col min="1" max="1" width="1.8515625" style="0" customWidth="1"/>
    <col min="2" max="2" width="5.421875" style="0" customWidth="1"/>
    <col min="3" max="3" width="8.7109375" style="0" customWidth="1"/>
    <col min="4" max="4" width="53.421875" style="0" customWidth="1"/>
    <col min="5" max="5" width="14.57421875" style="0" customWidth="1"/>
    <col min="6" max="6" width="14.28125" style="0" customWidth="1"/>
    <col min="7" max="7" width="14.421875" style="0" bestFit="1" customWidth="1"/>
  </cols>
  <sheetData>
    <row r="3" spans="2:6" ht="25.5" customHeight="1">
      <c r="B3" s="1"/>
      <c r="C3" s="71" t="s">
        <v>222</v>
      </c>
      <c r="D3" s="72"/>
      <c r="E3" s="72"/>
      <c r="F3" s="73"/>
    </row>
    <row r="4" spans="2:6" ht="12.75">
      <c r="B4" s="1"/>
      <c r="C4" s="1"/>
      <c r="D4" s="1"/>
      <c r="E4" s="1"/>
      <c r="F4" s="1"/>
    </row>
    <row r="5" spans="2:6" s="2" customFormat="1" ht="23.25" customHeight="1">
      <c r="B5" s="405" t="s">
        <v>346</v>
      </c>
      <c r="C5" s="406"/>
      <c r="D5" s="406"/>
      <c r="E5" s="406"/>
      <c r="F5" s="406"/>
    </row>
    <row r="6" spans="2:6" ht="12.75">
      <c r="B6" s="69"/>
      <c r="C6" s="69"/>
      <c r="D6" s="69"/>
      <c r="E6" s="70"/>
      <c r="F6" s="1" t="s">
        <v>221</v>
      </c>
    </row>
    <row r="7" spans="2:6" ht="12.75">
      <c r="B7" s="400" t="s">
        <v>2</v>
      </c>
      <c r="C7" s="394" t="s">
        <v>209</v>
      </c>
      <c r="D7" s="396"/>
      <c r="E7" s="139" t="s">
        <v>134</v>
      </c>
      <c r="F7" s="117" t="s">
        <v>134</v>
      </c>
    </row>
    <row r="8" spans="2:6" ht="12.75">
      <c r="B8" s="401"/>
      <c r="C8" s="397"/>
      <c r="D8" s="399"/>
      <c r="E8" s="119" t="s">
        <v>135</v>
      </c>
      <c r="F8" s="119" t="s">
        <v>191</v>
      </c>
    </row>
    <row r="9" spans="2:6" ht="17.25" customHeight="1">
      <c r="B9" s="127"/>
      <c r="C9" s="386" t="s">
        <v>210</v>
      </c>
      <c r="D9" s="388"/>
      <c r="E9" s="128"/>
      <c r="F9" s="140"/>
    </row>
    <row r="10" spans="2:7" ht="15" customHeight="1">
      <c r="B10" s="127"/>
      <c r="C10" s="141"/>
      <c r="D10" s="142" t="s">
        <v>211</v>
      </c>
      <c r="E10" s="316">
        <v>112309.971</v>
      </c>
      <c r="F10" s="310">
        <v>317696</v>
      </c>
      <c r="G10" s="315"/>
    </row>
    <row r="11" spans="2:7" ht="15" customHeight="1">
      <c r="B11" s="127"/>
      <c r="C11" s="141"/>
      <c r="D11" s="142" t="s">
        <v>212</v>
      </c>
      <c r="E11" s="316">
        <v>-44389.575</v>
      </c>
      <c r="F11" s="310">
        <v>-249027</v>
      </c>
      <c r="G11" s="314"/>
    </row>
    <row r="12" spans="2:7" ht="16.5" customHeight="1">
      <c r="B12" s="127"/>
      <c r="C12" s="141"/>
      <c r="D12" s="142" t="s">
        <v>220</v>
      </c>
      <c r="E12" s="316">
        <v>-62079.457</v>
      </c>
      <c r="F12" s="310">
        <v>-16985</v>
      </c>
      <c r="G12" s="314"/>
    </row>
    <row r="13" spans="2:7" ht="16.5" customHeight="1">
      <c r="B13" s="127"/>
      <c r="C13" s="141"/>
      <c r="D13" s="142" t="s">
        <v>77</v>
      </c>
      <c r="E13" s="316">
        <v>0</v>
      </c>
      <c r="F13" s="310"/>
      <c r="G13" s="314"/>
    </row>
    <row r="14" spans="2:7" ht="15.75" customHeight="1">
      <c r="B14" s="127"/>
      <c r="C14" s="141"/>
      <c r="D14" s="160" t="s">
        <v>225</v>
      </c>
      <c r="E14" s="316">
        <v>-7247.172</v>
      </c>
      <c r="F14" s="310">
        <v>-13543</v>
      </c>
      <c r="G14" s="314"/>
    </row>
    <row r="15" spans="2:7" ht="16.5" customHeight="1">
      <c r="B15" s="127"/>
      <c r="C15" s="141"/>
      <c r="D15" s="142" t="s">
        <v>217</v>
      </c>
      <c r="E15" s="316">
        <v>0</v>
      </c>
      <c r="F15" s="310"/>
      <c r="G15" s="314"/>
    </row>
    <row r="16" spans="2:7" ht="16.5" customHeight="1">
      <c r="B16" s="127"/>
      <c r="C16" s="141"/>
      <c r="D16" s="142" t="s">
        <v>218</v>
      </c>
      <c r="E16" s="161">
        <v>0</v>
      </c>
      <c r="F16" s="310"/>
      <c r="G16" s="314"/>
    </row>
    <row r="17" spans="2:7" ht="16.5" customHeight="1">
      <c r="B17" s="127"/>
      <c r="C17" s="141"/>
      <c r="D17" s="142" t="s">
        <v>219</v>
      </c>
      <c r="E17" s="161">
        <v>0</v>
      </c>
      <c r="F17" s="310"/>
      <c r="G17" s="314"/>
    </row>
    <row r="18" spans="2:7" ht="17.25" customHeight="1">
      <c r="B18" s="127"/>
      <c r="C18" s="141"/>
      <c r="D18" s="143" t="s">
        <v>213</v>
      </c>
      <c r="E18" s="161">
        <f>SUM(E10:E17)</f>
        <v>-1406.2329999999938</v>
      </c>
      <c r="F18" s="310">
        <v>38141</v>
      </c>
      <c r="G18" s="314"/>
    </row>
    <row r="19" spans="2:7" ht="18.75" customHeight="1">
      <c r="B19" s="127"/>
      <c r="C19" s="386" t="s">
        <v>78</v>
      </c>
      <c r="D19" s="388"/>
      <c r="E19" s="161">
        <v>0</v>
      </c>
      <c r="F19" s="310"/>
      <c r="G19" s="314"/>
    </row>
    <row r="20" spans="2:7" ht="16.5" customHeight="1">
      <c r="B20" s="127"/>
      <c r="C20" s="141"/>
      <c r="D20" s="142" t="s">
        <v>214</v>
      </c>
      <c r="E20" s="161">
        <v>0</v>
      </c>
      <c r="F20" s="128"/>
      <c r="G20" s="314"/>
    </row>
    <row r="21" spans="2:7" ht="16.5" customHeight="1">
      <c r="B21" s="127"/>
      <c r="C21" s="141"/>
      <c r="D21" s="142" t="s">
        <v>79</v>
      </c>
      <c r="E21" s="305">
        <v>-16815.6</v>
      </c>
      <c r="F21" s="128">
        <v>-1441</v>
      </c>
      <c r="G21" s="314"/>
    </row>
    <row r="22" spans="2:7" ht="17.25" customHeight="1">
      <c r="B22" s="127"/>
      <c r="C22" s="141"/>
      <c r="D22" s="142" t="s">
        <v>80</v>
      </c>
      <c r="E22" s="161">
        <v>0</v>
      </c>
      <c r="F22" s="128"/>
      <c r="G22" s="314"/>
    </row>
    <row r="23" spans="2:7" ht="21.75" customHeight="1">
      <c r="B23" s="127"/>
      <c r="C23" s="141"/>
      <c r="D23" s="142" t="s">
        <v>81</v>
      </c>
      <c r="E23" s="305">
        <v>50.987</v>
      </c>
      <c r="F23" s="317">
        <v>87</v>
      </c>
      <c r="G23" s="314"/>
    </row>
    <row r="24" spans="2:7" ht="17.25" customHeight="1">
      <c r="B24" s="127"/>
      <c r="C24" s="141"/>
      <c r="D24" s="142" t="s">
        <v>82</v>
      </c>
      <c r="E24" s="161">
        <v>0</v>
      </c>
      <c r="F24" s="128"/>
      <c r="G24" s="314"/>
    </row>
    <row r="25" spans="2:7" ht="18" customHeight="1">
      <c r="B25" s="127"/>
      <c r="C25" s="141"/>
      <c r="D25" s="143" t="s">
        <v>83</v>
      </c>
      <c r="E25" s="161">
        <f>SUM(E19:E24)</f>
        <v>-16764.612999999998</v>
      </c>
      <c r="F25" s="128">
        <v>-1354</v>
      </c>
      <c r="G25" s="314"/>
    </row>
    <row r="26" spans="2:7" ht="20.25" customHeight="1">
      <c r="B26" s="127"/>
      <c r="C26" s="386" t="s">
        <v>84</v>
      </c>
      <c r="D26" s="388"/>
      <c r="E26" s="161">
        <v>0</v>
      </c>
      <c r="F26" s="128"/>
      <c r="G26" s="314"/>
    </row>
    <row r="27" spans="2:7" ht="15.75" customHeight="1">
      <c r="B27" s="127"/>
      <c r="C27" s="141"/>
      <c r="D27" s="142" t="s">
        <v>90</v>
      </c>
      <c r="E27" s="161">
        <v>0</v>
      </c>
      <c r="F27" s="128"/>
      <c r="G27" s="314"/>
    </row>
    <row r="28" spans="2:7" ht="17.25" customHeight="1">
      <c r="B28" s="127"/>
      <c r="C28" s="141"/>
      <c r="D28" s="142" t="s">
        <v>85</v>
      </c>
      <c r="E28" s="161">
        <v>0</v>
      </c>
      <c r="F28" s="128">
        <v>-15265</v>
      </c>
      <c r="G28" s="314"/>
    </row>
    <row r="29" spans="2:7" ht="15" customHeight="1">
      <c r="B29" s="127"/>
      <c r="C29" s="141"/>
      <c r="D29" s="142" t="s">
        <v>215</v>
      </c>
      <c r="E29" s="161">
        <v>-22.175</v>
      </c>
      <c r="F29" s="128">
        <v>-5</v>
      </c>
      <c r="G29" s="314"/>
    </row>
    <row r="30" spans="2:7" ht="18" customHeight="1">
      <c r="B30" s="127"/>
      <c r="C30" s="141"/>
      <c r="D30" s="142" t="s">
        <v>86</v>
      </c>
      <c r="E30" s="161">
        <v>0</v>
      </c>
      <c r="F30" s="128">
        <v>-1770</v>
      </c>
      <c r="G30" s="314"/>
    </row>
    <row r="31" spans="2:7" ht="16.5" customHeight="1">
      <c r="B31" s="127"/>
      <c r="C31" s="141"/>
      <c r="D31" s="143" t="s">
        <v>216</v>
      </c>
      <c r="E31" s="161">
        <v>-22.175</v>
      </c>
      <c r="F31" s="128">
        <v>-17040</v>
      </c>
      <c r="G31" s="314"/>
    </row>
    <row r="32" spans="2:7" ht="18" customHeight="1">
      <c r="B32" s="127"/>
      <c r="C32" s="386" t="s">
        <v>87</v>
      </c>
      <c r="D32" s="388"/>
      <c r="E32" s="161">
        <f>E18+E25+E31</f>
        <v>-18193.02099999999</v>
      </c>
      <c r="F32" s="128">
        <v>19747</v>
      </c>
      <c r="G32" s="314"/>
    </row>
    <row r="33" spans="2:7" ht="17.25" customHeight="1">
      <c r="B33" s="127"/>
      <c r="C33" s="386" t="s">
        <v>88</v>
      </c>
      <c r="D33" s="388"/>
      <c r="E33" s="161">
        <v>20073.285</v>
      </c>
      <c r="F33" s="128">
        <v>326</v>
      </c>
      <c r="G33" s="314"/>
    </row>
    <row r="34" spans="2:7" ht="24" customHeight="1">
      <c r="B34" s="127"/>
      <c r="C34" s="386" t="s">
        <v>89</v>
      </c>
      <c r="D34" s="388"/>
      <c r="E34" s="161">
        <v>1880.264</v>
      </c>
      <c r="F34" s="128">
        <v>20073</v>
      </c>
      <c r="G34" s="314"/>
    </row>
    <row r="35" spans="2:6" ht="12.75">
      <c r="B35" s="135"/>
      <c r="C35" s="135"/>
      <c r="D35" s="135"/>
      <c r="E35" s="136"/>
      <c r="F35" s="136"/>
    </row>
    <row r="36" spans="2:6" ht="12.75">
      <c r="B36" s="135"/>
      <c r="C36" s="135"/>
      <c r="D36" s="135"/>
      <c r="E36" s="135"/>
      <c r="F36" s="135"/>
    </row>
    <row r="37" spans="2:6" ht="12.75">
      <c r="B37" s="135"/>
      <c r="C37" s="135"/>
      <c r="D37" s="135"/>
      <c r="E37" s="135"/>
      <c r="F37" s="135"/>
    </row>
    <row r="38" spans="2:6" ht="12.75">
      <c r="B38" s="135"/>
      <c r="C38" s="135"/>
      <c r="D38" s="135"/>
      <c r="E38" s="135"/>
      <c r="F38" s="135"/>
    </row>
    <row r="39" spans="2:6" ht="12.75">
      <c r="B39" s="135"/>
      <c r="C39" s="135"/>
      <c r="D39" s="135"/>
      <c r="E39" s="135"/>
      <c r="F39" s="135"/>
    </row>
    <row r="40" spans="2:6" ht="12.75">
      <c r="B40" s="135"/>
      <c r="C40" s="135"/>
      <c r="D40" s="135"/>
      <c r="E40" s="135"/>
      <c r="F40" s="135"/>
    </row>
    <row r="41" spans="2:6" ht="12.75">
      <c r="B41" s="137"/>
      <c r="C41" s="137"/>
      <c r="D41" s="137"/>
      <c r="E41" s="138"/>
      <c r="F41" s="138"/>
    </row>
    <row r="42" spans="2:6" ht="12.75">
      <c r="B42" s="69"/>
      <c r="C42" s="69"/>
      <c r="D42" s="69"/>
      <c r="E42" s="70"/>
      <c r="F42" s="70"/>
    </row>
    <row r="43" spans="2:6" ht="12.75">
      <c r="B43" s="69"/>
      <c r="C43" s="69"/>
      <c r="D43" s="69"/>
      <c r="E43" s="70"/>
      <c r="F43" s="70"/>
    </row>
    <row r="44" spans="2:6" ht="12.75">
      <c r="B44" s="69"/>
      <c r="C44" s="69"/>
      <c r="D44" s="69"/>
      <c r="E44" s="70"/>
      <c r="F44" s="70"/>
    </row>
    <row r="45" spans="2:6" ht="12.75">
      <c r="B45" s="69"/>
      <c r="C45" s="69"/>
      <c r="D45" s="69"/>
      <c r="E45" s="70"/>
      <c r="F45" s="70"/>
    </row>
    <row r="46" spans="2:6" ht="12.75">
      <c r="B46" s="69"/>
      <c r="C46" s="69"/>
      <c r="D46" s="69"/>
      <c r="E46" s="70"/>
      <c r="F46" s="70"/>
    </row>
    <row r="47" spans="2:6" ht="12.75">
      <c r="B47" s="69"/>
      <c r="C47" s="69"/>
      <c r="D47" s="69"/>
      <c r="E47" s="70"/>
      <c r="F47" s="70"/>
    </row>
    <row r="48" spans="2:6" ht="12.75">
      <c r="B48" s="69"/>
      <c r="C48" s="69"/>
      <c r="D48" s="69"/>
      <c r="E48" s="70"/>
      <c r="F48" s="70"/>
    </row>
    <row r="49" spans="2:6" ht="12.75">
      <c r="B49" s="69"/>
      <c r="C49" s="69"/>
      <c r="D49" s="69"/>
      <c r="E49" s="70"/>
      <c r="F49" s="70"/>
    </row>
    <row r="50" spans="2:6" ht="12.75">
      <c r="B50" s="69"/>
      <c r="C50" s="69"/>
      <c r="D50" s="69"/>
      <c r="E50" s="70"/>
      <c r="F50" s="70"/>
    </row>
    <row r="51" spans="2:6" ht="12.75">
      <c r="B51" s="69"/>
      <c r="C51" s="69"/>
      <c r="D51" s="69"/>
      <c r="E51" s="70"/>
      <c r="F51" s="70"/>
    </row>
  </sheetData>
  <sheetProtection/>
  <mergeCells count="9">
    <mergeCell ref="C34:D34"/>
    <mergeCell ref="C26:D26"/>
    <mergeCell ref="C32:D32"/>
    <mergeCell ref="C9:D9"/>
    <mergeCell ref="C19:D19"/>
    <mergeCell ref="B5:F5"/>
    <mergeCell ref="B7:B8"/>
    <mergeCell ref="C7:D8"/>
    <mergeCell ref="C33:D33"/>
  </mergeCells>
  <printOptions horizontalCentered="1" verticalCentered="1"/>
  <pageMargins left="0" right="0" top="0" bottom="0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66FF"/>
  </sheetPr>
  <dimension ref="B2:K143"/>
  <sheetViews>
    <sheetView zoomScalePageLayoutView="0" workbookViewId="0" topLeftCell="A112">
      <selection activeCell="J147" sqref="J147"/>
    </sheetView>
  </sheetViews>
  <sheetFormatPr defaultColWidth="9.140625" defaultRowHeight="12.75"/>
  <cols>
    <col min="1" max="1" width="5.140625" style="0" customWidth="1"/>
    <col min="2" max="2" width="37.57421875" style="0" customWidth="1"/>
    <col min="3" max="3" width="13.421875" style="0" customWidth="1"/>
    <col min="4" max="4" width="17.421875" style="0" customWidth="1"/>
    <col min="5" max="5" width="17.140625" style="0" customWidth="1"/>
    <col min="6" max="6" width="20.8515625" style="0" customWidth="1"/>
    <col min="7" max="7" width="17.00390625" style="0" bestFit="1" customWidth="1"/>
  </cols>
  <sheetData>
    <row r="2" spans="5:6" ht="30" customHeight="1">
      <c r="E2" s="8" t="s">
        <v>355</v>
      </c>
      <c r="F2" s="8" t="s">
        <v>355</v>
      </c>
    </row>
    <row r="3" spans="2:6" ht="44.25" customHeight="1">
      <c r="B3" s="222" t="s">
        <v>226</v>
      </c>
      <c r="C3" s="223" t="s">
        <v>347</v>
      </c>
      <c r="D3" s="223" t="s">
        <v>350</v>
      </c>
      <c r="E3" s="223" t="s">
        <v>348</v>
      </c>
      <c r="F3" s="223" t="s">
        <v>308</v>
      </c>
    </row>
    <row r="4" spans="2:6" ht="15" customHeight="1">
      <c r="B4" s="165" t="s">
        <v>227</v>
      </c>
      <c r="C4" s="184"/>
      <c r="D4" s="184"/>
      <c r="E4" s="184">
        <v>1351305</v>
      </c>
      <c r="F4" s="184">
        <v>81863</v>
      </c>
    </row>
    <row r="5" spans="2:6" ht="15" customHeight="1">
      <c r="B5" s="165" t="s">
        <v>228</v>
      </c>
      <c r="C5" s="184"/>
      <c r="D5" s="184"/>
      <c r="E5" s="184">
        <v>-4114.36</v>
      </c>
      <c r="F5" s="184">
        <v>2835</v>
      </c>
    </row>
    <row r="6" spans="2:6" ht="15" customHeight="1">
      <c r="B6" s="165" t="s">
        <v>309</v>
      </c>
      <c r="C6" s="208"/>
      <c r="D6" s="184"/>
      <c r="E6" s="184">
        <v>29784.53</v>
      </c>
      <c r="F6" s="184">
        <v>1575340</v>
      </c>
    </row>
    <row r="7" spans="2:6" ht="15" customHeight="1">
      <c r="B7" s="165" t="s">
        <v>229</v>
      </c>
      <c r="C7" s="207">
        <v>140.2</v>
      </c>
      <c r="D7" s="224">
        <v>65.92</v>
      </c>
      <c r="E7" s="184">
        <f aca="true" t="shared" si="0" ref="E7:E12">C7*D7</f>
        <v>9241.984</v>
      </c>
      <c r="F7" s="184">
        <v>732052</v>
      </c>
    </row>
    <row r="8" spans="2:6" ht="15" customHeight="1">
      <c r="B8" s="165" t="s">
        <v>230</v>
      </c>
      <c r="C8" s="207">
        <v>140.2</v>
      </c>
      <c r="D8" s="224">
        <v>2910.6</v>
      </c>
      <c r="E8" s="184">
        <f>C8*D8</f>
        <v>408066.11999999994</v>
      </c>
      <c r="F8" s="174"/>
    </row>
    <row r="9" spans="2:6" ht="15" customHeight="1">
      <c r="B9" s="165" t="s">
        <v>231</v>
      </c>
      <c r="C9" s="207">
        <v>140.2</v>
      </c>
      <c r="D9" s="225"/>
      <c r="E9" s="184">
        <f t="shared" si="0"/>
        <v>0</v>
      </c>
      <c r="F9" s="184">
        <v>17012</v>
      </c>
    </row>
    <row r="10" spans="2:6" ht="15" customHeight="1">
      <c r="B10" s="165" t="s">
        <v>239</v>
      </c>
      <c r="C10" s="208">
        <v>140.2</v>
      </c>
      <c r="D10" s="225">
        <v>173.73</v>
      </c>
      <c r="E10" s="184">
        <f t="shared" si="0"/>
        <v>24356.945999999996</v>
      </c>
      <c r="F10" s="184">
        <v>1045144</v>
      </c>
    </row>
    <row r="11" spans="2:6" ht="15" customHeight="1">
      <c r="B11" s="165" t="s">
        <v>349</v>
      </c>
      <c r="C11" s="210">
        <v>114.41</v>
      </c>
      <c r="D11" s="224">
        <v>95.85</v>
      </c>
      <c r="E11" s="184">
        <f t="shared" si="0"/>
        <v>10966.198499999999</v>
      </c>
      <c r="F11" s="184">
        <v>16353355</v>
      </c>
    </row>
    <row r="12" spans="2:6" ht="15" customHeight="1">
      <c r="B12" s="165" t="s">
        <v>233</v>
      </c>
      <c r="C12" s="209">
        <v>140.2</v>
      </c>
      <c r="D12" s="226">
        <v>334.5273</v>
      </c>
      <c r="E12" s="184">
        <f t="shared" si="0"/>
        <v>46900.72746</v>
      </c>
      <c r="F12" s="174">
        <v>3843</v>
      </c>
    </row>
    <row r="13" spans="2:6" ht="15" customHeight="1">
      <c r="B13" s="165" t="s">
        <v>232</v>
      </c>
      <c r="C13" s="205"/>
      <c r="D13" s="205"/>
      <c r="E13" s="184">
        <v>3755.97</v>
      </c>
      <c r="F13" s="184">
        <v>261841</v>
      </c>
    </row>
    <row r="14" spans="2:6" ht="29.25" customHeight="1">
      <c r="B14" s="197" t="s">
        <v>234</v>
      </c>
      <c r="C14" s="198"/>
      <c r="D14" s="198"/>
      <c r="E14" s="198">
        <f>SUM(E4:E13)</f>
        <v>1880263.1159599996</v>
      </c>
      <c r="F14" s="198">
        <f>SUM(F4:F13)</f>
        <v>20073285</v>
      </c>
    </row>
    <row r="15" spans="2:4" ht="12.75">
      <c r="B15" s="1"/>
      <c r="C15" s="183"/>
      <c r="D15" s="1"/>
    </row>
    <row r="19" spans="2:4" ht="21.75" customHeight="1">
      <c r="B19" s="173" t="s">
        <v>235</v>
      </c>
      <c r="C19" s="171" t="s">
        <v>308</v>
      </c>
      <c r="D19" s="172" t="s">
        <v>224</v>
      </c>
    </row>
    <row r="20" spans="2:4" ht="15" customHeight="1">
      <c r="B20" s="165" t="s">
        <v>236</v>
      </c>
      <c r="C20" s="166">
        <v>123269544.78</v>
      </c>
      <c r="D20" s="166">
        <v>214905126</v>
      </c>
    </row>
    <row r="21" spans="2:4" ht="15" customHeight="1">
      <c r="B21" s="165" t="s">
        <v>237</v>
      </c>
      <c r="C21" s="166"/>
      <c r="D21" s="166">
        <v>270000</v>
      </c>
    </row>
    <row r="22" spans="2:4" ht="15" customHeight="1">
      <c r="B22" s="165" t="s">
        <v>238</v>
      </c>
      <c r="C22" s="184"/>
      <c r="D22" s="184">
        <v>3881508</v>
      </c>
    </row>
    <row r="23" spans="2:4" ht="15" customHeight="1">
      <c r="B23" s="165" t="s">
        <v>310</v>
      </c>
      <c r="C23" s="184"/>
      <c r="D23" s="184">
        <v>935660</v>
      </c>
    </row>
    <row r="24" spans="2:4" ht="15" customHeight="1">
      <c r="B24" s="165" t="s">
        <v>311</v>
      </c>
      <c r="C24" s="184"/>
      <c r="D24" s="184">
        <v>-2869652</v>
      </c>
    </row>
    <row r="25" spans="2:4" ht="21.75" customHeight="1" thickBot="1">
      <c r="B25" s="195" t="s">
        <v>234</v>
      </c>
      <c r="C25" s="196">
        <f>SUM(C20:C24)</f>
        <v>123269544.78</v>
      </c>
      <c r="D25" s="196">
        <f>SUM(D20:D24)</f>
        <v>217122642</v>
      </c>
    </row>
    <row r="26" ht="13.5" thickTop="1"/>
    <row r="27" ht="12.75">
      <c r="C27" s="185"/>
    </row>
    <row r="29" spans="2:4" ht="24.75" customHeight="1">
      <c r="B29" s="169" t="s">
        <v>240</v>
      </c>
      <c r="C29" s="172" t="s">
        <v>348</v>
      </c>
      <c r="D29" s="172" t="s">
        <v>308</v>
      </c>
    </row>
    <row r="30" spans="2:4" ht="15" customHeight="1">
      <c r="B30" s="163" t="s">
        <v>255</v>
      </c>
      <c r="C30" s="164">
        <v>10823986.54</v>
      </c>
      <c r="D30" s="184">
        <v>10823987</v>
      </c>
    </row>
    <row r="31" spans="2:4" ht="15" customHeight="1">
      <c r="B31" s="163" t="s">
        <v>256</v>
      </c>
      <c r="C31" s="167"/>
      <c r="D31" s="167"/>
    </row>
    <row r="32" spans="2:4" ht="15" customHeight="1">
      <c r="B32" s="165" t="s">
        <v>241</v>
      </c>
      <c r="C32" s="168"/>
      <c r="D32" s="168"/>
    </row>
    <row r="33" spans="2:4" ht="15" customHeight="1">
      <c r="B33" s="165" t="s">
        <v>242</v>
      </c>
      <c r="C33" s="168"/>
      <c r="D33" s="168"/>
    </row>
    <row r="34" spans="2:4" ht="15" customHeight="1">
      <c r="B34" s="165" t="s">
        <v>243</v>
      </c>
      <c r="C34" s="184"/>
      <c r="D34" s="184">
        <v>66998</v>
      </c>
    </row>
    <row r="35" spans="2:4" ht="15" customHeight="1">
      <c r="B35" s="163" t="s">
        <v>244</v>
      </c>
      <c r="C35" s="164">
        <v>3635880</v>
      </c>
      <c r="D35" s="184">
        <v>3635880</v>
      </c>
    </row>
    <row r="36" spans="2:4" ht="15" customHeight="1">
      <c r="B36" s="163" t="s">
        <v>257</v>
      </c>
      <c r="C36" s="167"/>
      <c r="D36" s="167"/>
    </row>
    <row r="37" spans="2:4" ht="15" customHeight="1">
      <c r="B37" s="163" t="s">
        <v>258</v>
      </c>
      <c r="C37" s="164">
        <v>420600</v>
      </c>
      <c r="D37" s="184">
        <v>418770</v>
      </c>
    </row>
    <row r="38" spans="2:4" ht="15" customHeight="1">
      <c r="B38" s="163" t="s">
        <v>259</v>
      </c>
      <c r="C38" s="184">
        <v>0</v>
      </c>
      <c r="D38" s="184">
        <v>206290</v>
      </c>
    </row>
    <row r="39" spans="2:4" ht="15" customHeight="1">
      <c r="B39" s="165" t="s">
        <v>313</v>
      </c>
      <c r="C39" s="184">
        <v>0</v>
      </c>
      <c r="D39" s="184">
        <v>922680</v>
      </c>
    </row>
    <row r="40" spans="2:4" ht="15" customHeight="1">
      <c r="B40" s="165" t="s">
        <v>314</v>
      </c>
      <c r="C40" s="184">
        <v>0</v>
      </c>
      <c r="D40" s="184">
        <v>530540</v>
      </c>
    </row>
    <row r="41" spans="2:4" ht="15" customHeight="1">
      <c r="B41" s="163" t="s">
        <v>260</v>
      </c>
      <c r="C41" s="164">
        <v>2410980</v>
      </c>
      <c r="D41" s="184">
        <v>2410980</v>
      </c>
    </row>
    <row r="42" spans="2:4" ht="15" customHeight="1">
      <c r="B42" s="165" t="s">
        <v>245</v>
      </c>
      <c r="C42" s="164">
        <v>0.37689999999999996</v>
      </c>
      <c r="D42" s="164">
        <v>0.37689999999999996</v>
      </c>
    </row>
    <row r="43" spans="2:4" ht="15" customHeight="1">
      <c r="B43" s="165" t="s">
        <v>246</v>
      </c>
      <c r="C43" s="184"/>
      <c r="D43" s="184">
        <v>165505</v>
      </c>
    </row>
    <row r="44" spans="2:4" ht="15" customHeight="1">
      <c r="B44" s="165" t="s">
        <v>319</v>
      </c>
      <c r="C44" s="164">
        <v>115215.2</v>
      </c>
      <c r="D44" s="184">
        <v>105875</v>
      </c>
    </row>
    <row r="45" spans="2:4" ht="15" customHeight="1">
      <c r="B45" s="165" t="s">
        <v>318</v>
      </c>
      <c r="C45" s="184"/>
      <c r="D45" s="184">
        <v>58032</v>
      </c>
    </row>
    <row r="46" spans="2:4" ht="15" customHeight="1">
      <c r="B46" s="165" t="s">
        <v>247</v>
      </c>
      <c r="C46" s="164">
        <v>524248.8</v>
      </c>
      <c r="D46" s="184">
        <v>524249</v>
      </c>
    </row>
    <row r="47" spans="2:4" ht="15" customHeight="1">
      <c r="B47" s="165" t="s">
        <v>248</v>
      </c>
      <c r="C47" s="164">
        <v>160242.992</v>
      </c>
      <c r="D47" s="184">
        <v>159546</v>
      </c>
    </row>
    <row r="48" spans="2:4" ht="15" customHeight="1">
      <c r="B48" s="163" t="s">
        <v>264</v>
      </c>
      <c r="C48" s="167"/>
      <c r="D48" s="167"/>
    </row>
    <row r="49" spans="2:4" ht="15" customHeight="1">
      <c r="B49" s="165" t="s">
        <v>249</v>
      </c>
      <c r="C49" s="168"/>
      <c r="D49" s="168"/>
    </row>
    <row r="50" spans="2:4" ht="15" customHeight="1">
      <c r="B50" s="163" t="s">
        <v>261</v>
      </c>
      <c r="C50" s="164">
        <v>2943405</v>
      </c>
      <c r="D50" s="167">
        <v>2943405</v>
      </c>
    </row>
    <row r="51" spans="2:4" ht="15" customHeight="1">
      <c r="B51" s="163" t="s">
        <v>262</v>
      </c>
      <c r="C51" s="164">
        <v>0</v>
      </c>
      <c r="D51" s="184">
        <v>558840</v>
      </c>
    </row>
    <row r="52" spans="2:4" ht="15" customHeight="1">
      <c r="B52" s="163" t="s">
        <v>263</v>
      </c>
      <c r="C52" s="164">
        <v>64742.39</v>
      </c>
      <c r="D52" s="167">
        <v>64742</v>
      </c>
    </row>
    <row r="53" spans="2:4" ht="15" customHeight="1">
      <c r="B53" s="165" t="s">
        <v>250</v>
      </c>
      <c r="C53" s="164">
        <v>0.001999999973922968</v>
      </c>
      <c r="D53" s="184">
        <v>165636</v>
      </c>
    </row>
    <row r="54" spans="2:4" ht="15" customHeight="1">
      <c r="B54" s="163" t="s">
        <v>265</v>
      </c>
      <c r="C54" s="164">
        <v>110470.2</v>
      </c>
      <c r="D54" s="184">
        <v>110470</v>
      </c>
    </row>
    <row r="55" spans="2:4" ht="15" customHeight="1">
      <c r="B55" s="165" t="s">
        <v>251</v>
      </c>
      <c r="C55" s="164">
        <v>105026.04</v>
      </c>
      <c r="D55" s="168">
        <v>154886</v>
      </c>
    </row>
    <row r="56" spans="2:4" ht="15" customHeight="1">
      <c r="B56" s="165" t="s">
        <v>312</v>
      </c>
      <c r="C56" s="164">
        <v>44100</v>
      </c>
      <c r="D56" s="184">
        <v>44100</v>
      </c>
    </row>
    <row r="57" spans="2:4" ht="15" customHeight="1">
      <c r="B57" s="165" t="s">
        <v>252</v>
      </c>
      <c r="C57" s="184"/>
      <c r="D57" s="184"/>
    </row>
    <row r="58" spans="2:4" ht="15" customHeight="1">
      <c r="B58" s="165" t="s">
        <v>315</v>
      </c>
      <c r="C58" s="214">
        <v>1139640</v>
      </c>
      <c r="D58" s="184">
        <v>1139640</v>
      </c>
    </row>
    <row r="59" spans="2:4" ht="15" customHeight="1">
      <c r="B59" s="165" t="s">
        <v>253</v>
      </c>
      <c r="C59" s="168"/>
      <c r="D59" s="168"/>
    </row>
    <row r="60" spans="2:4" ht="15" customHeight="1">
      <c r="B60" s="165" t="s">
        <v>254</v>
      </c>
      <c r="C60" s="164">
        <v>3605944</v>
      </c>
      <c r="D60" s="184">
        <v>3590255</v>
      </c>
    </row>
    <row r="61" spans="2:4" ht="15" customHeight="1">
      <c r="B61" s="163" t="s">
        <v>266</v>
      </c>
      <c r="C61" s="167"/>
      <c r="D61" s="167"/>
    </row>
    <row r="62" spans="2:4" ht="15" customHeight="1">
      <c r="B62" s="163" t="s">
        <v>267</v>
      </c>
      <c r="C62" s="167"/>
      <c r="D62" s="167"/>
    </row>
    <row r="63" spans="2:4" ht="15" customHeight="1">
      <c r="B63" s="163" t="s">
        <v>268</v>
      </c>
      <c r="C63" s="167"/>
      <c r="D63" s="167"/>
    </row>
    <row r="64" spans="2:4" ht="15" customHeight="1">
      <c r="B64" s="163" t="s">
        <v>269</v>
      </c>
      <c r="C64" s="164">
        <v>0.0019000000040978193</v>
      </c>
      <c r="D64" s="184">
        <v>49404</v>
      </c>
    </row>
    <row r="65" spans="2:4" ht="15" customHeight="1">
      <c r="B65" s="163" t="s">
        <v>270</v>
      </c>
      <c r="C65" s="164">
        <v>3195099.6</v>
      </c>
      <c r="D65" s="184">
        <v>3195100</v>
      </c>
    </row>
    <row r="66" spans="2:4" ht="15" customHeight="1">
      <c r="B66" s="163" t="s">
        <v>271</v>
      </c>
      <c r="C66" s="164">
        <v>190385.9964</v>
      </c>
      <c r="D66" s="184">
        <v>189558</v>
      </c>
    </row>
    <row r="67" spans="2:4" ht="15" customHeight="1">
      <c r="B67" s="163" t="s">
        <v>316</v>
      </c>
      <c r="C67" s="164">
        <v>1913923.2</v>
      </c>
      <c r="D67" s="184">
        <v>1913923</v>
      </c>
    </row>
    <row r="68" spans="2:4" ht="15" customHeight="1">
      <c r="B68" s="163" t="s">
        <v>272</v>
      </c>
      <c r="C68" s="167"/>
      <c r="D68" s="167"/>
    </row>
    <row r="69" spans="2:4" ht="15" customHeight="1">
      <c r="B69" s="163" t="s">
        <v>273</v>
      </c>
      <c r="C69" s="184"/>
      <c r="D69" s="184">
        <v>2562957</v>
      </c>
    </row>
    <row r="70" spans="2:4" ht="15" customHeight="1">
      <c r="B70" s="163" t="s">
        <v>274</v>
      </c>
      <c r="C70" s="167"/>
      <c r="D70" s="167"/>
    </row>
    <row r="71" spans="2:4" ht="15" customHeight="1">
      <c r="B71" s="163" t="s">
        <v>275</v>
      </c>
      <c r="C71" s="164">
        <v>4946959.395699999</v>
      </c>
      <c r="D71" s="184">
        <v>4925436</v>
      </c>
    </row>
    <row r="72" spans="2:4" ht="15" customHeight="1">
      <c r="B72" s="163" t="s">
        <v>276</v>
      </c>
      <c r="C72" s="184"/>
      <c r="D72" s="184">
        <v>1493374</v>
      </c>
    </row>
    <row r="73" spans="2:4" ht="15" customHeight="1">
      <c r="B73" s="163" t="s">
        <v>317</v>
      </c>
      <c r="C73" s="164">
        <v>52397.4</v>
      </c>
      <c r="D73" s="184">
        <v>888607</v>
      </c>
    </row>
    <row r="74" spans="2:4" ht="15" customHeight="1">
      <c r="B74" s="163" t="s">
        <v>277</v>
      </c>
      <c r="C74" s="164">
        <v>46500</v>
      </c>
      <c r="D74" s="184">
        <v>46500</v>
      </c>
    </row>
    <row r="75" spans="2:4" ht="15" customHeight="1">
      <c r="B75" s="163" t="s">
        <v>278</v>
      </c>
      <c r="C75" s="184"/>
      <c r="D75" s="184">
        <v>1353077</v>
      </c>
    </row>
    <row r="76" spans="2:4" ht="15" customHeight="1">
      <c r="B76" s="163" t="s">
        <v>279</v>
      </c>
      <c r="C76" s="164">
        <v>180954.323</v>
      </c>
      <c r="D76" s="184">
        <v>180167</v>
      </c>
    </row>
    <row r="77" spans="2:4" ht="15" customHeight="1">
      <c r="B77" s="163" t="s">
        <v>280</v>
      </c>
      <c r="C77" s="164">
        <v>0</v>
      </c>
      <c r="D77" s="184">
        <v>805914</v>
      </c>
    </row>
    <row r="78" spans="2:4" ht="15" customHeight="1">
      <c r="B78" s="163" t="s">
        <v>281</v>
      </c>
      <c r="C78" s="184"/>
      <c r="D78" s="184">
        <v>144480</v>
      </c>
    </row>
    <row r="79" spans="2:4" ht="15" customHeight="1">
      <c r="B79" s="163" t="s">
        <v>310</v>
      </c>
      <c r="C79" s="184"/>
      <c r="D79" s="184">
        <v>-25946</v>
      </c>
    </row>
    <row r="80" spans="2:4" ht="15" customHeight="1">
      <c r="B80" s="163" t="s">
        <v>320</v>
      </c>
      <c r="C80" s="184"/>
      <c r="D80" s="184">
        <v>-1060438</v>
      </c>
    </row>
    <row r="81" spans="2:4" ht="22.5" customHeight="1" thickBot="1">
      <c r="B81" s="193" t="s">
        <v>234</v>
      </c>
      <c r="C81" s="194">
        <f>SUM(C30:C80)</f>
        <v>36630701.45789999</v>
      </c>
      <c r="D81" s="194">
        <f>SUM(D30:D80)</f>
        <v>45463419.3769</v>
      </c>
    </row>
    <row r="82" ht="13.5" thickTop="1"/>
    <row r="84" spans="2:4" ht="12.75">
      <c r="B84" s="215"/>
      <c r="C84" s="212"/>
      <c r="D84" s="212"/>
    </row>
    <row r="85" spans="2:4" ht="19.5" customHeight="1">
      <c r="B85" s="169" t="s">
        <v>282</v>
      </c>
      <c r="C85" s="170" t="s">
        <v>308</v>
      </c>
      <c r="D85" s="170" t="s">
        <v>224</v>
      </c>
    </row>
    <row r="86" spans="2:11" ht="15" customHeight="1">
      <c r="B86" s="165" t="s">
        <v>283</v>
      </c>
      <c r="C86" s="175">
        <v>282688.88</v>
      </c>
      <c r="D86" s="175">
        <v>287439</v>
      </c>
      <c r="F86" s="213"/>
      <c r="G86" s="212"/>
      <c r="H86" s="212"/>
      <c r="I86" s="214"/>
      <c r="J86" s="212"/>
      <c r="K86" s="214"/>
    </row>
    <row r="87" spans="2:11" ht="15" customHeight="1">
      <c r="B87" s="165" t="s">
        <v>284</v>
      </c>
      <c r="C87" s="184"/>
      <c r="D87" s="184">
        <v>344988</v>
      </c>
      <c r="F87" s="213"/>
      <c r="G87" s="212"/>
      <c r="H87" s="212"/>
      <c r="I87" s="214"/>
      <c r="J87" s="212"/>
      <c r="K87" s="214"/>
    </row>
    <row r="88" spans="2:11" ht="15" customHeight="1">
      <c r="B88" s="165" t="s">
        <v>285</v>
      </c>
      <c r="C88" s="221">
        <v>148621</v>
      </c>
      <c r="D88" s="184">
        <v>442191</v>
      </c>
      <c r="F88" s="213"/>
      <c r="G88" s="212"/>
      <c r="H88" s="212"/>
      <c r="I88" s="214"/>
      <c r="J88" s="212"/>
      <c r="K88" s="214"/>
    </row>
    <row r="89" spans="2:11" ht="15" customHeight="1">
      <c r="B89" s="165" t="s">
        <v>286</v>
      </c>
      <c r="C89" s="175"/>
      <c r="D89" s="175">
        <v>5010</v>
      </c>
      <c r="F89" s="213"/>
      <c r="G89" s="212"/>
      <c r="H89" s="212"/>
      <c r="I89" s="214"/>
      <c r="J89" s="212"/>
      <c r="K89" s="214"/>
    </row>
    <row r="90" spans="2:11" ht="15" customHeight="1">
      <c r="B90" s="165" t="s">
        <v>287</v>
      </c>
      <c r="C90" s="164">
        <v>173333.3</v>
      </c>
      <c r="D90" s="175">
        <v>180333</v>
      </c>
      <c r="F90" s="213"/>
      <c r="G90" s="212"/>
      <c r="H90" s="212"/>
      <c r="I90" s="214"/>
      <c r="J90" s="212"/>
      <c r="K90" s="214"/>
    </row>
    <row r="91" spans="2:11" ht="15" customHeight="1">
      <c r="B91" s="165" t="s">
        <v>288</v>
      </c>
      <c r="C91" s="175">
        <v>163265.32</v>
      </c>
      <c r="D91" s="175">
        <v>306796</v>
      </c>
      <c r="F91" s="213"/>
      <c r="G91" s="212"/>
      <c r="H91" s="212"/>
      <c r="I91" s="214"/>
      <c r="J91" s="212"/>
      <c r="K91" s="214"/>
    </row>
    <row r="92" spans="2:11" ht="15" customHeight="1">
      <c r="B92" s="165" t="s">
        <v>354</v>
      </c>
      <c r="C92" s="164">
        <v>129809.4</v>
      </c>
      <c r="D92" s="175"/>
      <c r="F92" s="213"/>
      <c r="G92" s="212"/>
      <c r="H92" s="212"/>
      <c r="I92" s="214"/>
      <c r="J92" s="212"/>
      <c r="K92" s="214"/>
    </row>
    <row r="93" spans="2:11" ht="15" customHeight="1">
      <c r="B93" s="165" t="s">
        <v>289</v>
      </c>
      <c r="C93" s="164">
        <v>129700</v>
      </c>
      <c r="D93" s="184">
        <v>133600</v>
      </c>
      <c r="F93" s="213"/>
      <c r="G93" s="212"/>
      <c r="H93" s="212"/>
      <c r="I93" s="214"/>
      <c r="J93" s="212"/>
      <c r="K93" s="214"/>
    </row>
    <row r="94" spans="2:11" ht="15" customHeight="1">
      <c r="B94" s="165" t="s">
        <v>300</v>
      </c>
      <c r="C94" s="176">
        <v>499086</v>
      </c>
      <c r="D94" s="176">
        <v>48177</v>
      </c>
      <c r="F94" s="213"/>
      <c r="G94" s="212"/>
      <c r="H94" s="212"/>
      <c r="I94" s="214"/>
      <c r="J94" s="212"/>
      <c r="K94" s="214"/>
    </row>
    <row r="95" spans="2:11" ht="15" customHeight="1">
      <c r="B95" s="165" t="s">
        <v>321</v>
      </c>
      <c r="C95" s="184"/>
      <c r="D95" s="184">
        <v>747458</v>
      </c>
      <c r="F95" s="213"/>
      <c r="G95" s="212"/>
      <c r="H95" s="212"/>
      <c r="I95" s="214"/>
      <c r="J95" s="212"/>
      <c r="K95" s="214"/>
    </row>
    <row r="96" spans="2:11" ht="15" customHeight="1">
      <c r="B96" s="165" t="s">
        <v>322</v>
      </c>
      <c r="C96" s="184"/>
      <c r="D96" s="184">
        <v>279000</v>
      </c>
      <c r="F96" s="213"/>
      <c r="G96" s="212"/>
      <c r="H96" s="212"/>
      <c r="I96" s="214"/>
      <c r="J96" s="212"/>
      <c r="K96" s="214"/>
    </row>
    <row r="97" spans="2:11" ht="15" customHeight="1">
      <c r="B97" s="165" t="s">
        <v>324</v>
      </c>
      <c r="C97" s="184"/>
      <c r="D97" s="184">
        <v>93032</v>
      </c>
      <c r="F97" s="213"/>
      <c r="G97" s="212"/>
      <c r="H97" s="212"/>
      <c r="I97" s="214"/>
      <c r="J97" s="212"/>
      <c r="K97" s="214"/>
    </row>
    <row r="98" spans="2:11" ht="15" customHeight="1">
      <c r="B98" s="165" t="s">
        <v>325</v>
      </c>
      <c r="C98" s="184"/>
      <c r="D98" s="184">
        <v>159192</v>
      </c>
      <c r="F98" s="213"/>
      <c r="G98" s="212"/>
      <c r="H98" s="212"/>
      <c r="I98" s="214"/>
      <c r="J98" s="212"/>
      <c r="K98" s="214"/>
    </row>
    <row r="99" spans="2:11" ht="15" customHeight="1">
      <c r="B99" s="165" t="s">
        <v>323</v>
      </c>
      <c r="C99" s="184"/>
      <c r="D99" s="184">
        <v>129600</v>
      </c>
      <c r="F99" s="213"/>
      <c r="G99" s="212"/>
      <c r="H99" s="212"/>
      <c r="I99" s="214"/>
      <c r="J99" s="212"/>
      <c r="K99" s="214"/>
    </row>
    <row r="100" spans="2:11" ht="15" customHeight="1">
      <c r="B100" s="165" t="s">
        <v>326</v>
      </c>
      <c r="C100" s="184">
        <v>180000</v>
      </c>
      <c r="D100" s="184">
        <v>878680</v>
      </c>
      <c r="F100" s="213"/>
      <c r="G100" s="212"/>
      <c r="H100" s="212"/>
      <c r="I100" s="214"/>
      <c r="J100" s="212"/>
      <c r="K100" s="214"/>
    </row>
    <row r="101" spans="2:11" ht="15" customHeight="1">
      <c r="B101" s="165" t="s">
        <v>290</v>
      </c>
      <c r="C101" s="184"/>
      <c r="D101" s="184">
        <v>1338750</v>
      </c>
      <c r="F101" s="213"/>
      <c r="G101" s="212"/>
      <c r="H101" s="212"/>
      <c r="I101" s="214"/>
      <c r="J101" s="212"/>
      <c r="K101" s="214"/>
    </row>
    <row r="102" spans="2:11" ht="15" customHeight="1">
      <c r="B102" s="165" t="s">
        <v>291</v>
      </c>
      <c r="C102" s="184"/>
      <c r="D102" s="184">
        <v>500000</v>
      </c>
      <c r="F102" s="213"/>
      <c r="G102" s="212"/>
      <c r="H102" s="212"/>
      <c r="I102" s="214"/>
      <c r="J102" s="212"/>
      <c r="K102" s="214"/>
    </row>
    <row r="103" spans="2:11" ht="15" customHeight="1">
      <c r="B103" s="163" t="s">
        <v>353</v>
      </c>
      <c r="C103" s="164">
        <v>835900</v>
      </c>
      <c r="D103" s="164"/>
      <c r="F103" s="213"/>
      <c r="G103" s="212"/>
      <c r="H103" s="212"/>
      <c r="I103" s="214"/>
      <c r="J103" s="212"/>
      <c r="K103" s="214"/>
    </row>
    <row r="104" spans="2:11" ht="15" customHeight="1">
      <c r="B104" s="163" t="s">
        <v>301</v>
      </c>
      <c r="C104" s="164"/>
      <c r="D104" s="164"/>
      <c r="F104" s="213"/>
      <c r="G104" s="212"/>
      <c r="H104" s="212"/>
      <c r="I104" s="214"/>
      <c r="J104" s="212"/>
      <c r="K104" s="214"/>
    </row>
    <row r="105" spans="2:11" ht="15" customHeight="1">
      <c r="B105" s="163" t="s">
        <v>302</v>
      </c>
      <c r="C105" s="184"/>
      <c r="D105" s="184">
        <v>679273</v>
      </c>
      <c r="F105" s="213"/>
      <c r="G105" s="212"/>
      <c r="H105" s="212"/>
      <c r="I105" s="214"/>
      <c r="J105" s="212"/>
      <c r="K105" s="214"/>
    </row>
    <row r="106" spans="2:9" ht="15" customHeight="1">
      <c r="B106" s="165" t="s">
        <v>290</v>
      </c>
      <c r="C106" s="176"/>
      <c r="D106" s="176"/>
      <c r="I106" s="179"/>
    </row>
    <row r="107" spans="2:4" ht="15" customHeight="1">
      <c r="B107" s="165" t="s">
        <v>292</v>
      </c>
      <c r="C107" s="164">
        <v>2500</v>
      </c>
      <c r="D107" s="184">
        <v>14779928</v>
      </c>
    </row>
    <row r="108" spans="2:4" ht="15" customHeight="1">
      <c r="B108" s="163" t="s">
        <v>303</v>
      </c>
      <c r="C108" s="164"/>
      <c r="D108" s="164"/>
    </row>
    <row r="109" spans="2:4" ht="15" customHeight="1">
      <c r="B109" s="163" t="s">
        <v>304</v>
      </c>
      <c r="C109" s="164"/>
      <c r="D109" s="164"/>
    </row>
    <row r="110" spans="2:4" ht="15" customHeight="1">
      <c r="B110" s="165" t="s">
        <v>293</v>
      </c>
      <c r="C110" s="175"/>
      <c r="D110" s="175"/>
    </row>
    <row r="111" spans="2:4" ht="15" customHeight="1">
      <c r="B111" s="165" t="s">
        <v>305</v>
      </c>
      <c r="C111" s="176"/>
      <c r="D111" s="176"/>
    </row>
    <row r="112" spans="2:4" ht="15" customHeight="1">
      <c r="B112" s="165" t="s">
        <v>294</v>
      </c>
      <c r="C112" s="164">
        <v>605512</v>
      </c>
      <c r="D112" s="175">
        <v>1295359</v>
      </c>
    </row>
    <row r="113" spans="2:4" ht="15" customHeight="1">
      <c r="B113" s="165" t="s">
        <v>295</v>
      </c>
      <c r="C113" s="164">
        <v>42757.5</v>
      </c>
      <c r="D113" s="184">
        <v>101423</v>
      </c>
    </row>
    <row r="114" spans="2:4" ht="15" customHeight="1">
      <c r="B114" s="165" t="s">
        <v>296</v>
      </c>
      <c r="C114" s="206">
        <v>878566</v>
      </c>
      <c r="D114" s="184">
        <v>818629</v>
      </c>
    </row>
    <row r="115" spans="2:4" ht="15" customHeight="1">
      <c r="B115" s="165" t="s">
        <v>327</v>
      </c>
      <c r="C115" s="164">
        <v>53765.67</v>
      </c>
      <c r="D115" s="184">
        <v>109608</v>
      </c>
    </row>
    <row r="116" spans="2:4" ht="15" customHeight="1">
      <c r="B116" s="165" t="s">
        <v>328</v>
      </c>
      <c r="C116" s="164">
        <v>20949</v>
      </c>
      <c r="D116" s="176">
        <v>4800404</v>
      </c>
    </row>
    <row r="117" spans="2:4" ht="15" customHeight="1">
      <c r="B117" s="165" t="s">
        <v>175</v>
      </c>
      <c r="C117" s="164">
        <v>45718.73090000001</v>
      </c>
      <c r="D117" s="184">
        <v>211305</v>
      </c>
    </row>
    <row r="118" spans="2:4" ht="15" customHeight="1">
      <c r="B118" s="165" t="s">
        <v>297</v>
      </c>
      <c r="C118" s="164">
        <v>46301</v>
      </c>
      <c r="D118" s="184">
        <v>173540</v>
      </c>
    </row>
    <row r="119" spans="2:4" ht="15" customHeight="1">
      <c r="B119" s="165" t="s">
        <v>298</v>
      </c>
      <c r="C119" s="164">
        <v>749882.84</v>
      </c>
      <c r="D119" s="184">
        <v>1626888</v>
      </c>
    </row>
    <row r="120" spans="2:4" ht="15" customHeight="1">
      <c r="B120" s="165" t="s">
        <v>329</v>
      </c>
      <c r="C120" s="164">
        <v>104415</v>
      </c>
      <c r="D120" s="184">
        <v>204613</v>
      </c>
    </row>
    <row r="121" spans="2:4" ht="15" customHeight="1">
      <c r="B121" s="165" t="s">
        <v>299</v>
      </c>
      <c r="C121" s="184"/>
      <c r="D121" s="184">
        <v>498679</v>
      </c>
    </row>
    <row r="122" spans="2:7" ht="23.25" customHeight="1" thickBot="1">
      <c r="B122" s="189" t="s">
        <v>234</v>
      </c>
      <c r="C122" s="190">
        <f>SUM(C86:C121)</f>
        <v>5092771.640899999</v>
      </c>
      <c r="D122" s="190">
        <f>SUM(D86:D121)</f>
        <v>31173895</v>
      </c>
      <c r="F122" s="314"/>
      <c r="G122" s="314"/>
    </row>
    <row r="123" spans="2:4" ht="13.5" thickTop="1">
      <c r="B123" s="212"/>
      <c r="C123" s="212"/>
      <c r="D123" s="212"/>
    </row>
    <row r="128" spans="2:6" ht="22.5" customHeight="1">
      <c r="B128" s="303"/>
      <c r="C128" s="303" t="s">
        <v>330</v>
      </c>
      <c r="D128" s="303" t="s">
        <v>331</v>
      </c>
      <c r="E128" s="303" t="s">
        <v>421</v>
      </c>
      <c r="F128" s="303" t="s">
        <v>330</v>
      </c>
    </row>
    <row r="129" spans="2:6" ht="21" customHeight="1">
      <c r="B129" s="304" t="s">
        <v>332</v>
      </c>
      <c r="C129" s="304" t="s">
        <v>352</v>
      </c>
      <c r="D129" s="304"/>
      <c r="E129" s="304"/>
      <c r="F129" s="304" t="s">
        <v>348</v>
      </c>
    </row>
    <row r="130" spans="2:6" ht="18" customHeight="1">
      <c r="B130" s="186" t="s">
        <v>333</v>
      </c>
      <c r="C130" s="187">
        <v>1573090</v>
      </c>
      <c r="D130" s="188"/>
      <c r="E130" s="187">
        <v>314386.67791999993</v>
      </c>
      <c r="F130" s="187">
        <f>C130+D130-E130</f>
        <v>1258703.32208</v>
      </c>
    </row>
    <row r="131" spans="2:6" ht="18" customHeight="1">
      <c r="B131" s="186" t="s">
        <v>334</v>
      </c>
      <c r="C131" s="187">
        <v>519354</v>
      </c>
      <c r="D131" s="188"/>
      <c r="E131" s="187">
        <v>103870.84714666667</v>
      </c>
      <c r="F131" s="187">
        <f>C131+D131-E131</f>
        <v>415483.15285333333</v>
      </c>
    </row>
    <row r="132" spans="2:6" ht="19.5" customHeight="1">
      <c r="B132" s="186" t="s">
        <v>335</v>
      </c>
      <c r="C132" s="187">
        <v>677867</v>
      </c>
      <c r="D132" s="188"/>
      <c r="E132" s="187">
        <v>172796.35600992836</v>
      </c>
      <c r="F132" s="187">
        <f>C132+D132-E132</f>
        <v>505070.6439900716</v>
      </c>
    </row>
    <row r="133" spans="2:8" ht="19.5" customHeight="1">
      <c r="B133" s="186" t="s">
        <v>336</v>
      </c>
      <c r="C133" s="187">
        <v>3082715</v>
      </c>
      <c r="D133" s="188">
        <v>16815600</v>
      </c>
      <c r="E133" s="187">
        <v>896802.8933333333</v>
      </c>
      <c r="F133" s="187">
        <f>C133+D133-E133</f>
        <v>19001512.106666666</v>
      </c>
      <c r="G133" s="179"/>
      <c r="H133" s="202"/>
    </row>
    <row r="134" spans="2:8" ht="24.75" customHeight="1">
      <c r="B134" s="191" t="s">
        <v>337</v>
      </c>
      <c r="C134" s="192">
        <f>SUM(C130:C133)</f>
        <v>5853026</v>
      </c>
      <c r="D134" s="192">
        <f>SUM(D129:D133)</f>
        <v>16815600</v>
      </c>
      <c r="E134" s="192">
        <f>SUM(E129:E133)</f>
        <v>1487856.7744099284</v>
      </c>
      <c r="F134" s="192">
        <f>SUM(C134+D134-E134)</f>
        <v>21180769.225590073</v>
      </c>
      <c r="H134" s="202"/>
    </row>
    <row r="136" ht="12.75">
      <c r="G136" s="179"/>
    </row>
    <row r="141" ht="12.75">
      <c r="F141" s="314"/>
    </row>
    <row r="142" ht="12.75">
      <c r="F142" s="314"/>
    </row>
    <row r="143" ht="12.75">
      <c r="F143" s="36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S95"/>
  <sheetViews>
    <sheetView zoomScale="89" zoomScaleNormal="89" zoomScalePageLayoutView="0" workbookViewId="0" topLeftCell="A60">
      <selection activeCell="F87" sqref="F87"/>
    </sheetView>
  </sheetViews>
  <sheetFormatPr defaultColWidth="9.140625" defaultRowHeight="12.75"/>
  <cols>
    <col min="1" max="1" width="1.7109375" style="0" customWidth="1"/>
    <col min="2" max="2" width="6.28125" style="0" customWidth="1"/>
    <col min="3" max="3" width="21.7109375" style="0" customWidth="1"/>
    <col min="4" max="4" width="13.421875" style="0" customWidth="1"/>
    <col min="5" max="5" width="6.8515625" style="0" customWidth="1"/>
    <col min="6" max="6" width="9.8515625" style="0" bestFit="1" customWidth="1"/>
    <col min="7" max="7" width="11.7109375" style="0" customWidth="1"/>
    <col min="8" max="8" width="13.140625" style="0" customWidth="1"/>
    <col min="9" max="9" width="10.140625" style="0" bestFit="1" customWidth="1"/>
    <col min="10" max="10" width="10.00390625" style="0" customWidth="1"/>
    <col min="11" max="11" width="16.140625" style="0" customWidth="1"/>
    <col min="12" max="12" width="21.421875" style="0" customWidth="1"/>
    <col min="13" max="13" width="12.140625" style="0" customWidth="1"/>
    <col min="14" max="14" width="18.28125" style="0" customWidth="1"/>
    <col min="15" max="15" width="15.7109375" style="0" customWidth="1"/>
    <col min="16" max="16" width="12.8515625" style="0" customWidth="1"/>
    <col min="17" max="17" width="15.57421875" style="0" customWidth="1"/>
    <col min="19" max="19" width="13.8515625" style="0" customWidth="1"/>
  </cols>
  <sheetData>
    <row r="1" ht="15">
      <c r="C1" s="228" t="s">
        <v>356</v>
      </c>
    </row>
    <row r="2" ht="12.75">
      <c r="C2" s="229"/>
    </row>
    <row r="3" spans="3:4" ht="15">
      <c r="C3" s="229"/>
      <c r="D3" s="230" t="s">
        <v>357</v>
      </c>
    </row>
    <row r="4" ht="13.5" thickBot="1">
      <c r="C4" s="229"/>
    </row>
    <row r="5" spans="2:17" ht="11.25" customHeight="1">
      <c r="B5" s="231"/>
      <c r="C5" s="232"/>
      <c r="D5" s="232" t="s">
        <v>358</v>
      </c>
      <c r="E5" s="232"/>
      <c r="F5" s="232"/>
      <c r="G5" s="232"/>
      <c r="H5" s="233" t="s">
        <v>359</v>
      </c>
      <c r="I5" s="232" t="s">
        <v>360</v>
      </c>
      <c r="J5" s="232" t="s">
        <v>361</v>
      </c>
      <c r="K5" s="232" t="s">
        <v>360</v>
      </c>
      <c r="L5" s="232" t="s">
        <v>361</v>
      </c>
      <c r="M5" s="232" t="s">
        <v>360</v>
      </c>
      <c r="N5" s="232" t="s">
        <v>361</v>
      </c>
      <c r="O5" s="232" t="s">
        <v>360</v>
      </c>
      <c r="P5" s="232" t="s">
        <v>361</v>
      </c>
      <c r="Q5" s="321" t="s">
        <v>360</v>
      </c>
    </row>
    <row r="6" spans="2:17" ht="15.75" customHeight="1" thickBot="1">
      <c r="B6" s="234" t="s">
        <v>2</v>
      </c>
      <c r="C6" s="235" t="s">
        <v>332</v>
      </c>
      <c r="D6" s="236" t="s">
        <v>362</v>
      </c>
      <c r="E6" s="237" t="s">
        <v>363</v>
      </c>
      <c r="F6" s="238" t="s">
        <v>364</v>
      </c>
      <c r="G6" s="237" t="s">
        <v>365</v>
      </c>
      <c r="H6" s="239">
        <v>2009</v>
      </c>
      <c r="I6" s="240" t="s">
        <v>366</v>
      </c>
      <c r="J6" s="240">
        <v>2010</v>
      </c>
      <c r="K6" s="240" t="s">
        <v>367</v>
      </c>
      <c r="L6" s="240">
        <v>2011</v>
      </c>
      <c r="M6" s="240" t="s">
        <v>368</v>
      </c>
      <c r="N6" s="240">
        <v>2012</v>
      </c>
      <c r="O6" s="240" t="s">
        <v>369</v>
      </c>
      <c r="P6" s="240">
        <v>2013</v>
      </c>
      <c r="Q6" s="322" t="s">
        <v>370</v>
      </c>
    </row>
    <row r="7" spans="2:17" ht="15.75" customHeight="1">
      <c r="B7" s="241" t="s">
        <v>3</v>
      </c>
      <c r="C7" s="242" t="s">
        <v>333</v>
      </c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323"/>
    </row>
    <row r="8" spans="2:17" ht="12.75">
      <c r="B8" s="244">
        <v>1</v>
      </c>
      <c r="C8" s="245" t="s">
        <v>371</v>
      </c>
      <c r="D8" s="246">
        <v>40042</v>
      </c>
      <c r="E8" s="247">
        <v>1</v>
      </c>
      <c r="F8" s="247">
        <v>60000</v>
      </c>
      <c r="G8" s="247">
        <v>60000</v>
      </c>
      <c r="H8" s="247">
        <f>SUM(G8*20%/12*4)</f>
        <v>4000</v>
      </c>
      <c r="I8" s="187">
        <f>SUM(G8-H8)</f>
        <v>56000</v>
      </c>
      <c r="J8" s="187">
        <f>SUM(I8*20%)</f>
        <v>11200</v>
      </c>
      <c r="K8" s="248">
        <f>SUM(I8-J8)</f>
        <v>44800</v>
      </c>
      <c r="L8" s="187">
        <f>SUM(K8*20%)</f>
        <v>8960</v>
      </c>
      <c r="M8" s="248">
        <f>SUM(K8-L8)</f>
        <v>35840</v>
      </c>
      <c r="N8" s="187">
        <f>SUM(M8*20%)</f>
        <v>7168</v>
      </c>
      <c r="O8" s="187">
        <f>SUM(M8-N8)</f>
        <v>28672</v>
      </c>
      <c r="P8" s="187">
        <f>SUM(O8*20%)</f>
        <v>5734.400000000001</v>
      </c>
      <c r="Q8" s="324">
        <f>SUM(O8-P8)</f>
        <v>22937.6</v>
      </c>
    </row>
    <row r="9" spans="2:17" ht="12.75">
      <c r="B9" s="244">
        <v>2</v>
      </c>
      <c r="C9" s="245" t="s">
        <v>372</v>
      </c>
      <c r="D9" s="246">
        <v>40042</v>
      </c>
      <c r="E9" s="247">
        <v>1</v>
      </c>
      <c r="F9" s="247">
        <v>42667</v>
      </c>
      <c r="G9" s="247">
        <v>42667</v>
      </c>
      <c r="H9" s="247">
        <f>SUM(G9*20%/12*4)</f>
        <v>2844.4666666666667</v>
      </c>
      <c r="I9" s="187">
        <f aca="true" t="shared" si="0" ref="I9:I23">SUM(G9-H9)</f>
        <v>39822.53333333333</v>
      </c>
      <c r="J9" s="187">
        <f aca="true" t="shared" si="1" ref="J9:J26">SUM(I9*20%)</f>
        <v>7964.506666666667</v>
      </c>
      <c r="K9" s="248">
        <f aca="true" t="shared" si="2" ref="K9:K26">SUM(I9-J9)</f>
        <v>31858.026666666665</v>
      </c>
      <c r="L9" s="187">
        <f aca="true" t="shared" si="3" ref="L9:L26">SUM(K9*20%)</f>
        <v>6371.605333333333</v>
      </c>
      <c r="M9" s="248">
        <f aca="true" t="shared" si="4" ref="M9:M27">SUM(K9-L9)</f>
        <v>25486.421333333332</v>
      </c>
      <c r="N9" s="187">
        <f aca="true" t="shared" si="5" ref="N9:N27">SUM(M9*20%)</f>
        <v>5097.284266666667</v>
      </c>
      <c r="O9" s="187">
        <f aca="true" t="shared" si="6" ref="O9:O27">SUM(M9-N9)</f>
        <v>20389.137066666666</v>
      </c>
      <c r="P9" s="187">
        <f aca="true" t="shared" si="7" ref="P9:P32">SUM(O9*20%)</f>
        <v>4077.8274133333334</v>
      </c>
      <c r="Q9" s="324">
        <f aca="true" t="shared" si="8" ref="Q9:Q32">SUM(O9-P9)</f>
        <v>16311.309653333334</v>
      </c>
    </row>
    <row r="10" spans="2:17" ht="12.75">
      <c r="B10" s="244">
        <v>3</v>
      </c>
      <c r="C10" s="249" t="s">
        <v>373</v>
      </c>
      <c r="D10" s="250">
        <v>40058</v>
      </c>
      <c r="E10" s="251">
        <v>1</v>
      </c>
      <c r="F10" s="251">
        <v>78080</v>
      </c>
      <c r="G10" s="251">
        <v>78080</v>
      </c>
      <c r="H10" s="251">
        <f aca="true" t="shared" si="9" ref="H10:H17">SUM(G10*20%/12*3)</f>
        <v>3904</v>
      </c>
      <c r="I10" s="187">
        <f t="shared" si="0"/>
        <v>74176</v>
      </c>
      <c r="J10" s="187">
        <f t="shared" si="1"/>
        <v>14835.2</v>
      </c>
      <c r="K10" s="248">
        <f t="shared" si="2"/>
        <v>59340.8</v>
      </c>
      <c r="L10" s="187">
        <f t="shared" si="3"/>
        <v>11868.160000000002</v>
      </c>
      <c r="M10" s="248">
        <f t="shared" si="4"/>
        <v>47472.64</v>
      </c>
      <c r="N10" s="187">
        <f t="shared" si="5"/>
        <v>9494.528</v>
      </c>
      <c r="O10" s="187">
        <f t="shared" si="6"/>
        <v>37978.112</v>
      </c>
      <c r="P10" s="187">
        <f t="shared" si="7"/>
        <v>7595.6224</v>
      </c>
      <c r="Q10" s="324">
        <f t="shared" si="8"/>
        <v>30382.4896</v>
      </c>
    </row>
    <row r="11" spans="2:17" ht="12.75">
      <c r="B11" s="244">
        <v>4</v>
      </c>
      <c r="C11" s="249" t="s">
        <v>373</v>
      </c>
      <c r="D11" s="250">
        <v>40067</v>
      </c>
      <c r="E11" s="251">
        <v>1</v>
      </c>
      <c r="F11" s="251">
        <v>36700</v>
      </c>
      <c r="G11" s="251">
        <v>36700</v>
      </c>
      <c r="H11" s="251">
        <f t="shared" si="9"/>
        <v>1835</v>
      </c>
      <c r="I11" s="187">
        <f t="shared" si="0"/>
        <v>34865</v>
      </c>
      <c r="J11" s="187">
        <f t="shared" si="1"/>
        <v>6973</v>
      </c>
      <c r="K11" s="248">
        <f t="shared" si="2"/>
        <v>27892</v>
      </c>
      <c r="L11" s="187">
        <f t="shared" si="3"/>
        <v>5578.400000000001</v>
      </c>
      <c r="M11" s="248">
        <f t="shared" si="4"/>
        <v>22313.6</v>
      </c>
      <c r="N11" s="187">
        <f t="shared" si="5"/>
        <v>4462.72</v>
      </c>
      <c r="O11" s="187">
        <f t="shared" si="6"/>
        <v>17850.879999999997</v>
      </c>
      <c r="P11" s="187">
        <f t="shared" si="7"/>
        <v>3570.1759999999995</v>
      </c>
      <c r="Q11" s="324">
        <f t="shared" si="8"/>
        <v>14280.703999999998</v>
      </c>
    </row>
    <row r="12" spans="2:17" ht="12.75">
      <c r="B12" s="244">
        <v>5</v>
      </c>
      <c r="C12" s="249" t="s">
        <v>372</v>
      </c>
      <c r="D12" s="250">
        <v>40070</v>
      </c>
      <c r="E12" s="251">
        <v>1</v>
      </c>
      <c r="F12" s="251">
        <v>33333</v>
      </c>
      <c r="G12" s="251">
        <v>33333</v>
      </c>
      <c r="H12" s="251">
        <f t="shared" si="9"/>
        <v>1666.65</v>
      </c>
      <c r="I12" s="187">
        <f t="shared" si="0"/>
        <v>31666.35</v>
      </c>
      <c r="J12" s="187">
        <f t="shared" si="1"/>
        <v>6333.27</v>
      </c>
      <c r="K12" s="248">
        <f t="shared" si="2"/>
        <v>25333.079999999998</v>
      </c>
      <c r="L12" s="187">
        <f>SUM(K12*20%)</f>
        <v>5066.616</v>
      </c>
      <c r="M12" s="248">
        <f t="shared" si="4"/>
        <v>20266.464</v>
      </c>
      <c r="N12" s="187">
        <f t="shared" si="5"/>
        <v>4053.2928</v>
      </c>
      <c r="O12" s="187">
        <f t="shared" si="6"/>
        <v>16213.1712</v>
      </c>
      <c r="P12" s="187">
        <f t="shared" si="7"/>
        <v>3242.6342400000003</v>
      </c>
      <c r="Q12" s="324">
        <f t="shared" si="8"/>
        <v>12970.536960000001</v>
      </c>
    </row>
    <row r="13" spans="2:17" ht="12.75">
      <c r="B13" s="244">
        <v>6</v>
      </c>
      <c r="C13" s="249" t="s">
        <v>374</v>
      </c>
      <c r="D13" s="250">
        <v>40086</v>
      </c>
      <c r="E13" s="251">
        <v>1</v>
      </c>
      <c r="F13" s="251">
        <v>29000</v>
      </c>
      <c r="G13" s="251">
        <v>29000</v>
      </c>
      <c r="H13" s="251">
        <f t="shared" si="9"/>
        <v>1450</v>
      </c>
      <c r="I13" s="187">
        <f t="shared" si="0"/>
        <v>27550</v>
      </c>
      <c r="J13" s="187">
        <f t="shared" si="1"/>
        <v>5510</v>
      </c>
      <c r="K13" s="248">
        <f t="shared" si="2"/>
        <v>22040</v>
      </c>
      <c r="L13" s="187">
        <f t="shared" si="3"/>
        <v>4408</v>
      </c>
      <c r="M13" s="248">
        <f t="shared" si="4"/>
        <v>17632</v>
      </c>
      <c r="N13" s="187">
        <f t="shared" si="5"/>
        <v>3526.4</v>
      </c>
      <c r="O13" s="187">
        <f t="shared" si="6"/>
        <v>14105.6</v>
      </c>
      <c r="P13" s="187">
        <f t="shared" si="7"/>
        <v>2821.1200000000003</v>
      </c>
      <c r="Q13" s="324">
        <f t="shared" si="8"/>
        <v>11284.48</v>
      </c>
    </row>
    <row r="14" spans="2:17" ht="12.75">
      <c r="B14" s="244">
        <v>7</v>
      </c>
      <c r="C14" s="249" t="s">
        <v>375</v>
      </c>
      <c r="D14" s="250">
        <v>40086</v>
      </c>
      <c r="E14" s="251">
        <v>2</v>
      </c>
      <c r="F14" s="251">
        <v>15800</v>
      </c>
      <c r="G14" s="251">
        <v>31600</v>
      </c>
      <c r="H14" s="251">
        <f t="shared" si="9"/>
        <v>1580</v>
      </c>
      <c r="I14" s="187">
        <f t="shared" si="0"/>
        <v>30020</v>
      </c>
      <c r="J14" s="187">
        <f t="shared" si="1"/>
        <v>6004</v>
      </c>
      <c r="K14" s="248">
        <f t="shared" si="2"/>
        <v>24016</v>
      </c>
      <c r="L14" s="187">
        <f t="shared" si="3"/>
        <v>4803.2</v>
      </c>
      <c r="M14" s="248">
        <f t="shared" si="4"/>
        <v>19212.8</v>
      </c>
      <c r="N14" s="187">
        <f t="shared" si="5"/>
        <v>3842.56</v>
      </c>
      <c r="O14" s="187">
        <f t="shared" si="6"/>
        <v>15370.24</v>
      </c>
      <c r="P14" s="187">
        <f t="shared" si="7"/>
        <v>3074.0480000000002</v>
      </c>
      <c r="Q14" s="324">
        <f t="shared" si="8"/>
        <v>12296.192</v>
      </c>
    </row>
    <row r="15" spans="2:17" ht="12.75">
      <c r="B15" s="244">
        <v>8</v>
      </c>
      <c r="C15" s="249" t="s">
        <v>376</v>
      </c>
      <c r="D15" s="250">
        <v>40086</v>
      </c>
      <c r="E15" s="251">
        <v>2</v>
      </c>
      <c r="F15" s="251">
        <v>4000</v>
      </c>
      <c r="G15" s="251">
        <v>8000</v>
      </c>
      <c r="H15" s="251">
        <f t="shared" si="9"/>
        <v>400</v>
      </c>
      <c r="I15" s="187">
        <f t="shared" si="0"/>
        <v>7600</v>
      </c>
      <c r="J15" s="187">
        <f t="shared" si="1"/>
        <v>1520</v>
      </c>
      <c r="K15" s="248">
        <f t="shared" si="2"/>
        <v>6080</v>
      </c>
      <c r="L15" s="187">
        <f t="shared" si="3"/>
        <v>1216</v>
      </c>
      <c r="M15" s="248">
        <f t="shared" si="4"/>
        <v>4864</v>
      </c>
      <c r="N15" s="187">
        <f t="shared" si="5"/>
        <v>972.8000000000001</v>
      </c>
      <c r="O15" s="187">
        <f t="shared" si="6"/>
        <v>3891.2</v>
      </c>
      <c r="P15" s="187">
        <f t="shared" si="7"/>
        <v>778.24</v>
      </c>
      <c r="Q15" s="324">
        <f t="shared" si="8"/>
        <v>3112.96</v>
      </c>
    </row>
    <row r="16" spans="2:17" ht="12.75">
      <c r="B16" s="244">
        <v>9</v>
      </c>
      <c r="C16" s="249" t="s">
        <v>372</v>
      </c>
      <c r="D16" s="250">
        <v>40086</v>
      </c>
      <c r="E16" s="251">
        <v>1</v>
      </c>
      <c r="F16" s="251">
        <v>7100</v>
      </c>
      <c r="G16" s="251">
        <v>7100</v>
      </c>
      <c r="H16" s="251">
        <f t="shared" si="9"/>
        <v>355</v>
      </c>
      <c r="I16" s="187">
        <f t="shared" si="0"/>
        <v>6745</v>
      </c>
      <c r="J16" s="187">
        <f t="shared" si="1"/>
        <v>1349</v>
      </c>
      <c r="K16" s="248">
        <f t="shared" si="2"/>
        <v>5396</v>
      </c>
      <c r="L16" s="187">
        <f t="shared" si="3"/>
        <v>1079.2</v>
      </c>
      <c r="M16" s="248">
        <f t="shared" si="4"/>
        <v>4316.8</v>
      </c>
      <c r="N16" s="187">
        <f t="shared" si="5"/>
        <v>863.3600000000001</v>
      </c>
      <c r="O16" s="187">
        <f t="shared" si="6"/>
        <v>3453.44</v>
      </c>
      <c r="P16" s="187">
        <f t="shared" si="7"/>
        <v>690.6880000000001</v>
      </c>
      <c r="Q16" s="324">
        <f t="shared" si="8"/>
        <v>2762.752</v>
      </c>
    </row>
    <row r="17" spans="2:17" ht="12.75">
      <c r="B17" s="244">
        <v>10</v>
      </c>
      <c r="C17" s="249" t="s">
        <v>373</v>
      </c>
      <c r="D17" s="250">
        <v>40086</v>
      </c>
      <c r="E17" s="251">
        <v>2</v>
      </c>
      <c r="F17" s="251">
        <v>8400</v>
      </c>
      <c r="G17" s="251">
        <v>16800</v>
      </c>
      <c r="H17" s="251">
        <f t="shared" si="9"/>
        <v>840</v>
      </c>
      <c r="I17" s="187">
        <f t="shared" si="0"/>
        <v>15960</v>
      </c>
      <c r="J17" s="187">
        <f t="shared" si="1"/>
        <v>3192</v>
      </c>
      <c r="K17" s="248">
        <f t="shared" si="2"/>
        <v>12768</v>
      </c>
      <c r="L17" s="187">
        <f t="shared" si="3"/>
        <v>2553.6000000000004</v>
      </c>
      <c r="M17" s="248">
        <f t="shared" si="4"/>
        <v>10214.4</v>
      </c>
      <c r="N17" s="187">
        <f t="shared" si="5"/>
        <v>2042.88</v>
      </c>
      <c r="O17" s="187">
        <f t="shared" si="6"/>
        <v>8171.5199999999995</v>
      </c>
      <c r="P17" s="187">
        <f t="shared" si="7"/>
        <v>1634.304</v>
      </c>
      <c r="Q17" s="324">
        <f t="shared" si="8"/>
        <v>6537.215999999999</v>
      </c>
    </row>
    <row r="18" spans="2:17" ht="12.75">
      <c r="B18" s="244">
        <v>11</v>
      </c>
      <c r="C18" s="245" t="s">
        <v>377</v>
      </c>
      <c r="D18" s="246">
        <v>40086</v>
      </c>
      <c r="E18" s="247">
        <v>250</v>
      </c>
      <c r="F18" s="247">
        <v>1250</v>
      </c>
      <c r="G18" s="247">
        <v>312500</v>
      </c>
      <c r="H18" s="247">
        <f>SUM(G18*20%/12*2)</f>
        <v>10416.666666666666</v>
      </c>
      <c r="I18" s="187">
        <f t="shared" si="0"/>
        <v>302083.3333333333</v>
      </c>
      <c r="J18" s="187">
        <f t="shared" si="1"/>
        <v>60416.666666666664</v>
      </c>
      <c r="K18" s="248">
        <f t="shared" si="2"/>
        <v>241666.66666666666</v>
      </c>
      <c r="L18" s="187">
        <f t="shared" si="3"/>
        <v>48333.333333333336</v>
      </c>
      <c r="M18" s="248">
        <f t="shared" si="4"/>
        <v>193333.3333333333</v>
      </c>
      <c r="N18" s="187">
        <f t="shared" si="5"/>
        <v>38666.666666666664</v>
      </c>
      <c r="O18" s="187">
        <f t="shared" si="6"/>
        <v>154666.66666666666</v>
      </c>
      <c r="P18" s="187">
        <f t="shared" si="7"/>
        <v>30933.333333333332</v>
      </c>
      <c r="Q18" s="324">
        <f t="shared" si="8"/>
        <v>123733.33333333333</v>
      </c>
    </row>
    <row r="19" spans="2:17" ht="12.75">
      <c r="B19" s="244">
        <v>12</v>
      </c>
      <c r="C19" s="245" t="s">
        <v>377</v>
      </c>
      <c r="D19" s="246">
        <v>40116</v>
      </c>
      <c r="E19" s="247">
        <v>900</v>
      </c>
      <c r="F19" s="247">
        <v>1250</v>
      </c>
      <c r="G19" s="247">
        <v>1125000</v>
      </c>
      <c r="H19" s="247">
        <f>SUM(G19*20%/12*2)</f>
        <v>37500</v>
      </c>
      <c r="I19" s="187">
        <f t="shared" si="0"/>
        <v>1087500</v>
      </c>
      <c r="J19" s="187">
        <f t="shared" si="1"/>
        <v>217500</v>
      </c>
      <c r="K19" s="248">
        <f t="shared" si="2"/>
        <v>870000</v>
      </c>
      <c r="L19" s="187">
        <f t="shared" si="3"/>
        <v>174000</v>
      </c>
      <c r="M19" s="248">
        <f t="shared" si="4"/>
        <v>696000</v>
      </c>
      <c r="N19" s="187">
        <f t="shared" si="5"/>
        <v>139200</v>
      </c>
      <c r="O19" s="187">
        <f t="shared" si="6"/>
        <v>556800</v>
      </c>
      <c r="P19" s="187">
        <f t="shared" si="7"/>
        <v>111360</v>
      </c>
      <c r="Q19" s="324">
        <f t="shared" si="8"/>
        <v>445440</v>
      </c>
    </row>
    <row r="20" spans="2:17" ht="12.75">
      <c r="B20" s="244">
        <v>13</v>
      </c>
      <c r="C20" s="245" t="s">
        <v>377</v>
      </c>
      <c r="D20" s="246">
        <v>40126</v>
      </c>
      <c r="E20" s="247">
        <v>200</v>
      </c>
      <c r="F20" s="247">
        <v>1250</v>
      </c>
      <c r="G20" s="247">
        <v>250000</v>
      </c>
      <c r="H20" s="247">
        <f>SUM(G20*20%/12*1)</f>
        <v>4166.666666666667</v>
      </c>
      <c r="I20" s="187">
        <f t="shared" si="0"/>
        <v>245833.33333333334</v>
      </c>
      <c r="J20" s="187">
        <f t="shared" si="1"/>
        <v>49166.66666666667</v>
      </c>
      <c r="K20" s="248">
        <f t="shared" si="2"/>
        <v>196666.6666666667</v>
      </c>
      <c r="L20" s="187">
        <f t="shared" si="3"/>
        <v>39333.33333333334</v>
      </c>
      <c r="M20" s="248">
        <f t="shared" si="4"/>
        <v>157333.33333333334</v>
      </c>
      <c r="N20" s="187">
        <f t="shared" si="5"/>
        <v>31466.66666666667</v>
      </c>
      <c r="O20" s="187">
        <f t="shared" si="6"/>
        <v>125866.66666666667</v>
      </c>
      <c r="P20" s="187">
        <f t="shared" si="7"/>
        <v>25173.333333333336</v>
      </c>
      <c r="Q20" s="324">
        <f t="shared" si="8"/>
        <v>100693.33333333334</v>
      </c>
    </row>
    <row r="21" spans="2:17" ht="12.75">
      <c r="B21" s="244">
        <v>14</v>
      </c>
      <c r="C21" s="245" t="s">
        <v>373</v>
      </c>
      <c r="D21" s="246">
        <v>40149</v>
      </c>
      <c r="E21" s="247">
        <v>1</v>
      </c>
      <c r="F21" s="247">
        <v>20745</v>
      </c>
      <c r="G21" s="247">
        <v>20745</v>
      </c>
      <c r="H21" s="247"/>
      <c r="I21" s="187">
        <f t="shared" si="0"/>
        <v>20745</v>
      </c>
      <c r="J21" s="187">
        <f t="shared" si="1"/>
        <v>4149</v>
      </c>
      <c r="K21" s="248">
        <f t="shared" si="2"/>
        <v>16596</v>
      </c>
      <c r="L21" s="187">
        <f t="shared" si="3"/>
        <v>3319.2000000000003</v>
      </c>
      <c r="M21" s="248">
        <f t="shared" si="4"/>
        <v>13276.8</v>
      </c>
      <c r="N21" s="187">
        <f t="shared" si="5"/>
        <v>2655.36</v>
      </c>
      <c r="O21" s="187">
        <f t="shared" si="6"/>
        <v>10621.439999999999</v>
      </c>
      <c r="P21" s="187">
        <f t="shared" si="7"/>
        <v>2124.288</v>
      </c>
      <c r="Q21" s="324">
        <f t="shared" si="8"/>
        <v>8497.151999999998</v>
      </c>
    </row>
    <row r="22" spans="2:17" ht="12.75">
      <c r="B22" s="244">
        <v>15</v>
      </c>
      <c r="C22" s="245" t="s">
        <v>378</v>
      </c>
      <c r="D22" s="246">
        <v>40262</v>
      </c>
      <c r="E22" s="247">
        <v>1</v>
      </c>
      <c r="F22" s="247">
        <v>9800</v>
      </c>
      <c r="G22" s="247">
        <v>9800</v>
      </c>
      <c r="H22" s="247"/>
      <c r="I22" s="187">
        <f t="shared" si="0"/>
        <v>9800</v>
      </c>
      <c r="J22" s="187">
        <f>SUM(I22*20%/12*9)</f>
        <v>1470</v>
      </c>
      <c r="K22" s="248">
        <f t="shared" si="2"/>
        <v>8330</v>
      </c>
      <c r="L22" s="187">
        <f t="shared" si="3"/>
        <v>1666</v>
      </c>
      <c r="M22" s="248">
        <f t="shared" si="4"/>
        <v>6664</v>
      </c>
      <c r="N22" s="187">
        <f t="shared" si="5"/>
        <v>1332.8000000000002</v>
      </c>
      <c r="O22" s="187">
        <f t="shared" si="6"/>
        <v>5331.2</v>
      </c>
      <c r="P22" s="187">
        <f t="shared" si="7"/>
        <v>1066.24</v>
      </c>
      <c r="Q22" s="324">
        <f t="shared" si="8"/>
        <v>4264.96</v>
      </c>
    </row>
    <row r="23" spans="2:17" ht="12.75">
      <c r="B23" s="244">
        <v>16</v>
      </c>
      <c r="C23" s="245" t="s">
        <v>373</v>
      </c>
      <c r="D23" s="246">
        <v>40295</v>
      </c>
      <c r="E23" s="247">
        <v>1</v>
      </c>
      <c r="F23" s="247">
        <v>10000</v>
      </c>
      <c r="G23" s="247">
        <v>10000</v>
      </c>
      <c r="H23" s="247"/>
      <c r="I23" s="187">
        <f t="shared" si="0"/>
        <v>10000</v>
      </c>
      <c r="J23" s="187">
        <f>SUM(I23*20%/12*8)</f>
        <v>1333.3333333333333</v>
      </c>
      <c r="K23" s="248">
        <f t="shared" si="2"/>
        <v>8666.666666666666</v>
      </c>
      <c r="L23" s="187">
        <f t="shared" si="3"/>
        <v>1733.3333333333333</v>
      </c>
      <c r="M23" s="248">
        <f t="shared" si="4"/>
        <v>6933.333333333333</v>
      </c>
      <c r="N23" s="187">
        <f t="shared" si="5"/>
        <v>1386.6666666666667</v>
      </c>
      <c r="O23" s="187">
        <f t="shared" si="6"/>
        <v>5546.666666666666</v>
      </c>
      <c r="P23" s="187">
        <f t="shared" si="7"/>
        <v>1109.3333333333333</v>
      </c>
      <c r="Q23" s="324">
        <f t="shared" si="8"/>
        <v>4437.333333333333</v>
      </c>
    </row>
    <row r="24" spans="2:17" ht="12.75">
      <c r="B24" s="244">
        <v>17</v>
      </c>
      <c r="C24" s="245" t="s">
        <v>379</v>
      </c>
      <c r="D24" s="246">
        <v>40479</v>
      </c>
      <c r="E24" s="247">
        <v>1</v>
      </c>
      <c r="F24" s="247">
        <v>83333</v>
      </c>
      <c r="G24" s="247">
        <v>83333</v>
      </c>
      <c r="H24" s="247"/>
      <c r="I24" s="247">
        <v>83333</v>
      </c>
      <c r="J24" s="187">
        <f>SUM(I24*20%/12*2)</f>
        <v>2777.766666666667</v>
      </c>
      <c r="K24" s="248">
        <f t="shared" si="2"/>
        <v>80555.23333333334</v>
      </c>
      <c r="L24" s="187">
        <f t="shared" si="3"/>
        <v>16111.046666666669</v>
      </c>
      <c r="M24" s="248">
        <f t="shared" si="4"/>
        <v>64444.18666666667</v>
      </c>
      <c r="N24" s="187">
        <f t="shared" si="5"/>
        <v>12888.837333333335</v>
      </c>
      <c r="O24" s="187">
        <f t="shared" si="6"/>
        <v>51555.34933333333</v>
      </c>
      <c r="P24" s="187">
        <f t="shared" si="7"/>
        <v>10311.069866666667</v>
      </c>
      <c r="Q24" s="324">
        <f t="shared" si="8"/>
        <v>41244.27946666667</v>
      </c>
    </row>
    <row r="25" spans="2:17" ht="12.75">
      <c r="B25" s="244">
        <v>18</v>
      </c>
      <c r="C25" s="245" t="s">
        <v>380</v>
      </c>
      <c r="D25" s="246">
        <v>40483</v>
      </c>
      <c r="E25" s="247">
        <v>1</v>
      </c>
      <c r="F25" s="247">
        <v>14825</v>
      </c>
      <c r="G25" s="247">
        <v>14825</v>
      </c>
      <c r="H25" s="247"/>
      <c r="I25" s="247">
        <v>14825</v>
      </c>
      <c r="J25" s="187">
        <f t="shared" si="1"/>
        <v>2965</v>
      </c>
      <c r="K25" s="248">
        <f t="shared" si="2"/>
        <v>11860</v>
      </c>
      <c r="L25" s="187">
        <f t="shared" si="3"/>
        <v>2372</v>
      </c>
      <c r="M25" s="248">
        <f t="shared" si="4"/>
        <v>9488</v>
      </c>
      <c r="N25" s="187">
        <f t="shared" si="5"/>
        <v>1897.6000000000001</v>
      </c>
      <c r="O25" s="187">
        <f t="shared" si="6"/>
        <v>7590.4</v>
      </c>
      <c r="P25" s="187">
        <f t="shared" si="7"/>
        <v>1518.08</v>
      </c>
      <c r="Q25" s="324">
        <f t="shared" si="8"/>
        <v>6072.32</v>
      </c>
    </row>
    <row r="26" spans="2:17" ht="12.75">
      <c r="B26" s="244">
        <v>19</v>
      </c>
      <c r="C26" s="245" t="s">
        <v>381</v>
      </c>
      <c r="D26" s="246">
        <v>40536</v>
      </c>
      <c r="E26" s="247">
        <v>1</v>
      </c>
      <c r="F26" s="247">
        <v>62000</v>
      </c>
      <c r="G26" s="247">
        <v>62000</v>
      </c>
      <c r="H26" s="247"/>
      <c r="I26" s="247">
        <v>62000</v>
      </c>
      <c r="J26" s="187">
        <f t="shared" si="1"/>
        <v>12400</v>
      </c>
      <c r="K26" s="248">
        <f t="shared" si="2"/>
        <v>49600</v>
      </c>
      <c r="L26" s="187">
        <f t="shared" si="3"/>
        <v>9920</v>
      </c>
      <c r="M26" s="248">
        <f t="shared" si="4"/>
        <v>39680</v>
      </c>
      <c r="N26" s="187">
        <f t="shared" si="5"/>
        <v>7936</v>
      </c>
      <c r="O26" s="187">
        <f t="shared" si="6"/>
        <v>31744</v>
      </c>
      <c r="P26" s="187">
        <f t="shared" si="7"/>
        <v>6348.8</v>
      </c>
      <c r="Q26" s="324">
        <f t="shared" si="8"/>
        <v>25395.2</v>
      </c>
    </row>
    <row r="27" spans="2:17" ht="12.75">
      <c r="B27" s="244">
        <v>20</v>
      </c>
      <c r="C27" s="245" t="s">
        <v>382</v>
      </c>
      <c r="D27" s="246">
        <v>40693</v>
      </c>
      <c r="E27" s="247">
        <v>1</v>
      </c>
      <c r="F27" s="247">
        <v>120000</v>
      </c>
      <c r="G27" s="247">
        <v>120000</v>
      </c>
      <c r="H27" s="247"/>
      <c r="I27" s="247"/>
      <c r="J27" s="187"/>
      <c r="K27" s="248">
        <v>120000</v>
      </c>
      <c r="L27" s="187">
        <f>SUM(K27*20%/12*7)</f>
        <v>14000</v>
      </c>
      <c r="M27" s="248">
        <f t="shared" si="4"/>
        <v>106000</v>
      </c>
      <c r="N27" s="187">
        <f t="shared" si="5"/>
        <v>21200</v>
      </c>
      <c r="O27" s="187">
        <f t="shared" si="6"/>
        <v>84800</v>
      </c>
      <c r="P27" s="187">
        <f t="shared" si="7"/>
        <v>16960</v>
      </c>
      <c r="Q27" s="324">
        <f t="shared" si="8"/>
        <v>67840</v>
      </c>
    </row>
    <row r="28" spans="2:17" ht="12.75">
      <c r="B28" s="244">
        <v>21</v>
      </c>
      <c r="C28" s="245" t="s">
        <v>375</v>
      </c>
      <c r="D28" s="246">
        <v>41072</v>
      </c>
      <c r="E28" s="247">
        <v>1</v>
      </c>
      <c r="F28" s="247">
        <v>152500</v>
      </c>
      <c r="G28" s="247">
        <v>152500</v>
      </c>
      <c r="H28" s="247"/>
      <c r="I28" s="247"/>
      <c r="J28" s="187"/>
      <c r="K28" s="248"/>
      <c r="L28" s="187"/>
      <c r="M28" s="252"/>
      <c r="N28" s="187">
        <f>SUM(G28*20%/12)*6</f>
        <v>15250</v>
      </c>
      <c r="O28" s="187">
        <f>G28-N28</f>
        <v>137250</v>
      </c>
      <c r="P28" s="187">
        <f t="shared" si="7"/>
        <v>27450</v>
      </c>
      <c r="Q28" s="324">
        <f t="shared" si="8"/>
        <v>109800</v>
      </c>
    </row>
    <row r="29" spans="2:17" ht="12.75">
      <c r="B29" s="244">
        <v>22</v>
      </c>
      <c r="C29" s="245" t="s">
        <v>383</v>
      </c>
      <c r="D29" s="246">
        <v>41072</v>
      </c>
      <c r="E29" s="247">
        <v>1</v>
      </c>
      <c r="F29" s="247">
        <v>125000</v>
      </c>
      <c r="G29" s="247">
        <v>125000</v>
      </c>
      <c r="H29" s="247"/>
      <c r="I29" s="247"/>
      <c r="J29" s="187"/>
      <c r="K29" s="248"/>
      <c r="L29" s="187"/>
      <c r="M29" s="252"/>
      <c r="N29" s="187">
        <f>SUM(G29*20%/12)*6</f>
        <v>12500</v>
      </c>
      <c r="O29" s="187">
        <f>G29-N29</f>
        <v>112500</v>
      </c>
      <c r="P29" s="187">
        <f t="shared" si="7"/>
        <v>22500</v>
      </c>
      <c r="Q29" s="324">
        <f t="shared" si="8"/>
        <v>90000</v>
      </c>
    </row>
    <row r="30" spans="2:17" ht="12.75">
      <c r="B30" s="244">
        <v>23</v>
      </c>
      <c r="C30" s="245" t="s">
        <v>375</v>
      </c>
      <c r="D30" s="246">
        <v>41092</v>
      </c>
      <c r="E30" s="247">
        <v>1</v>
      </c>
      <c r="F30" s="247">
        <v>69333</v>
      </c>
      <c r="G30" s="247">
        <v>69333</v>
      </c>
      <c r="H30" s="247"/>
      <c r="I30" s="247"/>
      <c r="J30" s="187"/>
      <c r="K30" s="248"/>
      <c r="L30" s="187"/>
      <c r="M30" s="252"/>
      <c r="N30" s="187">
        <f>SUM(G30*20%/12)*6</f>
        <v>6933.299999999999</v>
      </c>
      <c r="O30" s="187">
        <f>G30-N30</f>
        <v>62399.7</v>
      </c>
      <c r="P30" s="187">
        <f t="shared" si="7"/>
        <v>12479.94</v>
      </c>
      <c r="Q30" s="324">
        <f t="shared" si="8"/>
        <v>49919.759999999995</v>
      </c>
    </row>
    <row r="31" spans="2:19" ht="12.75">
      <c r="B31" s="244">
        <v>24</v>
      </c>
      <c r="C31" s="245" t="s">
        <v>384</v>
      </c>
      <c r="D31" s="246">
        <v>41071</v>
      </c>
      <c r="E31" s="247">
        <v>2</v>
      </c>
      <c r="F31" s="247">
        <f>G31/2</f>
        <v>16666.5</v>
      </c>
      <c r="G31" s="247">
        <v>33333</v>
      </c>
      <c r="H31" s="247"/>
      <c r="I31" s="247"/>
      <c r="J31" s="187"/>
      <c r="K31" s="248"/>
      <c r="L31" s="187"/>
      <c r="M31" s="252"/>
      <c r="N31" s="187"/>
      <c r="O31" s="187">
        <f>G31-N31</f>
        <v>33333</v>
      </c>
      <c r="P31" s="187">
        <f t="shared" si="7"/>
        <v>6666.6</v>
      </c>
      <c r="Q31" s="324">
        <f t="shared" si="8"/>
        <v>26666.4</v>
      </c>
      <c r="S31" s="179"/>
    </row>
    <row r="32" spans="2:19" ht="12.75">
      <c r="B32" s="244">
        <v>25</v>
      </c>
      <c r="C32" s="245" t="s">
        <v>385</v>
      </c>
      <c r="D32" s="246">
        <v>41072</v>
      </c>
      <c r="E32" s="247">
        <v>1</v>
      </c>
      <c r="F32" s="247">
        <v>25833</v>
      </c>
      <c r="G32" s="247">
        <f>F32*E32</f>
        <v>25833</v>
      </c>
      <c r="H32" s="247"/>
      <c r="I32" s="247"/>
      <c r="J32" s="187"/>
      <c r="K32" s="248"/>
      <c r="L32" s="187"/>
      <c r="M32" s="252"/>
      <c r="N32" s="187"/>
      <c r="O32" s="187">
        <f>G32-N32</f>
        <v>25833</v>
      </c>
      <c r="P32" s="187">
        <f t="shared" si="7"/>
        <v>5166.6</v>
      </c>
      <c r="Q32" s="324">
        <f t="shared" si="8"/>
        <v>20666.4</v>
      </c>
      <c r="S32" s="179"/>
    </row>
    <row r="33" spans="2:19" ht="12.75">
      <c r="B33" s="244"/>
      <c r="C33" s="253"/>
      <c r="D33" s="254"/>
      <c r="E33" s="255"/>
      <c r="F33" s="255"/>
      <c r="G33" s="255"/>
      <c r="H33" s="247"/>
      <c r="I33" s="247"/>
      <c r="J33" s="187"/>
      <c r="K33" s="248"/>
      <c r="L33" s="187"/>
      <c r="M33" s="252"/>
      <c r="N33" s="187"/>
      <c r="O33" s="187"/>
      <c r="P33" s="187"/>
      <c r="Q33" s="324"/>
      <c r="S33" s="179"/>
    </row>
    <row r="34" spans="2:17" ht="12.75">
      <c r="B34" s="244"/>
      <c r="C34" s="245"/>
      <c r="D34" s="246"/>
      <c r="E34" s="247"/>
      <c r="F34" s="247"/>
      <c r="G34" s="247"/>
      <c r="H34" s="247"/>
      <c r="I34" s="247"/>
      <c r="J34" s="187"/>
      <c r="K34" s="248"/>
      <c r="L34" s="187"/>
      <c r="M34" s="248"/>
      <c r="N34" s="187"/>
      <c r="O34" s="187"/>
      <c r="P34" s="187"/>
      <c r="Q34" s="324"/>
    </row>
    <row r="35" spans="2:18" ht="18.75" customHeight="1">
      <c r="B35" s="256"/>
      <c r="C35" s="257" t="s">
        <v>337</v>
      </c>
      <c r="D35" s="258"/>
      <c r="E35" s="259"/>
      <c r="F35" s="259"/>
      <c r="G35" s="260">
        <f>SUM(G8:G34)</f>
        <v>2757482</v>
      </c>
      <c r="H35" s="260">
        <f>SUM(H8:H21)</f>
        <v>70958.45</v>
      </c>
      <c r="I35" s="227">
        <f>SUM(I8:I26)</f>
        <v>2160524.55</v>
      </c>
      <c r="J35" s="227">
        <f>SUM(J8:J26)</f>
        <v>417059.41</v>
      </c>
      <c r="K35" s="261">
        <f>SUM(K8:K26)</f>
        <v>1743465.1400000001</v>
      </c>
      <c r="L35" s="227">
        <f aca="true" t="shared" si="10" ref="L35:Q35">SUM(L8:L34)</f>
        <v>362693.028</v>
      </c>
      <c r="M35" s="261">
        <f t="shared" si="10"/>
        <v>1500772.112</v>
      </c>
      <c r="N35" s="227">
        <f t="shared" si="10"/>
        <v>334837.72239999997</v>
      </c>
      <c r="O35" s="227">
        <f t="shared" si="10"/>
        <v>1571933.3895999996</v>
      </c>
      <c r="P35" s="262">
        <f t="shared" si="10"/>
        <v>314386.67791999993</v>
      </c>
      <c r="Q35" s="325">
        <f t="shared" si="10"/>
        <v>1257546.7116799997</v>
      </c>
      <c r="R35" s="179"/>
    </row>
    <row r="36" spans="2:17" ht="12.75">
      <c r="B36" s="263"/>
      <c r="C36" s="205"/>
      <c r="D36" s="264"/>
      <c r="E36" s="187"/>
      <c r="F36" s="187"/>
      <c r="G36" s="188"/>
      <c r="H36" s="188"/>
      <c r="I36" s="187"/>
      <c r="J36" s="187"/>
      <c r="K36" s="248"/>
      <c r="L36" s="187"/>
      <c r="M36" s="248"/>
      <c r="N36" s="187"/>
      <c r="O36" s="187"/>
      <c r="P36" s="187"/>
      <c r="Q36" s="324"/>
    </row>
    <row r="37" spans="2:18" ht="18.75" customHeight="1">
      <c r="B37" s="265" t="s">
        <v>4</v>
      </c>
      <c r="C37" s="266" t="s">
        <v>386</v>
      </c>
      <c r="D37" s="267"/>
      <c r="E37" s="268"/>
      <c r="F37" s="268"/>
      <c r="G37" s="269"/>
      <c r="H37" s="269"/>
      <c r="I37" s="268"/>
      <c r="J37" s="268"/>
      <c r="K37" s="270"/>
      <c r="L37" s="270"/>
      <c r="M37" s="270"/>
      <c r="N37" s="270"/>
      <c r="O37" s="270"/>
      <c r="P37" s="270"/>
      <c r="Q37" s="326"/>
      <c r="R37" s="179"/>
    </row>
    <row r="38" spans="2:18" ht="12.75">
      <c r="B38" s="244">
        <v>1</v>
      </c>
      <c r="C38" s="249" t="s">
        <v>387</v>
      </c>
      <c r="D38" s="250">
        <v>40053</v>
      </c>
      <c r="E38" s="251">
        <v>1</v>
      </c>
      <c r="F38" s="251">
        <v>16000</v>
      </c>
      <c r="G38" s="251">
        <v>16000</v>
      </c>
      <c r="H38" s="251">
        <f>SUM(G38*20%/12*4)</f>
        <v>1066.6666666666667</v>
      </c>
      <c r="I38" s="187">
        <f aca="true" t="shared" si="11" ref="I38:I73">SUM(G38-H38)</f>
        <v>14933.333333333334</v>
      </c>
      <c r="J38" s="187">
        <f>SUM(I38*20%)</f>
        <v>2986.666666666667</v>
      </c>
      <c r="K38" s="248">
        <f>SUM(I38-J38)</f>
        <v>11946.666666666668</v>
      </c>
      <c r="L38" s="187">
        <f aca="true" t="shared" si="12" ref="L38:L49">SUM(K38*20%)</f>
        <v>2389.3333333333335</v>
      </c>
      <c r="M38" s="248">
        <f aca="true" t="shared" si="13" ref="M38:M67">SUM(K38-L38)</f>
        <v>9557.333333333334</v>
      </c>
      <c r="N38" s="187">
        <f aca="true" t="shared" si="14" ref="N38:N49">SUM(M38*20%)</f>
        <v>1911.466666666667</v>
      </c>
      <c r="O38" s="187">
        <f aca="true" t="shared" si="15" ref="O38:O49">SUM(M38-N38)</f>
        <v>7645.866666666667</v>
      </c>
      <c r="P38" s="187">
        <f aca="true" t="shared" si="16" ref="P38:P49">SUM(O38*20%)</f>
        <v>1529.1733333333334</v>
      </c>
      <c r="Q38" s="324">
        <f>SUM(O38-P38)</f>
        <v>6116.693333333334</v>
      </c>
      <c r="R38" s="179"/>
    </row>
    <row r="39" spans="2:18" ht="12.75">
      <c r="B39" s="244">
        <v>2</v>
      </c>
      <c r="C39" s="249" t="s">
        <v>387</v>
      </c>
      <c r="D39" s="250">
        <v>40053</v>
      </c>
      <c r="E39" s="251">
        <v>1</v>
      </c>
      <c r="F39" s="251">
        <v>30000</v>
      </c>
      <c r="G39" s="251">
        <v>30000</v>
      </c>
      <c r="H39" s="251">
        <f>SUM(G39*20%/12*4)</f>
        <v>2000</v>
      </c>
      <c r="I39" s="187">
        <f t="shared" si="11"/>
        <v>28000</v>
      </c>
      <c r="J39" s="187">
        <f aca="true" t="shared" si="17" ref="J39:J48">SUM(I39*20%)</f>
        <v>5600</v>
      </c>
      <c r="K39" s="248">
        <f aca="true" t="shared" si="18" ref="K39:K49">SUM(I39-J39)</f>
        <v>22400</v>
      </c>
      <c r="L39" s="187">
        <f t="shared" si="12"/>
        <v>4480</v>
      </c>
      <c r="M39" s="248">
        <f t="shared" si="13"/>
        <v>17920</v>
      </c>
      <c r="N39" s="187">
        <f t="shared" si="14"/>
        <v>3584</v>
      </c>
      <c r="O39" s="187">
        <f t="shared" si="15"/>
        <v>14336</v>
      </c>
      <c r="P39" s="187">
        <f t="shared" si="16"/>
        <v>2867.2000000000003</v>
      </c>
      <c r="Q39" s="324">
        <f aca="true" t="shared" si="19" ref="Q39:Q50">SUM(O39-P39)</f>
        <v>11468.8</v>
      </c>
      <c r="R39" s="179"/>
    </row>
    <row r="40" spans="2:17" ht="12.75">
      <c r="B40" s="244">
        <v>3</v>
      </c>
      <c r="C40" s="249" t="s">
        <v>388</v>
      </c>
      <c r="D40" s="250">
        <v>40031</v>
      </c>
      <c r="E40" s="251">
        <v>1</v>
      </c>
      <c r="F40" s="251">
        <v>39240</v>
      </c>
      <c r="G40" s="251">
        <v>39240</v>
      </c>
      <c r="H40" s="251">
        <f>SUM(G40*20%/12*4)</f>
        <v>2616</v>
      </c>
      <c r="I40" s="187">
        <f t="shared" si="11"/>
        <v>36624</v>
      </c>
      <c r="J40" s="187">
        <f t="shared" si="17"/>
        <v>7324.8</v>
      </c>
      <c r="K40" s="248">
        <f t="shared" si="18"/>
        <v>29299.2</v>
      </c>
      <c r="L40" s="187">
        <f t="shared" si="12"/>
        <v>5859.84</v>
      </c>
      <c r="M40" s="248">
        <f t="shared" si="13"/>
        <v>23439.36</v>
      </c>
      <c r="N40" s="187">
        <f t="shared" si="14"/>
        <v>4687.872</v>
      </c>
      <c r="O40" s="187">
        <f t="shared" si="15"/>
        <v>18751.488</v>
      </c>
      <c r="P40" s="187">
        <f t="shared" si="16"/>
        <v>3750.2976000000003</v>
      </c>
      <c r="Q40" s="324">
        <f t="shared" si="19"/>
        <v>15001.190400000001</v>
      </c>
    </row>
    <row r="41" spans="2:18" ht="12.75">
      <c r="B41" s="244">
        <v>4</v>
      </c>
      <c r="C41" s="249" t="s">
        <v>389</v>
      </c>
      <c r="D41" s="250">
        <v>40044</v>
      </c>
      <c r="E41" s="251">
        <v>1</v>
      </c>
      <c r="F41" s="251">
        <v>14167</v>
      </c>
      <c r="G41" s="251">
        <v>14167</v>
      </c>
      <c r="H41" s="251">
        <f>SUM(G41*20%/12*4)</f>
        <v>944.4666666666667</v>
      </c>
      <c r="I41" s="187">
        <f t="shared" si="11"/>
        <v>13222.533333333333</v>
      </c>
      <c r="J41" s="187">
        <f t="shared" si="17"/>
        <v>2644.5066666666667</v>
      </c>
      <c r="K41" s="248">
        <f t="shared" si="18"/>
        <v>10578.026666666667</v>
      </c>
      <c r="L41" s="187">
        <f t="shared" si="12"/>
        <v>2115.6053333333334</v>
      </c>
      <c r="M41" s="248">
        <f t="shared" si="13"/>
        <v>8462.421333333334</v>
      </c>
      <c r="N41" s="187">
        <f t="shared" si="14"/>
        <v>1692.4842666666668</v>
      </c>
      <c r="O41" s="187">
        <f t="shared" si="15"/>
        <v>6769.937066666667</v>
      </c>
      <c r="P41" s="187">
        <f t="shared" si="16"/>
        <v>1353.9874133333335</v>
      </c>
      <c r="Q41" s="324">
        <f t="shared" si="19"/>
        <v>5415.949653333334</v>
      </c>
      <c r="R41" s="179"/>
    </row>
    <row r="42" spans="2:17" ht="12.75">
      <c r="B42" s="244">
        <v>5</v>
      </c>
      <c r="C42" s="249" t="s">
        <v>390</v>
      </c>
      <c r="D42" s="271">
        <v>40067</v>
      </c>
      <c r="E42" s="251">
        <v>1</v>
      </c>
      <c r="F42" s="251">
        <v>42000</v>
      </c>
      <c r="G42" s="251">
        <f aca="true" t="shared" si="20" ref="G42:G48">SUM(E42*F42)</f>
        <v>42000</v>
      </c>
      <c r="H42" s="251">
        <f>SUM(G42*20%/12*3)</f>
        <v>2100</v>
      </c>
      <c r="I42" s="187">
        <f t="shared" si="11"/>
        <v>39900</v>
      </c>
      <c r="J42" s="187">
        <f t="shared" si="17"/>
        <v>7980</v>
      </c>
      <c r="K42" s="248">
        <f t="shared" si="18"/>
        <v>31920</v>
      </c>
      <c r="L42" s="187">
        <f t="shared" si="12"/>
        <v>6384</v>
      </c>
      <c r="M42" s="248">
        <f t="shared" si="13"/>
        <v>25536</v>
      </c>
      <c r="N42" s="187">
        <f t="shared" si="14"/>
        <v>5107.200000000001</v>
      </c>
      <c r="O42" s="187">
        <f t="shared" si="15"/>
        <v>20428.8</v>
      </c>
      <c r="P42" s="187">
        <f t="shared" si="16"/>
        <v>4085.76</v>
      </c>
      <c r="Q42" s="324">
        <f t="shared" si="19"/>
        <v>16343.039999999999</v>
      </c>
    </row>
    <row r="43" spans="2:17" ht="12.75">
      <c r="B43" s="244">
        <v>6</v>
      </c>
      <c r="C43" s="249" t="s">
        <v>391</v>
      </c>
      <c r="D43" s="271">
        <v>40067</v>
      </c>
      <c r="E43" s="251">
        <v>1</v>
      </c>
      <c r="F43" s="251">
        <v>21000</v>
      </c>
      <c r="G43" s="251">
        <f t="shared" si="20"/>
        <v>21000</v>
      </c>
      <c r="H43" s="251">
        <f>SUM(G43*20%/12*3)</f>
        <v>1050</v>
      </c>
      <c r="I43" s="187">
        <f t="shared" si="11"/>
        <v>19950</v>
      </c>
      <c r="J43" s="187">
        <f t="shared" si="17"/>
        <v>3990</v>
      </c>
      <c r="K43" s="248">
        <f t="shared" si="18"/>
        <v>15960</v>
      </c>
      <c r="L43" s="187">
        <f t="shared" si="12"/>
        <v>3192</v>
      </c>
      <c r="M43" s="248">
        <f t="shared" si="13"/>
        <v>12768</v>
      </c>
      <c r="N43" s="187">
        <f t="shared" si="14"/>
        <v>2553.6000000000004</v>
      </c>
      <c r="O43" s="187">
        <f t="shared" si="15"/>
        <v>10214.4</v>
      </c>
      <c r="P43" s="187">
        <f t="shared" si="16"/>
        <v>2042.88</v>
      </c>
      <c r="Q43" s="324">
        <f t="shared" si="19"/>
        <v>8171.5199999999995</v>
      </c>
    </row>
    <row r="44" spans="2:17" ht="12.75">
      <c r="B44" s="244">
        <v>7</v>
      </c>
      <c r="C44" s="249" t="s">
        <v>392</v>
      </c>
      <c r="D44" s="271">
        <v>40067</v>
      </c>
      <c r="E44" s="251">
        <v>11</v>
      </c>
      <c r="F44" s="251">
        <v>4000</v>
      </c>
      <c r="G44" s="251">
        <f t="shared" si="20"/>
        <v>44000</v>
      </c>
      <c r="H44" s="251">
        <f>SUM(G44*20%/12*3)</f>
        <v>2200</v>
      </c>
      <c r="I44" s="187">
        <f t="shared" si="11"/>
        <v>41800</v>
      </c>
      <c r="J44" s="187">
        <f t="shared" si="17"/>
        <v>8360</v>
      </c>
      <c r="K44" s="248">
        <f t="shared" si="18"/>
        <v>33440</v>
      </c>
      <c r="L44" s="187">
        <f t="shared" si="12"/>
        <v>6688</v>
      </c>
      <c r="M44" s="248">
        <f t="shared" si="13"/>
        <v>26752</v>
      </c>
      <c r="N44" s="187">
        <f t="shared" si="14"/>
        <v>5350.400000000001</v>
      </c>
      <c r="O44" s="187">
        <f t="shared" si="15"/>
        <v>21401.6</v>
      </c>
      <c r="P44" s="187">
        <f t="shared" si="16"/>
        <v>4280.32</v>
      </c>
      <c r="Q44" s="324">
        <f t="shared" si="19"/>
        <v>17121.28</v>
      </c>
    </row>
    <row r="45" spans="2:17" ht="12.75">
      <c r="B45" s="244">
        <v>8</v>
      </c>
      <c r="C45" s="249" t="s">
        <v>393</v>
      </c>
      <c r="D45" s="271">
        <v>40067</v>
      </c>
      <c r="E45" s="251">
        <v>5</v>
      </c>
      <c r="F45" s="251">
        <v>46000</v>
      </c>
      <c r="G45" s="251">
        <f t="shared" si="20"/>
        <v>230000</v>
      </c>
      <c r="H45" s="251">
        <f>SUM(G45*20%/12*3)</f>
        <v>11500</v>
      </c>
      <c r="I45" s="187">
        <f t="shared" si="11"/>
        <v>218500</v>
      </c>
      <c r="J45" s="187">
        <f t="shared" si="17"/>
        <v>43700</v>
      </c>
      <c r="K45" s="248">
        <f t="shared" si="18"/>
        <v>174800</v>
      </c>
      <c r="L45" s="187">
        <f t="shared" si="12"/>
        <v>34960</v>
      </c>
      <c r="M45" s="248">
        <f t="shared" si="13"/>
        <v>139840</v>
      </c>
      <c r="N45" s="187">
        <f t="shared" si="14"/>
        <v>27968</v>
      </c>
      <c r="O45" s="187">
        <f t="shared" si="15"/>
        <v>111872</v>
      </c>
      <c r="P45" s="187">
        <f t="shared" si="16"/>
        <v>22374.4</v>
      </c>
      <c r="Q45" s="324">
        <f t="shared" si="19"/>
        <v>89497.6</v>
      </c>
    </row>
    <row r="46" spans="2:17" ht="12.75">
      <c r="B46" s="244">
        <v>9</v>
      </c>
      <c r="C46" s="249" t="s">
        <v>387</v>
      </c>
      <c r="D46" s="271">
        <v>40067</v>
      </c>
      <c r="E46" s="251">
        <v>7</v>
      </c>
      <c r="F46" s="251">
        <v>18000</v>
      </c>
      <c r="G46" s="251">
        <f t="shared" si="20"/>
        <v>126000</v>
      </c>
      <c r="H46" s="251">
        <f>SUM(G46*20%/12*3)</f>
        <v>6300</v>
      </c>
      <c r="I46" s="187">
        <f t="shared" si="11"/>
        <v>119700</v>
      </c>
      <c r="J46" s="187">
        <f t="shared" si="17"/>
        <v>23940</v>
      </c>
      <c r="K46" s="248">
        <f t="shared" si="18"/>
        <v>95760</v>
      </c>
      <c r="L46" s="187">
        <f t="shared" si="12"/>
        <v>19152</v>
      </c>
      <c r="M46" s="248">
        <f t="shared" si="13"/>
        <v>76608</v>
      </c>
      <c r="N46" s="187">
        <f t="shared" si="14"/>
        <v>15321.6</v>
      </c>
      <c r="O46" s="187">
        <f t="shared" si="15"/>
        <v>61286.4</v>
      </c>
      <c r="P46" s="187">
        <f t="shared" si="16"/>
        <v>12257.28</v>
      </c>
      <c r="Q46" s="324">
        <f t="shared" si="19"/>
        <v>49029.12</v>
      </c>
    </row>
    <row r="47" spans="2:17" ht="12.75">
      <c r="B47" s="244">
        <v>10</v>
      </c>
      <c r="C47" s="249" t="s">
        <v>394</v>
      </c>
      <c r="D47" s="271">
        <v>40101</v>
      </c>
      <c r="E47" s="251">
        <v>1</v>
      </c>
      <c r="F47" s="251">
        <v>5000</v>
      </c>
      <c r="G47" s="251">
        <f t="shared" si="20"/>
        <v>5000</v>
      </c>
      <c r="H47" s="251">
        <f>SUM(G47*20%/12*2)</f>
        <v>166.66666666666666</v>
      </c>
      <c r="I47" s="187">
        <f t="shared" si="11"/>
        <v>4833.333333333333</v>
      </c>
      <c r="J47" s="187">
        <f t="shared" si="17"/>
        <v>966.6666666666666</v>
      </c>
      <c r="K47" s="248">
        <f t="shared" si="18"/>
        <v>3866.6666666666665</v>
      </c>
      <c r="L47" s="187">
        <f t="shared" si="12"/>
        <v>773.3333333333334</v>
      </c>
      <c r="M47" s="248">
        <f t="shared" si="13"/>
        <v>3093.333333333333</v>
      </c>
      <c r="N47" s="187">
        <f t="shared" si="14"/>
        <v>618.6666666666666</v>
      </c>
      <c r="O47" s="187">
        <f t="shared" si="15"/>
        <v>2474.6666666666665</v>
      </c>
      <c r="P47" s="187">
        <f t="shared" si="16"/>
        <v>494.93333333333334</v>
      </c>
      <c r="Q47" s="324">
        <f t="shared" si="19"/>
        <v>1979.7333333333331</v>
      </c>
    </row>
    <row r="48" spans="2:17" ht="12.75">
      <c r="B48" s="244">
        <v>11</v>
      </c>
      <c r="C48" s="249" t="s">
        <v>394</v>
      </c>
      <c r="D48" s="271">
        <v>40102</v>
      </c>
      <c r="E48" s="251">
        <v>1</v>
      </c>
      <c r="F48" s="251">
        <v>3340</v>
      </c>
      <c r="G48" s="251">
        <f t="shared" si="20"/>
        <v>3340</v>
      </c>
      <c r="H48" s="251">
        <f>SUM(G48*20%/12*2)</f>
        <v>111.33333333333333</v>
      </c>
      <c r="I48" s="187">
        <f t="shared" si="11"/>
        <v>3228.6666666666665</v>
      </c>
      <c r="J48" s="187">
        <f t="shared" si="17"/>
        <v>645.7333333333333</v>
      </c>
      <c r="K48" s="248">
        <f t="shared" si="18"/>
        <v>2582.9333333333334</v>
      </c>
      <c r="L48" s="187">
        <f t="shared" si="12"/>
        <v>516.5866666666667</v>
      </c>
      <c r="M48" s="248">
        <f t="shared" si="13"/>
        <v>2066.346666666667</v>
      </c>
      <c r="N48" s="187">
        <f t="shared" si="14"/>
        <v>413.2693333333334</v>
      </c>
      <c r="O48" s="187">
        <f t="shared" si="15"/>
        <v>1653.0773333333334</v>
      </c>
      <c r="P48" s="187">
        <f t="shared" si="16"/>
        <v>330.6154666666667</v>
      </c>
      <c r="Q48" s="324">
        <f t="shared" si="19"/>
        <v>1322.4618666666668</v>
      </c>
    </row>
    <row r="49" spans="2:17" ht="12.75">
      <c r="B49" s="244"/>
      <c r="C49" s="245" t="s">
        <v>395</v>
      </c>
      <c r="D49" s="246">
        <v>40201</v>
      </c>
      <c r="E49" s="247">
        <v>1</v>
      </c>
      <c r="F49" s="247">
        <v>45000</v>
      </c>
      <c r="G49" s="247">
        <v>45000</v>
      </c>
      <c r="H49" s="251"/>
      <c r="I49" s="187">
        <v>45000</v>
      </c>
      <c r="J49" s="187">
        <f>SUM(I49*20%/12*11)</f>
        <v>8250</v>
      </c>
      <c r="K49" s="248">
        <f t="shared" si="18"/>
        <v>36750</v>
      </c>
      <c r="L49" s="187">
        <f t="shared" si="12"/>
        <v>7350</v>
      </c>
      <c r="M49" s="248">
        <f t="shared" si="13"/>
        <v>29400</v>
      </c>
      <c r="N49" s="187">
        <f t="shared" si="14"/>
        <v>5880</v>
      </c>
      <c r="O49" s="187">
        <f t="shared" si="15"/>
        <v>23520</v>
      </c>
      <c r="P49" s="187">
        <f t="shared" si="16"/>
        <v>4704</v>
      </c>
      <c r="Q49" s="324">
        <f t="shared" si="19"/>
        <v>18816</v>
      </c>
    </row>
    <row r="50" spans="2:17" ht="12.75">
      <c r="B50" s="244"/>
      <c r="C50" s="245" t="s">
        <v>396</v>
      </c>
      <c r="D50" s="246">
        <v>41267</v>
      </c>
      <c r="E50" s="247">
        <v>1</v>
      </c>
      <c r="F50" s="247">
        <v>219000</v>
      </c>
      <c r="G50" s="247">
        <f>E50*F50</f>
        <v>219000</v>
      </c>
      <c r="H50" s="251"/>
      <c r="I50" s="187"/>
      <c r="J50" s="187"/>
      <c r="K50" s="248"/>
      <c r="L50" s="187"/>
      <c r="M50" s="248"/>
      <c r="N50" s="187"/>
      <c r="O50" s="187">
        <f>G50-N50</f>
        <v>219000</v>
      </c>
      <c r="P50" s="187">
        <f>O50*0.2</f>
        <v>43800</v>
      </c>
      <c r="Q50" s="324">
        <f t="shared" si="19"/>
        <v>175200</v>
      </c>
    </row>
    <row r="51" spans="2:17" ht="13.5" customHeight="1">
      <c r="B51" s="272"/>
      <c r="C51" s="257" t="s">
        <v>337</v>
      </c>
      <c r="D51" s="258"/>
      <c r="E51" s="259"/>
      <c r="F51" s="259"/>
      <c r="G51" s="259">
        <f>SUM(G38:G50)</f>
        <v>834747</v>
      </c>
      <c r="H51" s="260">
        <f>SUM(H38:H48)</f>
        <v>30055.13333333333</v>
      </c>
      <c r="I51" s="227">
        <f t="shared" si="11"/>
        <v>804691.8666666667</v>
      </c>
      <c r="J51" s="227">
        <f>SUM(J38:J49)</f>
        <v>116388.37333333334</v>
      </c>
      <c r="K51" s="261">
        <f>SUM(K38:K49)</f>
        <v>469303.49333333335</v>
      </c>
      <c r="L51" s="227">
        <f>SUM(L38:L49)</f>
        <v>93860.69866666666</v>
      </c>
      <c r="M51" s="261">
        <f>SUM(K51-L51)</f>
        <v>375442.79466666665</v>
      </c>
      <c r="N51" s="227">
        <f>SUM(N38:N49)</f>
        <v>75088.55893333333</v>
      </c>
      <c r="O51" s="227">
        <f>SUM(O38:O50)</f>
        <v>519354.23573333333</v>
      </c>
      <c r="P51" s="262">
        <f>SUM(P38:P50)</f>
        <v>103870.84714666667</v>
      </c>
      <c r="Q51" s="325">
        <f>SUM(Q38:Q50)</f>
        <v>415483.38858666667</v>
      </c>
    </row>
    <row r="52" spans="2:17" ht="12.75">
      <c r="B52" s="265" t="s">
        <v>37</v>
      </c>
      <c r="C52" s="273" t="s">
        <v>397</v>
      </c>
      <c r="D52" s="267"/>
      <c r="E52" s="268"/>
      <c r="F52" s="268"/>
      <c r="G52" s="269"/>
      <c r="H52" s="269"/>
      <c r="I52" s="268"/>
      <c r="J52" s="268"/>
      <c r="K52" s="270"/>
      <c r="L52" s="270"/>
      <c r="M52" s="270"/>
      <c r="N52" s="270"/>
      <c r="O52" s="270"/>
      <c r="P52" s="270"/>
      <c r="Q52" s="326"/>
    </row>
    <row r="53" spans="2:17" ht="12.75">
      <c r="B53" s="244">
        <v>1</v>
      </c>
      <c r="C53" s="249" t="s">
        <v>398</v>
      </c>
      <c r="D53" s="250">
        <v>39973</v>
      </c>
      <c r="E53" s="251">
        <v>1</v>
      </c>
      <c r="F53" s="251">
        <v>98330</v>
      </c>
      <c r="G53" s="251">
        <v>98330</v>
      </c>
      <c r="H53" s="251">
        <f>SUM(G53*25%/12*5)</f>
        <v>10242.708333333332</v>
      </c>
      <c r="I53" s="187">
        <f t="shared" si="11"/>
        <v>88087.29166666667</v>
      </c>
      <c r="J53" s="187">
        <f>SUM(I53*25%)</f>
        <v>22021.822916666668</v>
      </c>
      <c r="K53" s="248">
        <f>SUM(I53-J53)</f>
        <v>66065.46875</v>
      </c>
      <c r="L53" s="187">
        <f>SUM(K53*25%)</f>
        <v>16516.3671875</v>
      </c>
      <c r="M53" s="248">
        <f t="shared" si="13"/>
        <v>49549.1015625</v>
      </c>
      <c r="N53" s="187">
        <f>SUM(M53*25%)</f>
        <v>12387.275390625</v>
      </c>
      <c r="O53" s="187">
        <f aca="true" t="shared" si="21" ref="O53:O67">SUM(M53-N53)</f>
        <v>37161.826171875</v>
      </c>
      <c r="P53" s="187">
        <f>SUM(O53*25%)</f>
        <v>9290.45654296875</v>
      </c>
      <c r="Q53" s="324">
        <f>O53-P53</f>
        <v>27871.36962890625</v>
      </c>
    </row>
    <row r="54" spans="2:17" ht="12.75">
      <c r="B54" s="244">
        <v>2</v>
      </c>
      <c r="C54" s="249" t="s">
        <v>399</v>
      </c>
      <c r="D54" s="250">
        <v>39973</v>
      </c>
      <c r="E54" s="251">
        <v>1</v>
      </c>
      <c r="F54" s="251">
        <v>30935</v>
      </c>
      <c r="G54" s="251">
        <v>30935</v>
      </c>
      <c r="H54" s="251">
        <f>SUM(G54*25%/12*5)</f>
        <v>3222.395833333333</v>
      </c>
      <c r="I54" s="187">
        <f t="shared" si="11"/>
        <v>27712.604166666668</v>
      </c>
      <c r="J54" s="187">
        <f aca="true" t="shared" si="22" ref="J54:J60">SUM(I54*25%)</f>
        <v>6928.151041666667</v>
      </c>
      <c r="K54" s="248">
        <f aca="true" t="shared" si="23" ref="K54:K61">SUM(I54-J54)</f>
        <v>20784.453125</v>
      </c>
      <c r="L54" s="187">
        <f aca="true" t="shared" si="24" ref="L54:L61">SUM(K54*25%)</f>
        <v>5196.11328125</v>
      </c>
      <c r="M54" s="248">
        <f t="shared" si="13"/>
        <v>15588.33984375</v>
      </c>
      <c r="N54" s="187">
        <f aca="true" t="shared" si="25" ref="N54:N67">SUM(M54*25%)</f>
        <v>3897.0849609375</v>
      </c>
      <c r="O54" s="187">
        <f t="shared" si="21"/>
        <v>11691.2548828125</v>
      </c>
      <c r="P54" s="187">
        <f aca="true" t="shared" si="26" ref="P54:P72">SUM(O54*25%)</f>
        <v>2922.813720703125</v>
      </c>
      <c r="Q54" s="324">
        <f aca="true" t="shared" si="27" ref="Q54:Q72">O54-P54</f>
        <v>8768.441162109375</v>
      </c>
    </row>
    <row r="55" spans="2:17" ht="12.75">
      <c r="B55" s="244">
        <v>3</v>
      </c>
      <c r="C55" s="249" t="s">
        <v>296</v>
      </c>
      <c r="D55" s="250">
        <v>40009</v>
      </c>
      <c r="E55" s="251">
        <v>1</v>
      </c>
      <c r="F55" s="251">
        <v>39228</v>
      </c>
      <c r="G55" s="251">
        <v>39228</v>
      </c>
      <c r="H55" s="251">
        <f>SUM(G55*25%/12*5)</f>
        <v>4086.25</v>
      </c>
      <c r="I55" s="187">
        <f t="shared" si="11"/>
        <v>35141.75</v>
      </c>
      <c r="J55" s="187">
        <f t="shared" si="22"/>
        <v>8785.4375</v>
      </c>
      <c r="K55" s="248">
        <f t="shared" si="23"/>
        <v>26356.3125</v>
      </c>
      <c r="L55" s="187">
        <f t="shared" si="24"/>
        <v>6589.078125</v>
      </c>
      <c r="M55" s="248">
        <f t="shared" si="13"/>
        <v>19767.234375</v>
      </c>
      <c r="N55" s="187">
        <f t="shared" si="25"/>
        <v>4941.80859375</v>
      </c>
      <c r="O55" s="187">
        <f t="shared" si="21"/>
        <v>14825.42578125</v>
      </c>
      <c r="P55" s="187">
        <f t="shared" si="26"/>
        <v>3706.3564453125</v>
      </c>
      <c r="Q55" s="324">
        <f t="shared" si="27"/>
        <v>11119.0693359375</v>
      </c>
    </row>
    <row r="56" spans="2:17" ht="12.75">
      <c r="B56" s="244">
        <v>4</v>
      </c>
      <c r="C56" s="249" t="s">
        <v>400</v>
      </c>
      <c r="D56" s="250">
        <v>39972</v>
      </c>
      <c r="E56" s="249">
        <v>2</v>
      </c>
      <c r="F56" s="251">
        <v>23399.5</v>
      </c>
      <c r="G56" s="251">
        <f>SUM(E56*F56)</f>
        <v>46799</v>
      </c>
      <c r="H56" s="251">
        <f>SUM(G56*25%/12*5)</f>
        <v>4874.895833333333</v>
      </c>
      <c r="I56" s="187">
        <f t="shared" si="11"/>
        <v>41924.104166666664</v>
      </c>
      <c r="J56" s="187">
        <f t="shared" si="22"/>
        <v>10481.026041666666</v>
      </c>
      <c r="K56" s="248">
        <f t="shared" si="23"/>
        <v>31443.078125</v>
      </c>
      <c r="L56" s="187">
        <f t="shared" si="24"/>
        <v>7860.76953125</v>
      </c>
      <c r="M56" s="248">
        <f t="shared" si="13"/>
        <v>23582.30859375</v>
      </c>
      <c r="N56" s="187">
        <f t="shared" si="25"/>
        <v>5895.5771484375</v>
      </c>
      <c r="O56" s="187">
        <f t="shared" si="21"/>
        <v>17686.7314453125</v>
      </c>
      <c r="P56" s="187">
        <f t="shared" si="26"/>
        <v>4421.682861328125</v>
      </c>
      <c r="Q56" s="324">
        <f t="shared" si="27"/>
        <v>13265.048583984375</v>
      </c>
    </row>
    <row r="57" spans="2:17" ht="12.75">
      <c r="B57" s="244">
        <v>5</v>
      </c>
      <c r="C57" s="249" t="s">
        <v>401</v>
      </c>
      <c r="D57" s="250">
        <v>40073</v>
      </c>
      <c r="E57" s="249">
        <v>1</v>
      </c>
      <c r="F57" s="251">
        <v>37962</v>
      </c>
      <c r="G57" s="251">
        <v>37962</v>
      </c>
      <c r="H57" s="251">
        <f>SUM(G57*25%/12*3)</f>
        <v>2372.625</v>
      </c>
      <c r="I57" s="187">
        <f t="shared" si="11"/>
        <v>35589.375</v>
      </c>
      <c r="J57" s="187">
        <f t="shared" si="22"/>
        <v>8897.34375</v>
      </c>
      <c r="K57" s="248">
        <f t="shared" si="23"/>
        <v>26692.03125</v>
      </c>
      <c r="L57" s="187">
        <f t="shared" si="24"/>
        <v>6673.0078125</v>
      </c>
      <c r="M57" s="248">
        <f t="shared" si="13"/>
        <v>20019.0234375</v>
      </c>
      <c r="N57" s="187">
        <f t="shared" si="25"/>
        <v>5004.755859375</v>
      </c>
      <c r="O57" s="187">
        <f t="shared" si="21"/>
        <v>15014.267578125</v>
      </c>
      <c r="P57" s="187">
        <f t="shared" si="26"/>
        <v>3753.56689453125</v>
      </c>
      <c r="Q57" s="324">
        <f t="shared" si="27"/>
        <v>11260.70068359375</v>
      </c>
    </row>
    <row r="58" spans="2:17" ht="12.75">
      <c r="B58" s="244">
        <v>6</v>
      </c>
      <c r="C58" s="249" t="s">
        <v>402</v>
      </c>
      <c r="D58" s="250">
        <v>40085</v>
      </c>
      <c r="E58" s="249">
        <v>1</v>
      </c>
      <c r="F58" s="251">
        <v>15166.67</v>
      </c>
      <c r="G58" s="251">
        <v>15166.67</v>
      </c>
      <c r="H58" s="251">
        <f>SUM(G58*25%/12*3)</f>
        <v>947.9168749999999</v>
      </c>
      <c r="I58" s="187">
        <f t="shared" si="11"/>
        <v>14218.753125</v>
      </c>
      <c r="J58" s="187">
        <f t="shared" si="22"/>
        <v>3554.68828125</v>
      </c>
      <c r="K58" s="248">
        <f t="shared" si="23"/>
        <v>10664.064843749999</v>
      </c>
      <c r="L58" s="187">
        <f t="shared" si="24"/>
        <v>2666.0162109374996</v>
      </c>
      <c r="M58" s="248">
        <f t="shared" si="13"/>
        <v>7998.048632812499</v>
      </c>
      <c r="N58" s="187">
        <f t="shared" si="25"/>
        <v>1999.5121582031247</v>
      </c>
      <c r="O58" s="187">
        <f t="shared" si="21"/>
        <v>5998.536474609375</v>
      </c>
      <c r="P58" s="187">
        <f t="shared" si="26"/>
        <v>1499.6341186523437</v>
      </c>
      <c r="Q58" s="324">
        <f t="shared" si="27"/>
        <v>4498.9023559570305</v>
      </c>
    </row>
    <row r="59" spans="2:17" ht="12.75">
      <c r="B59" s="244">
        <v>7</v>
      </c>
      <c r="C59" s="249" t="s">
        <v>403</v>
      </c>
      <c r="D59" s="250">
        <v>40123</v>
      </c>
      <c r="E59" s="249">
        <v>1</v>
      </c>
      <c r="F59" s="251">
        <v>99935</v>
      </c>
      <c r="G59" s="251">
        <v>99935</v>
      </c>
      <c r="H59" s="251">
        <f>SUM(G59*25%/12*1)</f>
        <v>2081.9791666666665</v>
      </c>
      <c r="I59" s="187">
        <f t="shared" si="11"/>
        <v>97853.02083333333</v>
      </c>
      <c r="J59" s="187">
        <f t="shared" si="22"/>
        <v>24463.255208333332</v>
      </c>
      <c r="K59" s="248">
        <f t="shared" si="23"/>
        <v>73389.765625</v>
      </c>
      <c r="L59" s="187">
        <f t="shared" si="24"/>
        <v>18347.44140625</v>
      </c>
      <c r="M59" s="248">
        <f t="shared" si="13"/>
        <v>55042.32421875</v>
      </c>
      <c r="N59" s="187">
        <f t="shared" si="25"/>
        <v>13760.5810546875</v>
      </c>
      <c r="O59" s="187">
        <f t="shared" si="21"/>
        <v>41281.7431640625</v>
      </c>
      <c r="P59" s="187">
        <f t="shared" si="26"/>
        <v>10320.435791015625</v>
      </c>
      <c r="Q59" s="324">
        <f t="shared" si="27"/>
        <v>30961.307373046875</v>
      </c>
    </row>
    <row r="60" spans="2:17" ht="12.75">
      <c r="B60" s="244">
        <v>8</v>
      </c>
      <c r="C60" s="249" t="s">
        <v>296</v>
      </c>
      <c r="D60" s="250">
        <v>40157</v>
      </c>
      <c r="E60" s="249">
        <v>1</v>
      </c>
      <c r="F60" s="251">
        <v>27420</v>
      </c>
      <c r="G60" s="251">
        <v>27420</v>
      </c>
      <c r="H60" s="251"/>
      <c r="I60" s="187">
        <f t="shared" si="11"/>
        <v>27420</v>
      </c>
      <c r="J60" s="187">
        <f t="shared" si="22"/>
        <v>6855</v>
      </c>
      <c r="K60" s="248">
        <f t="shared" si="23"/>
        <v>20565</v>
      </c>
      <c r="L60" s="187">
        <f t="shared" si="24"/>
        <v>5141.25</v>
      </c>
      <c r="M60" s="248">
        <f t="shared" si="13"/>
        <v>15423.75</v>
      </c>
      <c r="N60" s="187">
        <f t="shared" si="25"/>
        <v>3855.9375</v>
      </c>
      <c r="O60" s="187">
        <f t="shared" si="21"/>
        <v>11567.8125</v>
      </c>
      <c r="P60" s="187">
        <f t="shared" si="26"/>
        <v>2891.953125</v>
      </c>
      <c r="Q60" s="324">
        <f t="shared" si="27"/>
        <v>8675.859375</v>
      </c>
    </row>
    <row r="61" spans="2:17" ht="12.75">
      <c r="B61" s="244">
        <v>9</v>
      </c>
      <c r="C61" s="249" t="s">
        <v>404</v>
      </c>
      <c r="D61" s="250">
        <v>40330</v>
      </c>
      <c r="E61" s="249">
        <v>1</v>
      </c>
      <c r="F61" s="249">
        <v>20562</v>
      </c>
      <c r="G61" s="249">
        <v>20562</v>
      </c>
      <c r="H61" s="251"/>
      <c r="I61" s="187">
        <f t="shared" si="11"/>
        <v>20562</v>
      </c>
      <c r="J61" s="187">
        <f>SUM(I61*25%/12*6)</f>
        <v>2570.25</v>
      </c>
      <c r="K61" s="248">
        <f t="shared" si="23"/>
        <v>17991.75</v>
      </c>
      <c r="L61" s="187">
        <f t="shared" si="24"/>
        <v>4497.9375</v>
      </c>
      <c r="M61" s="248">
        <f t="shared" si="13"/>
        <v>13493.8125</v>
      </c>
      <c r="N61" s="187">
        <f t="shared" si="25"/>
        <v>3373.453125</v>
      </c>
      <c r="O61" s="187">
        <f t="shared" si="21"/>
        <v>10120.359375</v>
      </c>
      <c r="P61" s="187">
        <f t="shared" si="26"/>
        <v>2530.08984375</v>
      </c>
      <c r="Q61" s="324">
        <f t="shared" si="27"/>
        <v>7590.26953125</v>
      </c>
    </row>
    <row r="62" spans="2:17" ht="12.75">
      <c r="B62" s="244">
        <v>10</v>
      </c>
      <c r="C62" s="249" t="s">
        <v>405</v>
      </c>
      <c r="D62" s="250">
        <v>40585</v>
      </c>
      <c r="E62" s="249">
        <v>1</v>
      </c>
      <c r="F62" s="249"/>
      <c r="G62" s="249"/>
      <c r="H62" s="251"/>
      <c r="I62" s="187"/>
      <c r="J62" s="187"/>
      <c r="K62" s="248">
        <v>109878.65</v>
      </c>
      <c r="L62" s="187">
        <f>SUM(K62*25%/12*10)</f>
        <v>22891.385416666668</v>
      </c>
      <c r="M62" s="248">
        <f t="shared" si="13"/>
        <v>86987.26458333332</v>
      </c>
      <c r="N62" s="187">
        <f t="shared" si="25"/>
        <v>21746.81614583333</v>
      </c>
      <c r="O62" s="187">
        <f t="shared" si="21"/>
        <v>65240.44843749999</v>
      </c>
      <c r="P62" s="187">
        <f t="shared" si="26"/>
        <v>16310.112109374997</v>
      </c>
      <c r="Q62" s="324">
        <f t="shared" si="27"/>
        <v>48930.33632812499</v>
      </c>
    </row>
    <row r="63" spans="2:17" ht="12.75">
      <c r="B63" s="244">
        <v>11</v>
      </c>
      <c r="C63" s="249" t="s">
        <v>406</v>
      </c>
      <c r="D63" s="250">
        <v>40612</v>
      </c>
      <c r="E63" s="249">
        <v>1</v>
      </c>
      <c r="F63" s="249"/>
      <c r="G63" s="249"/>
      <c r="H63" s="251"/>
      <c r="I63" s="187"/>
      <c r="J63" s="187"/>
      <c r="K63" s="248">
        <v>14000</v>
      </c>
      <c r="L63" s="187">
        <f>SUM(K63*25%/12*9)</f>
        <v>2625</v>
      </c>
      <c r="M63" s="248">
        <f t="shared" si="13"/>
        <v>11375</v>
      </c>
      <c r="N63" s="187">
        <f t="shared" si="25"/>
        <v>2843.75</v>
      </c>
      <c r="O63" s="187">
        <f t="shared" si="21"/>
        <v>8531.25</v>
      </c>
      <c r="P63" s="187">
        <f t="shared" si="26"/>
        <v>2132.8125</v>
      </c>
      <c r="Q63" s="324">
        <f t="shared" si="27"/>
        <v>6398.4375</v>
      </c>
    </row>
    <row r="64" spans="2:17" ht="12.75">
      <c r="B64" s="244">
        <v>12</v>
      </c>
      <c r="C64" s="249" t="s">
        <v>407</v>
      </c>
      <c r="D64" s="250">
        <v>40626</v>
      </c>
      <c r="E64" s="249">
        <v>1</v>
      </c>
      <c r="F64" s="249"/>
      <c r="G64" s="249"/>
      <c r="H64" s="251"/>
      <c r="I64" s="187"/>
      <c r="J64" s="187"/>
      <c r="K64" s="248">
        <v>69325</v>
      </c>
      <c r="L64" s="187">
        <f>SUM(K64*25%/12*8)</f>
        <v>11554.166666666666</v>
      </c>
      <c r="M64" s="248">
        <f t="shared" si="13"/>
        <v>57770.833333333336</v>
      </c>
      <c r="N64" s="187">
        <f t="shared" si="25"/>
        <v>14442.708333333334</v>
      </c>
      <c r="O64" s="187">
        <f t="shared" si="21"/>
        <v>43328.125</v>
      </c>
      <c r="P64" s="187">
        <f t="shared" si="26"/>
        <v>10832.03125</v>
      </c>
      <c r="Q64" s="324">
        <f t="shared" si="27"/>
        <v>32496.09375</v>
      </c>
    </row>
    <row r="65" spans="2:17" ht="12.75">
      <c r="B65" s="244">
        <v>13</v>
      </c>
      <c r="C65" s="249" t="s">
        <v>408</v>
      </c>
      <c r="D65" s="250">
        <v>40687</v>
      </c>
      <c r="E65" s="249">
        <v>1</v>
      </c>
      <c r="F65" s="249"/>
      <c r="G65" s="249"/>
      <c r="H65" s="251"/>
      <c r="I65" s="187"/>
      <c r="J65" s="187"/>
      <c r="K65" s="248">
        <v>75680</v>
      </c>
      <c r="L65" s="187">
        <f>SUM(K65*25%/12*7)</f>
        <v>11036.666666666668</v>
      </c>
      <c r="M65" s="248">
        <f t="shared" si="13"/>
        <v>64643.33333333333</v>
      </c>
      <c r="N65" s="187">
        <f t="shared" si="25"/>
        <v>16160.833333333332</v>
      </c>
      <c r="O65" s="187">
        <f t="shared" si="21"/>
        <v>48482.5</v>
      </c>
      <c r="P65" s="187">
        <f t="shared" si="26"/>
        <v>12120.625</v>
      </c>
      <c r="Q65" s="324">
        <f t="shared" si="27"/>
        <v>36361.875</v>
      </c>
    </row>
    <row r="66" spans="2:17" ht="12.75">
      <c r="B66" s="244">
        <v>14</v>
      </c>
      <c r="C66" s="249" t="s">
        <v>409</v>
      </c>
      <c r="D66" s="250">
        <v>40717</v>
      </c>
      <c r="E66" s="249">
        <v>1</v>
      </c>
      <c r="F66" s="249"/>
      <c r="G66" s="249"/>
      <c r="H66" s="251"/>
      <c r="I66" s="187"/>
      <c r="J66" s="187"/>
      <c r="K66" s="248">
        <v>10966.25</v>
      </c>
      <c r="L66" s="187">
        <f>SUM(K66*25%/12*6)</f>
        <v>1370.78125</v>
      </c>
      <c r="M66" s="248">
        <f t="shared" si="13"/>
        <v>9595.46875</v>
      </c>
      <c r="N66" s="187">
        <f t="shared" si="25"/>
        <v>2398.8671875</v>
      </c>
      <c r="O66" s="187">
        <f t="shared" si="21"/>
        <v>7196.6015625</v>
      </c>
      <c r="P66" s="187">
        <f t="shared" si="26"/>
        <v>1799.150390625</v>
      </c>
      <c r="Q66" s="324">
        <f t="shared" si="27"/>
        <v>5397.451171875</v>
      </c>
    </row>
    <row r="67" spans="1:17" ht="12.75">
      <c r="A67" s="320"/>
      <c r="B67" s="275">
        <v>15</v>
      </c>
      <c r="C67" s="249" t="s">
        <v>410</v>
      </c>
      <c r="D67" s="250">
        <v>40899</v>
      </c>
      <c r="E67" s="249">
        <v>1</v>
      </c>
      <c r="F67" s="249"/>
      <c r="G67" s="249"/>
      <c r="H67" s="251"/>
      <c r="I67" s="187"/>
      <c r="J67" s="187"/>
      <c r="K67" s="248">
        <v>48605</v>
      </c>
      <c r="L67" s="187">
        <v>0</v>
      </c>
      <c r="M67" s="248">
        <f t="shared" si="13"/>
        <v>48605</v>
      </c>
      <c r="N67" s="187">
        <f t="shared" si="25"/>
        <v>12151.25</v>
      </c>
      <c r="O67" s="187">
        <f t="shared" si="21"/>
        <v>36453.75</v>
      </c>
      <c r="P67" s="187">
        <f t="shared" si="26"/>
        <v>9113.4375</v>
      </c>
      <c r="Q67" s="324">
        <f t="shared" si="27"/>
        <v>27340.3125</v>
      </c>
    </row>
    <row r="68" spans="1:17" ht="12.75">
      <c r="A68" s="320"/>
      <c r="B68" s="275">
        <v>16</v>
      </c>
      <c r="C68" s="249" t="s">
        <v>411</v>
      </c>
      <c r="D68" s="250">
        <v>40977</v>
      </c>
      <c r="E68" s="249">
        <v>1</v>
      </c>
      <c r="F68" s="249">
        <v>25000</v>
      </c>
      <c r="G68" s="249">
        <v>25000</v>
      </c>
      <c r="H68" s="251"/>
      <c r="I68" s="187"/>
      <c r="J68" s="187"/>
      <c r="K68" s="248"/>
      <c r="L68" s="187"/>
      <c r="M68" s="276"/>
      <c r="N68" s="187">
        <f>SUM(G68*25%/12)*9</f>
        <v>4687.5</v>
      </c>
      <c r="O68" s="187">
        <f>G68-N68</f>
        <v>20312.5</v>
      </c>
      <c r="P68" s="187">
        <f t="shared" si="26"/>
        <v>5078.125</v>
      </c>
      <c r="Q68" s="324">
        <f t="shared" si="27"/>
        <v>15234.375</v>
      </c>
    </row>
    <row r="69" spans="1:17" ht="12.75">
      <c r="A69" s="320"/>
      <c r="B69" s="275">
        <v>17</v>
      </c>
      <c r="C69" s="249" t="s">
        <v>411</v>
      </c>
      <c r="D69" s="250">
        <v>41010</v>
      </c>
      <c r="E69" s="249">
        <v>1</v>
      </c>
      <c r="F69" s="249">
        <v>37197</v>
      </c>
      <c r="G69" s="249">
        <v>37197</v>
      </c>
      <c r="H69" s="251"/>
      <c r="I69" s="187"/>
      <c r="J69" s="187"/>
      <c r="K69" s="248"/>
      <c r="L69" s="187"/>
      <c r="M69" s="276"/>
      <c r="N69" s="187">
        <f>SUM(F69*25%/12)*8</f>
        <v>6199.5</v>
      </c>
      <c r="O69" s="187">
        <f>G69-N69</f>
        <v>30997.5</v>
      </c>
      <c r="P69" s="187">
        <f t="shared" si="26"/>
        <v>7749.375</v>
      </c>
      <c r="Q69" s="324">
        <f t="shared" si="27"/>
        <v>23248.125</v>
      </c>
    </row>
    <row r="70" spans="1:17" ht="12.75">
      <c r="A70" s="320"/>
      <c r="B70" s="275">
        <v>18</v>
      </c>
      <c r="C70" s="249" t="s">
        <v>412</v>
      </c>
      <c r="D70" s="250">
        <v>41054</v>
      </c>
      <c r="E70" s="249">
        <v>1</v>
      </c>
      <c r="F70" s="249">
        <v>136150</v>
      </c>
      <c r="G70" s="249">
        <v>136150</v>
      </c>
      <c r="H70" s="251"/>
      <c r="I70" s="187"/>
      <c r="J70" s="187"/>
      <c r="K70" s="248"/>
      <c r="L70" s="187"/>
      <c r="M70" s="276"/>
      <c r="N70" s="187">
        <f>SUM(G70*25%/12)*7</f>
        <v>19855.208333333336</v>
      </c>
      <c r="O70" s="187">
        <f>G70-N70</f>
        <v>116294.79166666666</v>
      </c>
      <c r="P70" s="187">
        <f t="shared" si="26"/>
        <v>29073.697916666664</v>
      </c>
      <c r="Q70" s="324">
        <f t="shared" si="27"/>
        <v>87221.09375</v>
      </c>
    </row>
    <row r="71" spans="1:17" ht="12.75">
      <c r="A71" s="320"/>
      <c r="B71" s="275">
        <v>19</v>
      </c>
      <c r="C71" s="249" t="s">
        <v>413</v>
      </c>
      <c r="D71" s="250">
        <v>41072</v>
      </c>
      <c r="E71" s="249">
        <v>1</v>
      </c>
      <c r="F71" s="249">
        <v>15667</v>
      </c>
      <c r="G71" s="249">
        <v>15667</v>
      </c>
      <c r="H71" s="251"/>
      <c r="I71" s="187"/>
      <c r="J71" s="187"/>
      <c r="K71" s="274"/>
      <c r="L71" s="187"/>
      <c r="M71" s="276"/>
      <c r="N71" s="187"/>
      <c r="O71" s="187">
        <f>G71-N71</f>
        <v>15667</v>
      </c>
      <c r="P71" s="187">
        <f t="shared" si="26"/>
        <v>3916.75</v>
      </c>
      <c r="Q71" s="324">
        <f t="shared" si="27"/>
        <v>11750.25</v>
      </c>
    </row>
    <row r="72" spans="1:17" ht="12.75">
      <c r="A72" s="320"/>
      <c r="B72" s="275">
        <v>20</v>
      </c>
      <c r="C72" s="249" t="s">
        <v>414</v>
      </c>
      <c r="D72" s="250">
        <v>41131</v>
      </c>
      <c r="E72" s="249">
        <v>2</v>
      </c>
      <c r="F72" s="249">
        <f>SUM(G72/2)</f>
        <v>66666.5</v>
      </c>
      <c r="G72" s="249">
        <v>133333</v>
      </c>
      <c r="H72" s="251"/>
      <c r="I72" s="187"/>
      <c r="J72" s="187"/>
      <c r="K72" s="187"/>
      <c r="L72" s="187"/>
      <c r="M72" s="276"/>
      <c r="N72" s="187"/>
      <c r="O72" s="187">
        <f>G72-N72</f>
        <v>133333</v>
      </c>
      <c r="P72" s="187">
        <f t="shared" si="26"/>
        <v>33333.25</v>
      </c>
      <c r="Q72" s="324">
        <f t="shared" si="27"/>
        <v>99999.75</v>
      </c>
    </row>
    <row r="73" spans="1:17" ht="12.75">
      <c r="A73" s="320"/>
      <c r="B73" s="318"/>
      <c r="C73" s="277" t="s">
        <v>337</v>
      </c>
      <c r="D73" s="278"/>
      <c r="E73" s="277"/>
      <c r="F73" s="260"/>
      <c r="G73" s="260">
        <f>SUM(G53:G72)</f>
        <v>763684.6699999999</v>
      </c>
      <c r="H73" s="260">
        <f>SUM(H53:H60)</f>
        <v>27828.771041666663</v>
      </c>
      <c r="I73" s="227">
        <f t="shared" si="11"/>
        <v>735855.8989583333</v>
      </c>
      <c r="J73" s="227">
        <f>SUM(J53:J61)</f>
        <v>94556.97473958333</v>
      </c>
      <c r="K73" s="261">
        <f>SUM(K53:K61)</f>
        <v>293951.92421875</v>
      </c>
      <c r="L73" s="227">
        <f aca="true" t="shared" si="28" ref="L73:Q73">SUM(L53:L72)</f>
        <v>122965.98105468751</v>
      </c>
      <c r="M73" s="261">
        <f t="shared" si="28"/>
        <v>499440.8431640625</v>
      </c>
      <c r="N73" s="227">
        <f t="shared" si="28"/>
        <v>155602.41912434896</v>
      </c>
      <c r="O73" s="227">
        <f t="shared" si="28"/>
        <v>691185.4240397135</v>
      </c>
      <c r="P73" s="262">
        <f t="shared" si="28"/>
        <v>172796.35600992836</v>
      </c>
      <c r="Q73" s="325">
        <f t="shared" si="28"/>
        <v>518389.0680297852</v>
      </c>
    </row>
    <row r="74" spans="1:17" ht="12.75">
      <c r="A74" s="320"/>
      <c r="B74" s="319"/>
      <c r="C74" s="280"/>
      <c r="D74" s="281"/>
      <c r="E74" s="280"/>
      <c r="F74" s="282"/>
      <c r="G74" s="282"/>
      <c r="H74" s="283"/>
      <c r="I74" s="284"/>
      <c r="J74" s="284"/>
      <c r="K74" s="285"/>
      <c r="L74" s="187"/>
      <c r="M74" s="248"/>
      <c r="N74" s="187"/>
      <c r="O74" s="187"/>
      <c r="P74" s="187"/>
      <c r="Q74" s="324"/>
    </row>
    <row r="75" spans="1:17" ht="12.75">
      <c r="A75" s="320"/>
      <c r="B75" s="319" t="s">
        <v>415</v>
      </c>
      <c r="C75" s="286" t="s">
        <v>416</v>
      </c>
      <c r="D75" s="287"/>
      <c r="E75" s="286"/>
      <c r="F75" s="288"/>
      <c r="G75" s="288"/>
      <c r="H75" s="289"/>
      <c r="I75" s="290"/>
      <c r="J75" s="290"/>
      <c r="K75" s="291"/>
      <c r="L75" s="268"/>
      <c r="M75" s="270"/>
      <c r="N75" s="270"/>
      <c r="O75" s="270"/>
      <c r="P75" s="270"/>
      <c r="Q75" s="326"/>
    </row>
    <row r="76" spans="2:17" ht="12.75">
      <c r="B76" s="279">
        <v>1</v>
      </c>
      <c r="C76" s="280" t="s">
        <v>417</v>
      </c>
      <c r="D76" s="281">
        <v>40724</v>
      </c>
      <c r="E76" s="280">
        <v>1</v>
      </c>
      <c r="F76" s="282">
        <v>2546675</v>
      </c>
      <c r="G76" s="282">
        <f>E76*F76</f>
        <v>2546675</v>
      </c>
      <c r="H76" s="283"/>
      <c r="I76" s="284"/>
      <c r="J76" s="284"/>
      <c r="K76" s="292"/>
      <c r="L76" s="187">
        <f>SUM(F76*20%/12*6)</f>
        <v>254667.5</v>
      </c>
      <c r="M76" s="293">
        <f>G76-L76</f>
        <v>2292007.5</v>
      </c>
      <c r="N76" s="187">
        <f>SUM(M76*20%)</f>
        <v>458401.5</v>
      </c>
      <c r="O76" s="187">
        <f>SUM(M76-N76)</f>
        <v>1833606</v>
      </c>
      <c r="P76" s="187">
        <f>O76*0.2</f>
        <v>366721.2</v>
      </c>
      <c r="Q76" s="324">
        <f>O76-P76</f>
        <v>1466884.8</v>
      </c>
    </row>
    <row r="77" spans="2:17" ht="12.75">
      <c r="B77" s="279">
        <v>2</v>
      </c>
      <c r="C77" s="280" t="s">
        <v>418</v>
      </c>
      <c r="D77" s="281">
        <v>41015</v>
      </c>
      <c r="E77" s="280">
        <v>1</v>
      </c>
      <c r="F77" s="282">
        <v>1441279</v>
      </c>
      <c r="G77" s="282">
        <f>E77*F77</f>
        <v>1441279</v>
      </c>
      <c r="H77" s="283"/>
      <c r="I77" s="284"/>
      <c r="J77" s="284"/>
      <c r="K77" s="292"/>
      <c r="L77" s="187"/>
      <c r="M77" s="293"/>
      <c r="N77" s="187">
        <f>SUM(F77*20%/12)*8</f>
        <v>192170.53333333333</v>
      </c>
      <c r="O77" s="187">
        <f>G77-N77</f>
        <v>1249108.4666666668</v>
      </c>
      <c r="P77" s="187">
        <f>SUM(O77*0.2)</f>
        <v>249821.69333333336</v>
      </c>
      <c r="Q77" s="324">
        <f>O77-P77</f>
        <v>999286.7733333334</v>
      </c>
    </row>
    <row r="78" spans="2:17" ht="12.75">
      <c r="B78" s="279"/>
      <c r="C78" s="294" t="s">
        <v>419</v>
      </c>
      <c r="D78" s="295">
        <v>41600</v>
      </c>
      <c r="E78" s="294">
        <v>1</v>
      </c>
      <c r="F78" s="282">
        <v>16815600</v>
      </c>
      <c r="G78" s="282">
        <f>E78*F78</f>
        <v>16815600</v>
      </c>
      <c r="H78" s="283"/>
      <c r="I78" s="284"/>
      <c r="J78" s="284"/>
      <c r="K78" s="292"/>
      <c r="L78" s="188"/>
      <c r="M78" s="293"/>
      <c r="N78" s="188"/>
      <c r="O78" s="188"/>
      <c r="P78" s="188">
        <f>SUM(G78*20%/12)*1</f>
        <v>280260</v>
      </c>
      <c r="Q78" s="327">
        <f>F78-P78</f>
        <v>16535340</v>
      </c>
    </row>
    <row r="79" spans="2:17" ht="12.75">
      <c r="B79" s="279"/>
      <c r="C79" s="296" t="s">
        <v>337</v>
      </c>
      <c r="D79" s="297"/>
      <c r="E79" s="298"/>
      <c r="F79" s="299"/>
      <c r="G79" s="300">
        <f>SUM(G76:G78)</f>
        <v>20803554</v>
      </c>
      <c r="H79" s="300"/>
      <c r="I79" s="301"/>
      <c r="J79" s="301"/>
      <c r="K79" s="302">
        <f>SUM(K76)</f>
        <v>0</v>
      </c>
      <c r="L79" s="227">
        <f>SUM(L76)</f>
        <v>254667.5</v>
      </c>
      <c r="M79" s="261">
        <f>SUM(M76:M77)</f>
        <v>2292007.5</v>
      </c>
      <c r="N79" s="227">
        <f>SUM(N76:N77)</f>
        <v>650572.0333333333</v>
      </c>
      <c r="O79" s="227">
        <f>SUM(O76:O77)</f>
        <v>3082714.466666667</v>
      </c>
      <c r="P79" s="227">
        <f>SUM(P76:P78)</f>
        <v>896802.8933333333</v>
      </c>
      <c r="Q79" s="328">
        <f>SUM(Q76:Q78)</f>
        <v>19001511.573333334</v>
      </c>
    </row>
    <row r="80" spans="2:17" ht="13.5" thickBot="1">
      <c r="B80" s="279"/>
      <c r="C80" s="280"/>
      <c r="D80" s="281"/>
      <c r="E80" s="280"/>
      <c r="F80" s="282"/>
      <c r="G80" s="334"/>
      <c r="H80" s="333"/>
      <c r="I80" s="332"/>
      <c r="J80" s="332"/>
      <c r="K80" s="332"/>
      <c r="L80" s="330"/>
      <c r="M80" s="330"/>
      <c r="N80" s="330"/>
      <c r="O80" s="330"/>
      <c r="P80" s="330"/>
      <c r="Q80" s="329"/>
    </row>
    <row r="81" spans="2:17" ht="15.75" customHeight="1" thickBot="1">
      <c r="B81" s="337"/>
      <c r="C81" s="338" t="s">
        <v>420</v>
      </c>
      <c r="D81" s="338"/>
      <c r="E81" s="339"/>
      <c r="F81" s="336"/>
      <c r="G81" s="335">
        <f>G35+G51+G73+G79</f>
        <v>25159467.67</v>
      </c>
      <c r="H81" s="340">
        <f>SUM(H73+H51+H35)</f>
        <v>128842.354375</v>
      </c>
      <c r="I81" s="340">
        <f>SUM(I73+I51+I35)</f>
        <v>3701072.315625</v>
      </c>
      <c r="J81" s="340">
        <f>SUM(J35+J51+J73)</f>
        <v>628004.7580729167</v>
      </c>
      <c r="K81" s="341">
        <f>SUM(K73+K51+K35+K79)</f>
        <v>2506720.5575520834</v>
      </c>
      <c r="L81" s="331">
        <f>SUM(L73+L51+L35+L79)</f>
        <v>834187.2077213542</v>
      </c>
      <c r="M81" s="343">
        <f>M35+M51+M73+M79</f>
        <v>4667663.249830729</v>
      </c>
      <c r="N81" s="340">
        <f>SUM(N79+N73+N51+N35)</f>
        <v>1216100.7337910156</v>
      </c>
      <c r="O81" s="343">
        <f>O35+O51+O73+O79</f>
        <v>5865187.516039713</v>
      </c>
      <c r="P81" s="342">
        <f>P35+P51+P73+P79</f>
        <v>1487856.7744099284</v>
      </c>
      <c r="Q81" s="344">
        <f>Q35+Q51+Q73+Q79</f>
        <v>21192930.741629787</v>
      </c>
    </row>
    <row r="82" spans="6:15" ht="12.75">
      <c r="F82" s="179"/>
      <c r="G82" s="179"/>
      <c r="H82" s="179"/>
      <c r="I82" s="179"/>
      <c r="J82" s="179"/>
      <c r="K82" s="179"/>
      <c r="L82" s="179"/>
      <c r="M82" s="179"/>
      <c r="N82" s="179"/>
      <c r="O82" s="179"/>
    </row>
    <row r="84" ht="12.75">
      <c r="H84" s="179"/>
    </row>
    <row r="85" spans="7:16" ht="12.75">
      <c r="G85" s="179"/>
      <c r="H85" s="179"/>
      <c r="P85" s="179"/>
    </row>
    <row r="86" spans="7:16" ht="12.75">
      <c r="G86" s="185"/>
      <c r="P86" s="179"/>
    </row>
    <row r="87" spans="8:16" ht="12.75">
      <c r="H87" s="179"/>
      <c r="J87" s="364"/>
      <c r="K87" s="179"/>
      <c r="L87" s="314"/>
      <c r="N87" s="314"/>
      <c r="P87" s="179"/>
    </row>
    <row r="88" spans="7:16" ht="12.75">
      <c r="G88" s="179"/>
      <c r="K88" s="179"/>
      <c r="L88" s="314"/>
      <c r="M88" s="202"/>
      <c r="P88" s="179"/>
    </row>
    <row r="89" spans="10:16" ht="12.75">
      <c r="J89" s="179"/>
      <c r="L89" s="363"/>
      <c r="M89" s="8"/>
      <c r="P89" s="179"/>
    </row>
    <row r="90" ht="12.75">
      <c r="M90" s="179"/>
    </row>
    <row r="92" ht="12.75">
      <c r="L92" s="362"/>
    </row>
    <row r="95" ht="12.75">
      <c r="M95" s="17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59"/>
  <sheetViews>
    <sheetView zoomScalePageLayoutView="0" workbookViewId="0" topLeftCell="A7">
      <selection activeCell="S58" sqref="S58"/>
    </sheetView>
  </sheetViews>
  <sheetFormatPr defaultColWidth="9.140625" defaultRowHeight="12.75"/>
  <cols>
    <col min="1" max="1" width="5.28125" style="10" customWidth="1"/>
    <col min="2" max="2" width="12.57421875" style="10" customWidth="1"/>
    <col min="3" max="22" width="9.140625" style="10" customWidth="1"/>
    <col min="23" max="23" width="2.7109375" style="10" customWidth="1"/>
    <col min="24" max="24" width="4.00390625" style="10" customWidth="1"/>
    <col min="25" max="25" width="13.00390625" style="10" customWidth="1"/>
    <col min="26" max="16384" width="9.140625" style="10" customWidth="1"/>
  </cols>
  <sheetData>
    <row r="1" spans="1:25" ht="19.5" thickBot="1">
      <c r="A1" s="9"/>
      <c r="C1" s="11"/>
      <c r="D1" s="12"/>
      <c r="E1" s="11"/>
      <c r="F1" s="11"/>
      <c r="G1" s="13" t="s">
        <v>136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12.75">
      <c r="A2" s="14" t="s">
        <v>137</v>
      </c>
      <c r="B2" s="14" t="s">
        <v>138</v>
      </c>
      <c r="C2" s="14" t="s">
        <v>139</v>
      </c>
      <c r="D2" s="14" t="s">
        <v>29</v>
      </c>
      <c r="E2" s="14" t="s">
        <v>28</v>
      </c>
      <c r="F2" s="14" t="s">
        <v>140</v>
      </c>
      <c r="G2" s="14" t="s">
        <v>141</v>
      </c>
      <c r="H2" s="14" t="s">
        <v>142</v>
      </c>
      <c r="I2" s="14" t="s">
        <v>143</v>
      </c>
      <c r="J2" s="14" t="s">
        <v>144</v>
      </c>
      <c r="K2" s="15"/>
      <c r="L2" s="16" t="s">
        <v>145</v>
      </c>
      <c r="M2" s="17" t="s">
        <v>146</v>
      </c>
      <c r="N2" s="18"/>
      <c r="O2" s="14" t="s">
        <v>144</v>
      </c>
      <c r="P2" s="14" t="s">
        <v>143</v>
      </c>
      <c r="Q2" s="14" t="s">
        <v>142</v>
      </c>
      <c r="R2" s="14" t="s">
        <v>141</v>
      </c>
      <c r="S2" s="14" t="s">
        <v>140</v>
      </c>
      <c r="T2" s="14" t="s">
        <v>28</v>
      </c>
      <c r="U2" s="14" t="s">
        <v>29</v>
      </c>
      <c r="V2" s="14" t="s">
        <v>139</v>
      </c>
      <c r="W2" s="19"/>
      <c r="X2" s="14" t="s">
        <v>137</v>
      </c>
      <c r="Y2" s="14" t="s">
        <v>138</v>
      </c>
    </row>
    <row r="3" spans="1:25" ht="13.5">
      <c r="A3" s="20">
        <v>101</v>
      </c>
      <c r="B3" s="20" t="s">
        <v>147</v>
      </c>
      <c r="C3" s="21"/>
      <c r="D3" s="21"/>
      <c r="E3" s="21"/>
      <c r="F3" s="21"/>
      <c r="G3" s="21"/>
      <c r="H3" s="21"/>
      <c r="I3" s="21">
        <f aca="true" t="shared" si="0" ref="I3:I37">C3+D3+E3+F3+G3+H3</f>
        <v>0</v>
      </c>
      <c r="J3" s="21"/>
      <c r="K3" s="129">
        <f aca="true" t="shared" si="1" ref="K3:K50">(I3+J3)-(O3+P3)</f>
        <v>0</v>
      </c>
      <c r="L3" s="130"/>
      <c r="M3" s="131"/>
      <c r="N3" s="132">
        <f aca="true" t="shared" si="2" ref="N3:N50">(O3+P3)-(I3+J3)</f>
        <v>0</v>
      </c>
      <c r="O3" s="21"/>
      <c r="P3" s="21">
        <f aca="true" t="shared" si="3" ref="P3:P37">Q3+R3+S3+T3+U3+V3</f>
        <v>0</v>
      </c>
      <c r="Q3" s="21"/>
      <c r="R3" s="21"/>
      <c r="S3" s="21"/>
      <c r="T3" s="21"/>
      <c r="U3" s="21"/>
      <c r="V3" s="21"/>
      <c r="W3" s="22"/>
      <c r="X3" s="20">
        <v>101</v>
      </c>
      <c r="Y3" s="20" t="s">
        <v>147</v>
      </c>
    </row>
    <row r="4" spans="1:25" ht="13.5">
      <c r="A4" s="20">
        <v>1071</v>
      </c>
      <c r="B4" s="20" t="s">
        <v>148</v>
      </c>
      <c r="C4" s="21"/>
      <c r="D4" s="21"/>
      <c r="E4" s="21"/>
      <c r="F4" s="21"/>
      <c r="G4" s="21"/>
      <c r="H4" s="21"/>
      <c r="I4" s="21">
        <f t="shared" si="0"/>
        <v>0</v>
      </c>
      <c r="J4" s="21"/>
      <c r="K4" s="129">
        <f t="shared" si="1"/>
        <v>0</v>
      </c>
      <c r="L4" s="130"/>
      <c r="M4" s="131"/>
      <c r="N4" s="132">
        <f t="shared" si="2"/>
        <v>0</v>
      </c>
      <c r="O4" s="21"/>
      <c r="P4" s="21">
        <f t="shared" si="3"/>
        <v>0</v>
      </c>
      <c r="Q4" s="21"/>
      <c r="R4" s="21"/>
      <c r="S4" s="21"/>
      <c r="T4" s="21"/>
      <c r="U4" s="21"/>
      <c r="V4" s="21"/>
      <c r="W4" s="22"/>
      <c r="X4" s="20">
        <v>1071</v>
      </c>
      <c r="Y4" s="20" t="s">
        <v>148</v>
      </c>
    </row>
    <row r="5" spans="1:25" ht="13.5">
      <c r="A5" s="20">
        <v>1078</v>
      </c>
      <c r="B5" s="20" t="s">
        <v>149</v>
      </c>
      <c r="C5" s="21"/>
      <c r="D5" s="21"/>
      <c r="E5" s="21"/>
      <c r="F5" s="21"/>
      <c r="G5" s="21"/>
      <c r="H5" s="21"/>
      <c r="I5" s="21">
        <f t="shared" si="0"/>
        <v>0</v>
      </c>
      <c r="J5" s="21"/>
      <c r="K5" s="129">
        <f t="shared" si="1"/>
        <v>0</v>
      </c>
      <c r="L5" s="130"/>
      <c r="M5" s="131"/>
      <c r="N5" s="132">
        <f t="shared" si="2"/>
        <v>0</v>
      </c>
      <c r="O5" s="21"/>
      <c r="P5" s="21">
        <f t="shared" si="3"/>
        <v>0</v>
      </c>
      <c r="Q5" s="21"/>
      <c r="R5" s="21"/>
      <c r="S5" s="21"/>
      <c r="T5" s="21"/>
      <c r="U5" s="21"/>
      <c r="V5" s="21"/>
      <c r="W5" s="22"/>
      <c r="X5" s="20">
        <v>1078</v>
      </c>
      <c r="Y5" s="20" t="s">
        <v>149</v>
      </c>
    </row>
    <row r="6" spans="1:25" ht="13.5">
      <c r="A6" s="20">
        <v>108</v>
      </c>
      <c r="B6" s="20" t="s">
        <v>150</v>
      </c>
      <c r="C6" s="21"/>
      <c r="D6" s="21"/>
      <c r="E6" s="21"/>
      <c r="F6" s="21"/>
      <c r="G6" s="21"/>
      <c r="H6" s="21"/>
      <c r="I6" s="21">
        <f t="shared" si="0"/>
        <v>0</v>
      </c>
      <c r="J6" s="21"/>
      <c r="K6" s="129">
        <f t="shared" si="1"/>
        <v>0</v>
      </c>
      <c r="L6" s="130"/>
      <c r="M6" s="131"/>
      <c r="N6" s="132">
        <f t="shared" si="2"/>
        <v>0</v>
      </c>
      <c r="O6" s="21"/>
      <c r="P6" s="21">
        <f t="shared" si="3"/>
        <v>0</v>
      </c>
      <c r="Q6" s="21"/>
      <c r="R6" s="21"/>
      <c r="S6" s="21"/>
      <c r="T6" s="21"/>
      <c r="U6" s="21"/>
      <c r="V6" s="21"/>
      <c r="W6" s="22"/>
      <c r="X6" s="20">
        <v>108</v>
      </c>
      <c r="Y6" s="20" t="s">
        <v>150</v>
      </c>
    </row>
    <row r="7" spans="1:25" ht="13.5">
      <c r="A7" s="20">
        <v>109</v>
      </c>
      <c r="B7" s="20" t="s">
        <v>151</v>
      </c>
      <c r="C7" s="21"/>
      <c r="D7" s="21"/>
      <c r="E7" s="21"/>
      <c r="F7" s="21"/>
      <c r="G7" s="21"/>
      <c r="H7" s="21"/>
      <c r="I7" s="21">
        <f t="shared" si="0"/>
        <v>0</v>
      </c>
      <c r="J7" s="21"/>
      <c r="K7" s="129">
        <f t="shared" si="1"/>
        <v>0</v>
      </c>
      <c r="L7" s="130"/>
      <c r="M7" s="131"/>
      <c r="N7" s="132">
        <f t="shared" si="2"/>
        <v>0</v>
      </c>
      <c r="O7" s="21"/>
      <c r="P7" s="21">
        <f t="shared" si="3"/>
        <v>0</v>
      </c>
      <c r="Q7" s="21"/>
      <c r="R7" s="21"/>
      <c r="S7" s="21"/>
      <c r="T7" s="21"/>
      <c r="U7" s="21"/>
      <c r="V7" s="21"/>
      <c r="W7" s="22"/>
      <c r="X7" s="20">
        <v>109</v>
      </c>
      <c r="Y7" s="20" t="s">
        <v>151</v>
      </c>
    </row>
    <row r="8" spans="1:25" ht="13.5">
      <c r="A8" s="20">
        <v>211</v>
      </c>
      <c r="B8" s="20" t="s">
        <v>23</v>
      </c>
      <c r="C8" s="21"/>
      <c r="D8" s="21"/>
      <c r="E8" s="21"/>
      <c r="F8" s="21"/>
      <c r="G8" s="21"/>
      <c r="H8" s="21"/>
      <c r="I8" s="21">
        <f t="shared" si="0"/>
        <v>0</v>
      </c>
      <c r="J8" s="21"/>
      <c r="K8" s="129">
        <f t="shared" si="1"/>
        <v>0</v>
      </c>
      <c r="L8" s="130"/>
      <c r="M8" s="131"/>
      <c r="N8" s="132">
        <f t="shared" si="2"/>
        <v>0</v>
      </c>
      <c r="O8" s="21"/>
      <c r="P8" s="21">
        <f t="shared" si="3"/>
        <v>0</v>
      </c>
      <c r="Q8" s="21"/>
      <c r="R8" s="21"/>
      <c r="S8" s="21"/>
      <c r="T8" s="21"/>
      <c r="U8" s="21"/>
      <c r="V8" s="21"/>
      <c r="W8" s="22"/>
      <c r="X8" s="20">
        <v>211</v>
      </c>
      <c r="Y8" s="20" t="s">
        <v>23</v>
      </c>
    </row>
    <row r="9" spans="1:25" ht="13.5">
      <c r="A9" s="20">
        <v>212</v>
      </c>
      <c r="B9" s="20" t="s">
        <v>5</v>
      </c>
      <c r="C9" s="21"/>
      <c r="D9" s="21"/>
      <c r="E9" s="21"/>
      <c r="F9" s="21"/>
      <c r="G9" s="21"/>
      <c r="H9" s="21"/>
      <c r="I9" s="21">
        <f t="shared" si="0"/>
        <v>0</v>
      </c>
      <c r="J9" s="21"/>
      <c r="K9" s="129">
        <f t="shared" si="1"/>
        <v>0</v>
      </c>
      <c r="L9" s="130"/>
      <c r="M9" s="131"/>
      <c r="N9" s="132">
        <f t="shared" si="2"/>
        <v>0</v>
      </c>
      <c r="O9" s="21"/>
      <c r="P9" s="21">
        <f t="shared" si="3"/>
        <v>0</v>
      </c>
      <c r="Q9" s="21"/>
      <c r="R9" s="21"/>
      <c r="S9" s="21"/>
      <c r="T9" s="21"/>
      <c r="U9" s="21"/>
      <c r="V9" s="21"/>
      <c r="W9" s="22"/>
      <c r="X9" s="20">
        <v>212</v>
      </c>
      <c r="Y9" s="20" t="s">
        <v>5</v>
      </c>
    </row>
    <row r="10" spans="1:25" ht="13.5">
      <c r="A10" s="20">
        <v>213</v>
      </c>
      <c r="B10" s="20" t="s">
        <v>152</v>
      </c>
      <c r="C10" s="21"/>
      <c r="D10" s="21"/>
      <c r="E10" s="21"/>
      <c r="F10" s="21"/>
      <c r="G10" s="21"/>
      <c r="H10" s="21"/>
      <c r="I10" s="21">
        <f t="shared" si="0"/>
        <v>0</v>
      </c>
      <c r="J10" s="21"/>
      <c r="K10" s="129">
        <f t="shared" si="1"/>
        <v>0</v>
      </c>
      <c r="L10" s="130"/>
      <c r="M10" s="131"/>
      <c r="N10" s="132">
        <f t="shared" si="2"/>
        <v>0</v>
      </c>
      <c r="O10" s="21"/>
      <c r="P10" s="21">
        <f t="shared" si="3"/>
        <v>0</v>
      </c>
      <c r="Q10" s="21"/>
      <c r="R10" s="21"/>
      <c r="S10" s="21"/>
      <c r="T10" s="21"/>
      <c r="U10" s="21"/>
      <c r="V10" s="21"/>
      <c r="W10" s="22"/>
      <c r="X10" s="20">
        <v>213</v>
      </c>
      <c r="Y10" s="20" t="s">
        <v>152</v>
      </c>
    </row>
    <row r="11" spans="1:25" ht="13.5">
      <c r="A11" s="20">
        <v>215</v>
      </c>
      <c r="B11" s="20" t="s">
        <v>153</v>
      </c>
      <c r="C11" s="21"/>
      <c r="D11" s="21"/>
      <c r="E11" s="21"/>
      <c r="F11" s="21"/>
      <c r="G11" s="21"/>
      <c r="H11" s="21"/>
      <c r="I11" s="21">
        <f t="shared" si="0"/>
        <v>0</v>
      </c>
      <c r="J11" s="21"/>
      <c r="K11" s="129">
        <f t="shared" si="1"/>
        <v>0</v>
      </c>
      <c r="L11" s="130"/>
      <c r="M11" s="131"/>
      <c r="N11" s="132">
        <f t="shared" si="2"/>
        <v>0</v>
      </c>
      <c r="O11" s="21"/>
      <c r="P11" s="21">
        <f t="shared" si="3"/>
        <v>0</v>
      </c>
      <c r="Q11" s="21"/>
      <c r="R11" s="21"/>
      <c r="S11" s="21"/>
      <c r="T11" s="21"/>
      <c r="U11" s="21"/>
      <c r="V11" s="21"/>
      <c r="W11" s="22"/>
      <c r="X11" s="20">
        <v>215</v>
      </c>
      <c r="Y11" s="20" t="s">
        <v>153</v>
      </c>
    </row>
    <row r="12" spans="1:25" ht="13.5">
      <c r="A12" s="20">
        <v>218</v>
      </c>
      <c r="B12" s="20" t="s">
        <v>154</v>
      </c>
      <c r="C12" s="21"/>
      <c r="D12" s="21"/>
      <c r="E12" s="21"/>
      <c r="F12" s="21"/>
      <c r="G12" s="21"/>
      <c r="H12" s="21"/>
      <c r="I12" s="21">
        <f t="shared" si="0"/>
        <v>0</v>
      </c>
      <c r="J12" s="21"/>
      <c r="K12" s="129">
        <f t="shared" si="1"/>
        <v>0</v>
      </c>
      <c r="L12" s="130"/>
      <c r="M12" s="131"/>
      <c r="N12" s="132">
        <f t="shared" si="2"/>
        <v>0</v>
      </c>
      <c r="O12" s="21"/>
      <c r="P12" s="21">
        <f t="shared" si="3"/>
        <v>0</v>
      </c>
      <c r="Q12" s="21"/>
      <c r="R12" s="21"/>
      <c r="S12" s="21"/>
      <c r="T12" s="21"/>
      <c r="U12" s="21"/>
      <c r="V12" s="21"/>
      <c r="W12" s="22"/>
      <c r="X12" s="20">
        <v>218</v>
      </c>
      <c r="Y12" s="20" t="s">
        <v>154</v>
      </c>
    </row>
    <row r="13" spans="1:25" ht="13.5">
      <c r="A13" s="20">
        <v>2812</v>
      </c>
      <c r="B13" s="20" t="s">
        <v>155</v>
      </c>
      <c r="C13" s="21"/>
      <c r="D13" s="21"/>
      <c r="E13" s="21"/>
      <c r="F13" s="21"/>
      <c r="G13" s="21"/>
      <c r="H13" s="21"/>
      <c r="I13" s="21">
        <f t="shared" si="0"/>
        <v>0</v>
      </c>
      <c r="J13" s="21"/>
      <c r="K13" s="129">
        <f t="shared" si="1"/>
        <v>0</v>
      </c>
      <c r="L13" s="130"/>
      <c r="M13" s="131"/>
      <c r="N13" s="132">
        <f t="shared" si="2"/>
        <v>0</v>
      </c>
      <c r="O13" s="21"/>
      <c r="P13" s="21">
        <f t="shared" si="3"/>
        <v>0</v>
      </c>
      <c r="Q13" s="21"/>
      <c r="R13" s="21"/>
      <c r="S13" s="21"/>
      <c r="T13" s="21"/>
      <c r="U13" s="21"/>
      <c r="V13" s="21"/>
      <c r="W13" s="22"/>
      <c r="X13" s="20">
        <v>2812</v>
      </c>
      <c r="Y13" s="20" t="s">
        <v>155</v>
      </c>
    </row>
    <row r="14" spans="1:25" ht="13.5">
      <c r="A14" s="20">
        <v>2813</v>
      </c>
      <c r="B14" s="20" t="s">
        <v>156</v>
      </c>
      <c r="C14" s="21"/>
      <c r="D14" s="21"/>
      <c r="E14" s="21"/>
      <c r="F14" s="21"/>
      <c r="G14" s="21"/>
      <c r="H14" s="21"/>
      <c r="I14" s="21">
        <f t="shared" si="0"/>
        <v>0</v>
      </c>
      <c r="J14" s="21"/>
      <c r="K14" s="129">
        <f t="shared" si="1"/>
        <v>0</v>
      </c>
      <c r="L14" s="130"/>
      <c r="M14" s="131"/>
      <c r="N14" s="132">
        <f t="shared" si="2"/>
        <v>0</v>
      </c>
      <c r="O14" s="21"/>
      <c r="P14" s="21">
        <f t="shared" si="3"/>
        <v>0</v>
      </c>
      <c r="Q14" s="21"/>
      <c r="R14" s="21"/>
      <c r="S14" s="21"/>
      <c r="T14" s="21"/>
      <c r="U14" s="21"/>
      <c r="V14" s="21"/>
      <c r="W14" s="22"/>
      <c r="X14" s="20">
        <v>2813</v>
      </c>
      <c r="Y14" s="20" t="s">
        <v>156</v>
      </c>
    </row>
    <row r="15" spans="1:25" ht="13.5">
      <c r="A15" s="20">
        <v>2815</v>
      </c>
      <c r="B15" s="20" t="s">
        <v>157</v>
      </c>
      <c r="C15" s="21"/>
      <c r="D15" s="21"/>
      <c r="E15" s="21"/>
      <c r="F15" s="21"/>
      <c r="G15" s="21"/>
      <c r="H15" s="21"/>
      <c r="I15" s="21">
        <f t="shared" si="0"/>
        <v>0</v>
      </c>
      <c r="J15" s="21"/>
      <c r="K15" s="129">
        <f t="shared" si="1"/>
        <v>0</v>
      </c>
      <c r="L15" s="130"/>
      <c r="M15" s="131"/>
      <c r="N15" s="132">
        <f t="shared" si="2"/>
        <v>0</v>
      </c>
      <c r="O15" s="21"/>
      <c r="P15" s="21">
        <f t="shared" si="3"/>
        <v>0</v>
      </c>
      <c r="Q15" s="21"/>
      <c r="R15" s="21"/>
      <c r="S15" s="21"/>
      <c r="T15" s="21"/>
      <c r="U15" s="21"/>
      <c r="V15" s="21"/>
      <c r="W15" s="22"/>
      <c r="X15" s="20">
        <v>2815</v>
      </c>
      <c r="Y15" s="20" t="s">
        <v>157</v>
      </c>
    </row>
    <row r="16" spans="1:25" ht="13.5">
      <c r="A16" s="20">
        <v>2818</v>
      </c>
      <c r="B16" s="20" t="s">
        <v>158</v>
      </c>
      <c r="C16" s="21"/>
      <c r="D16" s="21"/>
      <c r="E16" s="21"/>
      <c r="F16" s="21"/>
      <c r="G16" s="21"/>
      <c r="H16" s="21"/>
      <c r="I16" s="21">
        <f t="shared" si="0"/>
        <v>0</v>
      </c>
      <c r="J16" s="21"/>
      <c r="K16" s="129">
        <f t="shared" si="1"/>
        <v>0</v>
      </c>
      <c r="L16" s="130"/>
      <c r="M16" s="131"/>
      <c r="N16" s="132">
        <f t="shared" si="2"/>
        <v>0</v>
      </c>
      <c r="O16" s="21"/>
      <c r="P16" s="21">
        <f t="shared" si="3"/>
        <v>0</v>
      </c>
      <c r="Q16" s="21"/>
      <c r="R16" s="21"/>
      <c r="S16" s="21"/>
      <c r="T16" s="21"/>
      <c r="U16" s="21"/>
      <c r="V16" s="21"/>
      <c r="W16" s="22"/>
      <c r="X16" s="20">
        <v>2818</v>
      </c>
      <c r="Y16" s="20" t="s">
        <v>158</v>
      </c>
    </row>
    <row r="17" spans="1:25" ht="13.5">
      <c r="A17" s="20">
        <v>312</v>
      </c>
      <c r="B17" s="20" t="s">
        <v>159</v>
      </c>
      <c r="C17" s="21"/>
      <c r="D17" s="21"/>
      <c r="E17" s="21"/>
      <c r="F17" s="21"/>
      <c r="G17" s="21"/>
      <c r="H17" s="21"/>
      <c r="I17" s="21">
        <f t="shared" si="0"/>
        <v>0</v>
      </c>
      <c r="J17" s="21"/>
      <c r="K17" s="129">
        <f t="shared" si="1"/>
        <v>0</v>
      </c>
      <c r="L17" s="130"/>
      <c r="M17" s="131"/>
      <c r="N17" s="132">
        <f t="shared" si="2"/>
        <v>0</v>
      </c>
      <c r="O17" s="21"/>
      <c r="P17" s="21">
        <f t="shared" si="3"/>
        <v>0</v>
      </c>
      <c r="Q17" s="21"/>
      <c r="R17" s="21"/>
      <c r="S17" s="21"/>
      <c r="T17" s="21"/>
      <c r="U17" s="21"/>
      <c r="V17" s="21"/>
      <c r="W17" s="22"/>
      <c r="X17" s="20">
        <v>312</v>
      </c>
      <c r="Y17" s="20" t="s">
        <v>159</v>
      </c>
    </row>
    <row r="18" spans="1:25" ht="13.5">
      <c r="A18" s="20">
        <v>401</v>
      </c>
      <c r="B18" s="20" t="s">
        <v>160</v>
      </c>
      <c r="C18" s="21"/>
      <c r="D18" s="21"/>
      <c r="E18" s="21"/>
      <c r="F18" s="21"/>
      <c r="G18" s="21"/>
      <c r="H18" s="21"/>
      <c r="I18" s="21">
        <f t="shared" si="0"/>
        <v>0</v>
      </c>
      <c r="J18" s="21"/>
      <c r="K18" s="129">
        <f t="shared" si="1"/>
        <v>0</v>
      </c>
      <c r="L18" s="130"/>
      <c r="M18" s="131"/>
      <c r="N18" s="132">
        <f t="shared" si="2"/>
        <v>0</v>
      </c>
      <c r="O18" s="21"/>
      <c r="P18" s="21">
        <f t="shared" si="3"/>
        <v>0</v>
      </c>
      <c r="Q18" s="21"/>
      <c r="R18" s="21"/>
      <c r="S18" s="21"/>
      <c r="T18" s="21"/>
      <c r="U18" s="21"/>
      <c r="V18" s="21"/>
      <c r="W18" s="22"/>
      <c r="X18" s="20">
        <v>401</v>
      </c>
      <c r="Y18" s="20" t="s">
        <v>160</v>
      </c>
    </row>
    <row r="19" spans="1:25" ht="13.5">
      <c r="A19" s="20">
        <v>411</v>
      </c>
      <c r="B19" s="20" t="s">
        <v>102</v>
      </c>
      <c r="C19" s="21"/>
      <c r="D19" s="21"/>
      <c r="E19" s="21"/>
      <c r="F19" s="21"/>
      <c r="G19" s="21"/>
      <c r="H19" s="21"/>
      <c r="I19" s="21">
        <f t="shared" si="0"/>
        <v>0</v>
      </c>
      <c r="J19" s="21"/>
      <c r="K19" s="129">
        <f t="shared" si="1"/>
        <v>0</v>
      </c>
      <c r="L19" s="130"/>
      <c r="M19" s="131"/>
      <c r="N19" s="132">
        <f t="shared" si="2"/>
        <v>0</v>
      </c>
      <c r="O19" s="21"/>
      <c r="P19" s="21">
        <f t="shared" si="3"/>
        <v>0</v>
      </c>
      <c r="Q19" s="21"/>
      <c r="R19" s="21"/>
      <c r="S19" s="21"/>
      <c r="T19" s="21"/>
      <c r="U19" s="21"/>
      <c r="V19" s="21"/>
      <c r="W19" s="22"/>
      <c r="X19" s="20">
        <v>411</v>
      </c>
      <c r="Y19" s="20" t="s">
        <v>102</v>
      </c>
    </row>
    <row r="20" spans="1:25" ht="13.5">
      <c r="A20" s="20">
        <v>421</v>
      </c>
      <c r="B20" s="20" t="s">
        <v>161</v>
      </c>
      <c r="C20" s="21"/>
      <c r="D20" s="21"/>
      <c r="E20" s="21"/>
      <c r="F20" s="21"/>
      <c r="G20" s="21"/>
      <c r="H20" s="21"/>
      <c r="I20" s="21">
        <f t="shared" si="0"/>
        <v>0</v>
      </c>
      <c r="J20" s="21"/>
      <c r="K20" s="129">
        <f t="shared" si="1"/>
        <v>0</v>
      </c>
      <c r="L20" s="130"/>
      <c r="M20" s="131"/>
      <c r="N20" s="132">
        <f t="shared" si="2"/>
        <v>0</v>
      </c>
      <c r="O20" s="21"/>
      <c r="P20" s="21">
        <f t="shared" si="3"/>
        <v>0</v>
      </c>
      <c r="Q20" s="21"/>
      <c r="R20" s="21"/>
      <c r="S20" s="21"/>
      <c r="T20" s="21"/>
      <c r="U20" s="21"/>
      <c r="V20" s="21"/>
      <c r="W20" s="22"/>
      <c r="X20" s="20">
        <v>421</v>
      </c>
      <c r="Y20" s="20" t="s">
        <v>161</v>
      </c>
    </row>
    <row r="21" spans="1:25" ht="13.5">
      <c r="A21" s="20">
        <v>431</v>
      </c>
      <c r="B21" s="20" t="s">
        <v>162</v>
      </c>
      <c r="C21" s="21"/>
      <c r="D21" s="21"/>
      <c r="E21" s="21"/>
      <c r="F21" s="21"/>
      <c r="G21" s="21"/>
      <c r="H21" s="21"/>
      <c r="I21" s="21">
        <f t="shared" si="0"/>
        <v>0</v>
      </c>
      <c r="J21" s="21"/>
      <c r="K21" s="129">
        <f t="shared" si="1"/>
        <v>0</v>
      </c>
      <c r="L21" s="130"/>
      <c r="M21" s="131"/>
      <c r="N21" s="132">
        <f t="shared" si="2"/>
        <v>0</v>
      </c>
      <c r="O21" s="21"/>
      <c r="P21" s="21">
        <f t="shared" si="3"/>
        <v>0</v>
      </c>
      <c r="Q21" s="21"/>
      <c r="R21" s="21"/>
      <c r="S21" s="21"/>
      <c r="T21" s="21"/>
      <c r="U21" s="21"/>
      <c r="V21" s="21"/>
      <c r="W21" s="22"/>
      <c r="X21" s="20">
        <v>431</v>
      </c>
      <c r="Y21" s="20" t="s">
        <v>162</v>
      </c>
    </row>
    <row r="22" spans="1:25" ht="13.5">
      <c r="A22" s="20">
        <v>442</v>
      </c>
      <c r="B22" s="20" t="s">
        <v>163</v>
      </c>
      <c r="C22" s="21"/>
      <c r="D22" s="21"/>
      <c r="E22" s="21"/>
      <c r="F22" s="21"/>
      <c r="G22" s="21"/>
      <c r="H22" s="21"/>
      <c r="I22" s="21">
        <f t="shared" si="0"/>
        <v>0</v>
      </c>
      <c r="J22" s="21"/>
      <c r="K22" s="129">
        <f t="shared" si="1"/>
        <v>0</v>
      </c>
      <c r="L22" s="130"/>
      <c r="M22" s="131"/>
      <c r="N22" s="132">
        <f t="shared" si="2"/>
        <v>0</v>
      </c>
      <c r="O22" s="21"/>
      <c r="P22" s="21">
        <f t="shared" si="3"/>
        <v>0</v>
      </c>
      <c r="Q22" s="21"/>
      <c r="R22" s="21"/>
      <c r="S22" s="21"/>
      <c r="T22" s="21"/>
      <c r="U22" s="21"/>
      <c r="V22" s="21"/>
      <c r="W22" s="22"/>
      <c r="X22" s="20">
        <v>442</v>
      </c>
      <c r="Y22" s="20" t="s">
        <v>163</v>
      </c>
    </row>
    <row r="23" spans="1:25" ht="13.5">
      <c r="A23" s="20">
        <v>444</v>
      </c>
      <c r="B23" s="20" t="s">
        <v>164</v>
      </c>
      <c r="C23" s="21"/>
      <c r="D23" s="21"/>
      <c r="E23" s="21"/>
      <c r="F23" s="21"/>
      <c r="G23" s="21"/>
      <c r="H23" s="21"/>
      <c r="I23" s="21">
        <f t="shared" si="0"/>
        <v>0</v>
      </c>
      <c r="J23" s="21"/>
      <c r="K23" s="129">
        <f t="shared" si="1"/>
        <v>0</v>
      </c>
      <c r="L23" s="130"/>
      <c r="M23" s="131"/>
      <c r="N23" s="132">
        <f t="shared" si="2"/>
        <v>0</v>
      </c>
      <c r="O23" s="21"/>
      <c r="P23" s="21">
        <f t="shared" si="3"/>
        <v>0</v>
      </c>
      <c r="Q23" s="21"/>
      <c r="R23" s="21"/>
      <c r="S23" s="21"/>
      <c r="T23" s="21"/>
      <c r="U23" s="21"/>
      <c r="V23" s="21"/>
      <c r="W23" s="22"/>
      <c r="X23" s="20">
        <v>444</v>
      </c>
      <c r="Y23" s="20" t="s">
        <v>164</v>
      </c>
    </row>
    <row r="24" spans="1:25" ht="13.5">
      <c r="A24" s="20">
        <v>445</v>
      </c>
      <c r="B24" s="20" t="s">
        <v>105</v>
      </c>
      <c r="C24" s="21"/>
      <c r="D24" s="21"/>
      <c r="E24" s="21"/>
      <c r="F24" s="21"/>
      <c r="G24" s="21"/>
      <c r="H24" s="21"/>
      <c r="I24" s="21">
        <f t="shared" si="0"/>
        <v>0</v>
      </c>
      <c r="J24" s="21"/>
      <c r="K24" s="129">
        <f t="shared" si="1"/>
        <v>0</v>
      </c>
      <c r="L24" s="130"/>
      <c r="M24" s="131"/>
      <c r="N24" s="132">
        <f t="shared" si="2"/>
        <v>0</v>
      </c>
      <c r="O24" s="21"/>
      <c r="P24" s="21">
        <f t="shared" si="3"/>
        <v>0</v>
      </c>
      <c r="Q24" s="21"/>
      <c r="R24" s="21"/>
      <c r="S24" s="21"/>
      <c r="T24" s="21"/>
      <c r="U24" s="21"/>
      <c r="V24" s="21"/>
      <c r="W24" s="22"/>
      <c r="X24" s="20">
        <v>445</v>
      </c>
      <c r="Y24" s="20" t="s">
        <v>105</v>
      </c>
    </row>
    <row r="25" spans="1:25" ht="13.5">
      <c r="A25" s="20">
        <v>449</v>
      </c>
      <c r="B25" s="20" t="s">
        <v>165</v>
      </c>
      <c r="C25" s="21"/>
      <c r="D25" s="21"/>
      <c r="E25" s="21"/>
      <c r="F25" s="21"/>
      <c r="G25" s="21"/>
      <c r="H25" s="21"/>
      <c r="I25" s="21">
        <f t="shared" si="0"/>
        <v>0</v>
      </c>
      <c r="J25" s="21"/>
      <c r="K25" s="129">
        <f t="shared" si="1"/>
        <v>0</v>
      </c>
      <c r="L25" s="130"/>
      <c r="M25" s="131"/>
      <c r="N25" s="132">
        <f t="shared" si="2"/>
        <v>0</v>
      </c>
      <c r="O25" s="21"/>
      <c r="P25" s="21">
        <f t="shared" si="3"/>
        <v>0</v>
      </c>
      <c r="Q25" s="21"/>
      <c r="R25" s="21"/>
      <c r="S25" s="21"/>
      <c r="T25" s="21"/>
      <c r="U25" s="21"/>
      <c r="V25" s="21"/>
      <c r="W25" s="22"/>
      <c r="X25" s="20">
        <v>449</v>
      </c>
      <c r="Y25" s="20" t="s">
        <v>165</v>
      </c>
    </row>
    <row r="26" spans="1:25" ht="13.5">
      <c r="A26" s="20">
        <v>455</v>
      </c>
      <c r="B26" s="20" t="s">
        <v>190</v>
      </c>
      <c r="C26" s="21"/>
      <c r="D26" s="21"/>
      <c r="E26" s="21"/>
      <c r="F26" s="21"/>
      <c r="G26" s="21"/>
      <c r="H26" s="21"/>
      <c r="I26" s="21">
        <f>C26+D26+E26+F26+G26+H26</f>
        <v>0</v>
      </c>
      <c r="J26" s="21"/>
      <c r="K26" s="129">
        <f>(I26+J26)-(O26+P26)</f>
        <v>0</v>
      </c>
      <c r="L26" s="130"/>
      <c r="M26" s="131"/>
      <c r="N26" s="132">
        <f>(O26+P26)-(I26+J26)</f>
        <v>0</v>
      </c>
      <c r="O26" s="21"/>
      <c r="P26" s="21">
        <f>Q26+R26+S26+T26+U26+V26</f>
        <v>0</v>
      </c>
      <c r="Q26" s="21"/>
      <c r="R26" s="21"/>
      <c r="S26" s="21"/>
      <c r="T26" s="21"/>
      <c r="U26" s="21"/>
      <c r="V26" s="21"/>
      <c r="W26" s="22"/>
      <c r="X26" s="20">
        <v>455</v>
      </c>
      <c r="Y26" s="20" t="s">
        <v>190</v>
      </c>
    </row>
    <row r="27" spans="1:25" ht="13.5">
      <c r="A27" s="20">
        <v>461</v>
      </c>
      <c r="B27" s="20" t="s">
        <v>187</v>
      </c>
      <c r="C27" s="21"/>
      <c r="D27" s="21"/>
      <c r="E27" s="21"/>
      <c r="F27" s="21"/>
      <c r="G27" s="21"/>
      <c r="H27" s="21"/>
      <c r="I27" s="21">
        <f>C27+D27+E27+F27+G27+H27</f>
        <v>0</v>
      </c>
      <c r="J27" s="21"/>
      <c r="K27" s="129">
        <f>(I27+J27)-(O27+P27)</f>
        <v>0</v>
      </c>
      <c r="L27" s="130"/>
      <c r="M27" s="131"/>
      <c r="N27" s="132">
        <f>(O27+P27)-(I27+J27)</f>
        <v>0</v>
      </c>
      <c r="O27" s="21"/>
      <c r="P27" s="21">
        <f>Q27+R27+S27+T27+U27+V27</f>
        <v>0</v>
      </c>
      <c r="Q27" s="21"/>
      <c r="R27" s="21"/>
      <c r="S27" s="21"/>
      <c r="T27" s="21"/>
      <c r="U27" s="21"/>
      <c r="V27" s="21"/>
      <c r="W27" s="22"/>
      <c r="X27" s="20">
        <v>461</v>
      </c>
      <c r="Y27" s="20" t="s">
        <v>187</v>
      </c>
    </row>
    <row r="28" spans="1:25" ht="13.5">
      <c r="A28" s="20">
        <v>467</v>
      </c>
      <c r="B28" s="20" t="s">
        <v>189</v>
      </c>
      <c r="C28" s="21"/>
      <c r="D28" s="21"/>
      <c r="E28" s="21"/>
      <c r="F28" s="21"/>
      <c r="G28" s="21"/>
      <c r="H28" s="21"/>
      <c r="I28" s="21">
        <f>C28+D28+E28+F28+G28+H28</f>
        <v>0</v>
      </c>
      <c r="J28" s="21"/>
      <c r="K28" s="129">
        <f>(I28+J28)-(O28+P28)</f>
        <v>0</v>
      </c>
      <c r="L28" s="130"/>
      <c r="M28" s="131"/>
      <c r="N28" s="132">
        <f>(O28+P28)-(I28+J28)</f>
        <v>0</v>
      </c>
      <c r="O28" s="21"/>
      <c r="P28" s="21">
        <f>Q28+R28+S28+T28+U28+V28</f>
        <v>0</v>
      </c>
      <c r="Q28" s="21"/>
      <c r="R28" s="21"/>
      <c r="S28" s="21"/>
      <c r="T28" s="21"/>
      <c r="U28" s="21"/>
      <c r="V28" s="21"/>
      <c r="W28" s="22"/>
      <c r="X28" s="20">
        <v>467</v>
      </c>
      <c r="Y28" s="20" t="s">
        <v>189</v>
      </c>
    </row>
    <row r="29" spans="1:25" ht="13.5">
      <c r="A29" s="20">
        <v>468</v>
      </c>
      <c r="B29" s="20" t="s">
        <v>188</v>
      </c>
      <c r="C29" s="21"/>
      <c r="D29" s="21"/>
      <c r="E29" s="21"/>
      <c r="F29" s="21"/>
      <c r="G29" s="21"/>
      <c r="H29" s="21"/>
      <c r="I29" s="21">
        <f>C29+D29+E29+F29+G29+H29</f>
        <v>0</v>
      </c>
      <c r="J29" s="21"/>
      <c r="K29" s="129">
        <f>(I29+J29)-(O29+P29)</f>
        <v>0</v>
      </c>
      <c r="L29" s="130"/>
      <c r="M29" s="131"/>
      <c r="N29" s="132">
        <f>(O29+P29)-(I29+J29)</f>
        <v>0</v>
      </c>
      <c r="O29" s="21"/>
      <c r="P29" s="21">
        <f>Q29+R29+S29+T29+U29+V29</f>
        <v>0</v>
      </c>
      <c r="Q29" s="21"/>
      <c r="R29" s="21"/>
      <c r="S29" s="21"/>
      <c r="T29" s="21"/>
      <c r="U29" s="21"/>
      <c r="V29" s="21"/>
      <c r="W29" s="22"/>
      <c r="X29" s="20">
        <v>468</v>
      </c>
      <c r="Y29" s="20" t="s">
        <v>188</v>
      </c>
    </row>
    <row r="30" spans="1:25" ht="13.5">
      <c r="A30" s="20">
        <v>512</v>
      </c>
      <c r="B30" s="20" t="s">
        <v>166</v>
      </c>
      <c r="C30" s="21"/>
      <c r="D30" s="21"/>
      <c r="E30" s="21"/>
      <c r="F30" s="21"/>
      <c r="G30" s="21"/>
      <c r="H30" s="21"/>
      <c r="I30" s="21">
        <f>C30+D30+E30+F30+G30+H30</f>
        <v>0</v>
      </c>
      <c r="J30" s="21"/>
      <c r="K30" s="129">
        <f>(I30+J30)-(O30+P30)</f>
        <v>0</v>
      </c>
      <c r="L30" s="130"/>
      <c r="M30" s="131"/>
      <c r="N30" s="132">
        <f>(O30+P30)-(I30+J30)</f>
        <v>0</v>
      </c>
      <c r="O30" s="21"/>
      <c r="P30" s="21">
        <f>Q30+R30+S30+T30+U30+V30</f>
        <v>0</v>
      </c>
      <c r="Q30" s="21"/>
      <c r="R30" s="21"/>
      <c r="S30" s="21"/>
      <c r="T30" s="21"/>
      <c r="U30" s="21"/>
      <c r="V30" s="21"/>
      <c r="W30" s="22"/>
      <c r="X30" s="20">
        <v>512</v>
      </c>
      <c r="Y30" s="20" t="s">
        <v>166</v>
      </c>
    </row>
    <row r="31" spans="1:25" ht="13.5">
      <c r="A31" s="20">
        <v>519</v>
      </c>
      <c r="B31" s="20" t="s">
        <v>167</v>
      </c>
      <c r="C31" s="21"/>
      <c r="D31" s="21"/>
      <c r="E31" s="21"/>
      <c r="F31" s="21"/>
      <c r="G31" s="21"/>
      <c r="H31" s="21"/>
      <c r="I31" s="21">
        <f t="shared" si="0"/>
        <v>0</v>
      </c>
      <c r="J31" s="21"/>
      <c r="K31" s="129">
        <f t="shared" si="1"/>
        <v>0</v>
      </c>
      <c r="L31" s="130"/>
      <c r="M31" s="131"/>
      <c r="N31" s="132">
        <f t="shared" si="2"/>
        <v>0</v>
      </c>
      <c r="O31" s="21"/>
      <c r="P31" s="21">
        <f t="shared" si="3"/>
        <v>0</v>
      </c>
      <c r="Q31" s="21"/>
      <c r="R31" s="21"/>
      <c r="S31" s="21"/>
      <c r="T31" s="21"/>
      <c r="U31" s="21"/>
      <c r="V31" s="21"/>
      <c r="W31" s="22"/>
      <c r="X31" s="20">
        <v>519</v>
      </c>
      <c r="Y31" s="20" t="s">
        <v>167</v>
      </c>
    </row>
    <row r="32" spans="1:25" ht="13.5">
      <c r="A32" s="20">
        <v>531</v>
      </c>
      <c r="B32" s="20" t="s">
        <v>29</v>
      </c>
      <c r="C32" s="21"/>
      <c r="D32" s="21"/>
      <c r="E32" s="21"/>
      <c r="F32" s="21"/>
      <c r="G32" s="21"/>
      <c r="H32" s="21"/>
      <c r="I32" s="21">
        <f t="shared" si="0"/>
        <v>0</v>
      </c>
      <c r="J32" s="21"/>
      <c r="K32" s="129">
        <f t="shared" si="1"/>
        <v>0</v>
      </c>
      <c r="L32" s="130"/>
      <c r="M32" s="131"/>
      <c r="N32" s="132">
        <f t="shared" si="2"/>
        <v>0</v>
      </c>
      <c r="O32" s="21"/>
      <c r="P32" s="21">
        <f t="shared" si="3"/>
        <v>0</v>
      </c>
      <c r="Q32" s="21"/>
      <c r="R32" s="21"/>
      <c r="S32" s="21"/>
      <c r="T32" s="21"/>
      <c r="U32" s="21"/>
      <c r="V32" s="21"/>
      <c r="W32" s="22"/>
      <c r="X32" s="20">
        <v>531</v>
      </c>
      <c r="Y32" s="20" t="s">
        <v>29</v>
      </c>
    </row>
    <row r="33" spans="1:25" ht="13.5">
      <c r="A33" s="20">
        <v>581</v>
      </c>
      <c r="B33" s="20" t="s">
        <v>168</v>
      </c>
      <c r="C33" s="21"/>
      <c r="D33" s="21"/>
      <c r="E33" s="21"/>
      <c r="F33" s="21"/>
      <c r="G33" s="21"/>
      <c r="H33" s="21"/>
      <c r="I33" s="21">
        <f t="shared" si="0"/>
        <v>0</v>
      </c>
      <c r="J33" s="21"/>
      <c r="K33" s="129">
        <f t="shared" si="1"/>
        <v>0</v>
      </c>
      <c r="L33" s="130"/>
      <c r="M33" s="131"/>
      <c r="N33" s="132">
        <f t="shared" si="2"/>
        <v>0</v>
      </c>
      <c r="O33" s="21"/>
      <c r="P33" s="21">
        <f t="shared" si="3"/>
        <v>0</v>
      </c>
      <c r="Q33" s="21"/>
      <c r="R33" s="21"/>
      <c r="S33" s="21"/>
      <c r="T33" s="21"/>
      <c r="U33" s="21"/>
      <c r="V33" s="21"/>
      <c r="W33" s="22"/>
      <c r="X33" s="20">
        <v>581</v>
      </c>
      <c r="Y33" s="20" t="s">
        <v>168</v>
      </c>
    </row>
    <row r="34" spans="1:25" ht="13.5">
      <c r="A34" s="20">
        <v>601</v>
      </c>
      <c r="B34" s="20" t="s">
        <v>169</v>
      </c>
      <c r="C34" s="21"/>
      <c r="D34" s="21"/>
      <c r="E34" s="21"/>
      <c r="F34" s="21"/>
      <c r="G34" s="21"/>
      <c r="H34" s="21"/>
      <c r="I34" s="21">
        <f t="shared" si="0"/>
        <v>0</v>
      </c>
      <c r="J34" s="21"/>
      <c r="K34" s="129">
        <f t="shared" si="1"/>
        <v>0</v>
      </c>
      <c r="L34" s="130"/>
      <c r="M34" s="131"/>
      <c r="N34" s="132">
        <f t="shared" si="2"/>
        <v>0</v>
      </c>
      <c r="O34" s="21"/>
      <c r="P34" s="21">
        <f t="shared" si="3"/>
        <v>0</v>
      </c>
      <c r="Q34" s="21"/>
      <c r="R34" s="21"/>
      <c r="S34" s="21"/>
      <c r="T34" s="21"/>
      <c r="U34" s="21"/>
      <c r="V34" s="21"/>
      <c r="W34" s="22"/>
      <c r="X34" s="20">
        <v>601</v>
      </c>
      <c r="Y34" s="20" t="s">
        <v>169</v>
      </c>
    </row>
    <row r="35" spans="1:25" ht="13.5">
      <c r="A35" s="20">
        <v>602</v>
      </c>
      <c r="B35" s="20" t="s">
        <v>170</v>
      </c>
      <c r="C35" s="21"/>
      <c r="D35" s="21"/>
      <c r="E35" s="21"/>
      <c r="F35" s="21"/>
      <c r="G35" s="21"/>
      <c r="H35" s="21"/>
      <c r="I35" s="21">
        <f t="shared" si="0"/>
        <v>0</v>
      </c>
      <c r="J35" s="21"/>
      <c r="K35" s="129">
        <f t="shared" si="1"/>
        <v>0</v>
      </c>
      <c r="L35" s="130"/>
      <c r="M35" s="131"/>
      <c r="N35" s="132">
        <f t="shared" si="2"/>
        <v>0</v>
      </c>
      <c r="O35" s="21"/>
      <c r="P35" s="21">
        <f t="shared" si="3"/>
        <v>0</v>
      </c>
      <c r="Q35" s="21"/>
      <c r="R35" s="21"/>
      <c r="S35" s="21"/>
      <c r="T35" s="21"/>
      <c r="U35" s="21"/>
      <c r="V35" s="21"/>
      <c r="W35" s="22"/>
      <c r="X35" s="20">
        <v>602</v>
      </c>
      <c r="Y35" s="20" t="s">
        <v>170</v>
      </c>
    </row>
    <row r="36" spans="1:25" ht="13.5">
      <c r="A36" s="20">
        <v>605</v>
      </c>
      <c r="B36" s="20" t="s">
        <v>171</v>
      </c>
      <c r="C36" s="21"/>
      <c r="D36" s="21"/>
      <c r="E36" s="21"/>
      <c r="F36" s="21"/>
      <c r="G36" s="21"/>
      <c r="H36" s="21"/>
      <c r="I36" s="21">
        <f t="shared" si="0"/>
        <v>0</v>
      </c>
      <c r="J36" s="21"/>
      <c r="K36" s="129">
        <f t="shared" si="1"/>
        <v>0</v>
      </c>
      <c r="L36" s="130"/>
      <c r="M36" s="131"/>
      <c r="N36" s="132">
        <f t="shared" si="2"/>
        <v>0</v>
      </c>
      <c r="O36" s="21"/>
      <c r="P36" s="21">
        <f t="shared" si="3"/>
        <v>0</v>
      </c>
      <c r="Q36" s="21"/>
      <c r="R36" s="21"/>
      <c r="S36" s="21"/>
      <c r="T36" s="21"/>
      <c r="U36" s="21"/>
      <c r="V36" s="21"/>
      <c r="W36" s="22"/>
      <c r="X36" s="20">
        <v>605</v>
      </c>
      <c r="Y36" s="20" t="s">
        <v>171</v>
      </c>
    </row>
    <row r="37" spans="1:25" ht="13.5">
      <c r="A37" s="20">
        <v>608</v>
      </c>
      <c r="B37" s="20" t="s">
        <v>172</v>
      </c>
      <c r="C37" s="21"/>
      <c r="D37" s="21"/>
      <c r="E37" s="21"/>
      <c r="F37" s="21"/>
      <c r="G37" s="21"/>
      <c r="H37" s="21"/>
      <c r="I37" s="21">
        <f t="shared" si="0"/>
        <v>0</v>
      </c>
      <c r="J37" s="21"/>
      <c r="K37" s="129">
        <f t="shared" si="1"/>
        <v>0</v>
      </c>
      <c r="L37" s="130"/>
      <c r="M37" s="131"/>
      <c r="N37" s="132">
        <f t="shared" si="2"/>
        <v>0</v>
      </c>
      <c r="O37" s="21"/>
      <c r="P37" s="21">
        <f t="shared" si="3"/>
        <v>0</v>
      </c>
      <c r="Q37" s="21"/>
      <c r="R37" s="21"/>
      <c r="S37" s="21"/>
      <c r="T37" s="21"/>
      <c r="U37" s="21"/>
      <c r="V37" s="21"/>
      <c r="W37" s="22"/>
      <c r="X37" s="20">
        <v>608</v>
      </c>
      <c r="Y37" s="20" t="s">
        <v>172</v>
      </c>
    </row>
    <row r="38" spans="1:25" ht="13.5">
      <c r="A38" s="20">
        <v>613</v>
      </c>
      <c r="B38" s="20" t="s">
        <v>173</v>
      </c>
      <c r="C38" s="21"/>
      <c r="D38" s="21"/>
      <c r="E38" s="21"/>
      <c r="F38" s="21"/>
      <c r="G38" s="21"/>
      <c r="H38" s="21"/>
      <c r="I38" s="21">
        <f aca="true" t="shared" si="4" ref="I38:I53">C38+D38+E38+F38+G38+H38</f>
        <v>0</v>
      </c>
      <c r="J38" s="21"/>
      <c r="K38" s="129">
        <f t="shared" si="1"/>
        <v>0</v>
      </c>
      <c r="L38" s="130"/>
      <c r="M38" s="131"/>
      <c r="N38" s="132">
        <f t="shared" si="2"/>
        <v>0</v>
      </c>
      <c r="O38" s="21"/>
      <c r="P38" s="21">
        <f aca="true" t="shared" si="5" ref="P38:P53">Q38+R38+S38+T38+U38+V38</f>
        <v>0</v>
      </c>
      <c r="Q38" s="21"/>
      <c r="R38" s="21"/>
      <c r="S38" s="21"/>
      <c r="T38" s="21"/>
      <c r="U38" s="21"/>
      <c r="V38" s="21"/>
      <c r="W38" s="22"/>
      <c r="X38" s="20">
        <v>613</v>
      </c>
      <c r="Y38" s="20" t="s">
        <v>173</v>
      </c>
    </row>
    <row r="39" spans="1:25" ht="13.5">
      <c r="A39" s="20">
        <v>618</v>
      </c>
      <c r="B39" s="20" t="s">
        <v>174</v>
      </c>
      <c r="C39" s="21"/>
      <c r="D39" s="21"/>
      <c r="E39" s="21"/>
      <c r="F39" s="21"/>
      <c r="G39" s="21"/>
      <c r="H39" s="21"/>
      <c r="I39" s="21">
        <f t="shared" si="4"/>
        <v>0</v>
      </c>
      <c r="J39" s="21"/>
      <c r="K39" s="129">
        <f t="shared" si="1"/>
        <v>0</v>
      </c>
      <c r="L39" s="130"/>
      <c r="M39" s="131"/>
      <c r="N39" s="132">
        <f t="shared" si="2"/>
        <v>0</v>
      </c>
      <c r="O39" s="21"/>
      <c r="P39" s="21">
        <f t="shared" si="5"/>
        <v>0</v>
      </c>
      <c r="Q39" s="21"/>
      <c r="R39" s="21"/>
      <c r="S39" s="21"/>
      <c r="T39" s="21"/>
      <c r="U39" s="21"/>
      <c r="V39" s="21"/>
      <c r="W39" s="22"/>
      <c r="X39" s="20">
        <v>618</v>
      </c>
      <c r="Y39" s="20" t="s">
        <v>174</v>
      </c>
    </row>
    <row r="40" spans="1:25" ht="13.5">
      <c r="A40" s="20">
        <v>628</v>
      </c>
      <c r="B40" s="20" t="s">
        <v>175</v>
      </c>
      <c r="C40" s="21"/>
      <c r="D40" s="21"/>
      <c r="E40" s="21"/>
      <c r="F40" s="21"/>
      <c r="G40" s="21"/>
      <c r="H40" s="21"/>
      <c r="I40" s="21">
        <f t="shared" si="4"/>
        <v>0</v>
      </c>
      <c r="J40" s="21"/>
      <c r="K40" s="129">
        <f t="shared" si="1"/>
        <v>0</v>
      </c>
      <c r="L40" s="130"/>
      <c r="M40" s="131"/>
      <c r="N40" s="132">
        <f t="shared" si="2"/>
        <v>0</v>
      </c>
      <c r="O40" s="21"/>
      <c r="P40" s="21">
        <f t="shared" si="5"/>
        <v>0</v>
      </c>
      <c r="Q40" s="21"/>
      <c r="R40" s="21"/>
      <c r="S40" s="21"/>
      <c r="T40" s="21"/>
      <c r="U40" s="21"/>
      <c r="V40" s="21"/>
      <c r="W40" s="22"/>
      <c r="X40" s="20">
        <v>628</v>
      </c>
      <c r="Y40" s="20" t="s">
        <v>175</v>
      </c>
    </row>
    <row r="41" spans="1:25" ht="13.5">
      <c r="A41" s="20">
        <v>634</v>
      </c>
      <c r="B41" s="20" t="s">
        <v>176</v>
      </c>
      <c r="C41" s="21"/>
      <c r="D41" s="21"/>
      <c r="E41" s="21"/>
      <c r="F41" s="21"/>
      <c r="G41" s="21"/>
      <c r="H41" s="21"/>
      <c r="I41" s="21">
        <f t="shared" si="4"/>
        <v>0</v>
      </c>
      <c r="J41" s="21"/>
      <c r="K41" s="129">
        <f t="shared" si="1"/>
        <v>0</v>
      </c>
      <c r="L41" s="130"/>
      <c r="M41" s="131"/>
      <c r="N41" s="132">
        <f t="shared" si="2"/>
        <v>0</v>
      </c>
      <c r="O41" s="21"/>
      <c r="P41" s="21">
        <f t="shared" si="5"/>
        <v>0</v>
      </c>
      <c r="Q41" s="21"/>
      <c r="R41" s="21"/>
      <c r="S41" s="21"/>
      <c r="T41" s="21"/>
      <c r="U41" s="21"/>
      <c r="V41" s="21"/>
      <c r="W41" s="22"/>
      <c r="X41" s="20">
        <v>634</v>
      </c>
      <c r="Y41" s="20" t="s">
        <v>176</v>
      </c>
    </row>
    <row r="42" spans="1:25" ht="13.5">
      <c r="A42" s="20">
        <v>641</v>
      </c>
      <c r="B42" s="20" t="s">
        <v>121</v>
      </c>
      <c r="C42" s="21"/>
      <c r="D42" s="21"/>
      <c r="E42" s="21"/>
      <c r="F42" s="21"/>
      <c r="G42" s="21"/>
      <c r="H42" s="21"/>
      <c r="I42" s="21">
        <f t="shared" si="4"/>
        <v>0</v>
      </c>
      <c r="J42" s="21"/>
      <c r="K42" s="129">
        <f t="shared" si="1"/>
        <v>0</v>
      </c>
      <c r="L42" s="130"/>
      <c r="M42" s="131"/>
      <c r="N42" s="132">
        <f t="shared" si="2"/>
        <v>0</v>
      </c>
      <c r="O42" s="21"/>
      <c r="P42" s="21">
        <f t="shared" si="5"/>
        <v>0</v>
      </c>
      <c r="Q42" s="21"/>
      <c r="R42" s="21"/>
      <c r="S42" s="21"/>
      <c r="T42" s="21"/>
      <c r="U42" s="21"/>
      <c r="V42" s="21"/>
      <c r="W42" s="22"/>
      <c r="X42" s="20">
        <v>641</v>
      </c>
      <c r="Y42" s="20" t="s">
        <v>121</v>
      </c>
    </row>
    <row r="43" spans="1:25" ht="13.5">
      <c r="A43" s="20">
        <v>644</v>
      </c>
      <c r="B43" s="20" t="s">
        <v>177</v>
      </c>
      <c r="C43" s="21"/>
      <c r="D43" s="21"/>
      <c r="E43" s="21"/>
      <c r="F43" s="21"/>
      <c r="G43" s="21"/>
      <c r="H43" s="21"/>
      <c r="I43" s="21">
        <f t="shared" si="4"/>
        <v>0</v>
      </c>
      <c r="J43" s="21"/>
      <c r="K43" s="129">
        <f t="shared" si="1"/>
        <v>0</v>
      </c>
      <c r="L43" s="130"/>
      <c r="M43" s="131"/>
      <c r="N43" s="132">
        <f t="shared" si="2"/>
        <v>0</v>
      </c>
      <c r="O43" s="21"/>
      <c r="P43" s="21">
        <f t="shared" si="5"/>
        <v>0</v>
      </c>
      <c r="Q43" s="21"/>
      <c r="R43" s="21"/>
      <c r="S43" s="21"/>
      <c r="T43" s="21"/>
      <c r="U43" s="21"/>
      <c r="V43" s="21"/>
      <c r="W43" s="22"/>
      <c r="X43" s="20">
        <v>644</v>
      </c>
      <c r="Y43" s="20" t="s">
        <v>177</v>
      </c>
    </row>
    <row r="44" spans="1:25" ht="13.5">
      <c r="A44" s="20">
        <v>657</v>
      </c>
      <c r="B44" s="20" t="s">
        <v>178</v>
      </c>
      <c r="C44" s="21"/>
      <c r="D44" s="21"/>
      <c r="E44" s="21"/>
      <c r="F44" s="21"/>
      <c r="G44" s="21"/>
      <c r="H44" s="21"/>
      <c r="I44" s="21">
        <f t="shared" si="4"/>
        <v>0</v>
      </c>
      <c r="J44" s="21"/>
      <c r="K44" s="129">
        <f t="shared" si="1"/>
        <v>0</v>
      </c>
      <c r="L44" s="130"/>
      <c r="M44" s="131"/>
      <c r="N44" s="132">
        <f t="shared" si="2"/>
        <v>0</v>
      </c>
      <c r="O44" s="21"/>
      <c r="P44" s="21">
        <f t="shared" si="5"/>
        <v>0</v>
      </c>
      <c r="Q44" s="21"/>
      <c r="R44" s="21"/>
      <c r="S44" s="21"/>
      <c r="T44" s="21"/>
      <c r="U44" s="21"/>
      <c r="V44" s="21"/>
      <c r="W44" s="22"/>
      <c r="X44" s="20">
        <v>657</v>
      </c>
      <c r="Y44" s="20" t="s">
        <v>178</v>
      </c>
    </row>
    <row r="45" spans="1:25" ht="13.5">
      <c r="A45" s="20">
        <v>667</v>
      </c>
      <c r="B45" s="20" t="s">
        <v>179</v>
      </c>
      <c r="C45" s="21"/>
      <c r="D45" s="21"/>
      <c r="E45" s="21"/>
      <c r="F45" s="21"/>
      <c r="G45" s="21"/>
      <c r="H45" s="21"/>
      <c r="I45" s="21">
        <f t="shared" si="4"/>
        <v>0</v>
      </c>
      <c r="J45" s="21"/>
      <c r="K45" s="129">
        <f t="shared" si="1"/>
        <v>0</v>
      </c>
      <c r="L45" s="130"/>
      <c r="M45" s="131"/>
      <c r="N45" s="132">
        <f t="shared" si="2"/>
        <v>0</v>
      </c>
      <c r="O45" s="21"/>
      <c r="P45" s="21">
        <f t="shared" si="5"/>
        <v>0</v>
      </c>
      <c r="Q45" s="21"/>
      <c r="R45" s="21"/>
      <c r="S45" s="21"/>
      <c r="T45" s="21"/>
      <c r="U45" s="21"/>
      <c r="V45" s="21"/>
      <c r="W45" s="22"/>
      <c r="X45" s="20">
        <v>667</v>
      </c>
      <c r="Y45" s="20" t="s">
        <v>179</v>
      </c>
    </row>
    <row r="46" spans="1:25" ht="13.5">
      <c r="A46" s="20">
        <v>669</v>
      </c>
      <c r="B46" s="20" t="s">
        <v>180</v>
      </c>
      <c r="C46" s="21"/>
      <c r="D46" s="21"/>
      <c r="E46" s="21"/>
      <c r="F46" s="21"/>
      <c r="G46" s="21"/>
      <c r="H46" s="21"/>
      <c r="I46" s="21">
        <f t="shared" si="4"/>
        <v>0</v>
      </c>
      <c r="J46" s="21"/>
      <c r="K46" s="129">
        <f t="shared" si="1"/>
        <v>0</v>
      </c>
      <c r="L46" s="130"/>
      <c r="M46" s="131"/>
      <c r="N46" s="132">
        <f t="shared" si="2"/>
        <v>0</v>
      </c>
      <c r="O46" s="21"/>
      <c r="P46" s="21">
        <f t="shared" si="5"/>
        <v>0</v>
      </c>
      <c r="Q46" s="21"/>
      <c r="R46" s="21"/>
      <c r="S46" s="21"/>
      <c r="T46" s="21"/>
      <c r="U46" s="21"/>
      <c r="V46" s="21"/>
      <c r="W46" s="22"/>
      <c r="X46" s="20">
        <v>669</v>
      </c>
      <c r="Y46" s="20" t="s">
        <v>180</v>
      </c>
    </row>
    <row r="47" spans="1:25" ht="13.5">
      <c r="A47" s="20">
        <v>6811</v>
      </c>
      <c r="B47" s="20" t="s">
        <v>181</v>
      </c>
      <c r="C47" s="21"/>
      <c r="D47" s="21"/>
      <c r="E47" s="21"/>
      <c r="F47" s="21"/>
      <c r="G47" s="21"/>
      <c r="H47" s="21"/>
      <c r="I47" s="21">
        <f t="shared" si="4"/>
        <v>0</v>
      </c>
      <c r="J47" s="21"/>
      <c r="K47" s="129">
        <f t="shared" si="1"/>
        <v>0</v>
      </c>
      <c r="L47" s="130"/>
      <c r="M47" s="131"/>
      <c r="N47" s="132">
        <f t="shared" si="2"/>
        <v>0</v>
      </c>
      <c r="O47" s="21"/>
      <c r="P47" s="21">
        <f t="shared" si="5"/>
        <v>0</v>
      </c>
      <c r="Q47" s="21"/>
      <c r="R47" s="21"/>
      <c r="S47" s="21"/>
      <c r="T47" s="21"/>
      <c r="U47" s="21"/>
      <c r="V47" s="21"/>
      <c r="W47" s="22"/>
      <c r="X47" s="20">
        <v>6811</v>
      </c>
      <c r="Y47" s="20" t="s">
        <v>181</v>
      </c>
    </row>
    <row r="48" spans="1:25" ht="13.5">
      <c r="A48" s="20">
        <v>69</v>
      </c>
      <c r="B48" s="20" t="s">
        <v>104</v>
      </c>
      <c r="C48" s="21"/>
      <c r="D48" s="21"/>
      <c r="E48" s="21"/>
      <c r="F48" s="21"/>
      <c r="G48" s="21"/>
      <c r="H48" s="21"/>
      <c r="I48" s="21">
        <f t="shared" si="4"/>
        <v>0</v>
      </c>
      <c r="J48" s="21"/>
      <c r="K48" s="129">
        <f t="shared" si="1"/>
        <v>0</v>
      </c>
      <c r="L48" s="130"/>
      <c r="M48" s="131"/>
      <c r="N48" s="132">
        <f t="shared" si="2"/>
        <v>0</v>
      </c>
      <c r="O48" s="21"/>
      <c r="P48" s="21">
        <f t="shared" si="5"/>
        <v>0</v>
      </c>
      <c r="Q48" s="21"/>
      <c r="R48" s="21"/>
      <c r="S48" s="21"/>
      <c r="T48" s="21"/>
      <c r="U48" s="21"/>
      <c r="V48" s="21"/>
      <c r="W48" s="22"/>
      <c r="X48" s="20">
        <v>69</v>
      </c>
      <c r="Y48" s="20" t="s">
        <v>104</v>
      </c>
    </row>
    <row r="49" spans="1:25" ht="13.5">
      <c r="A49" s="20">
        <v>701</v>
      </c>
      <c r="B49" s="20" t="s">
        <v>182</v>
      </c>
      <c r="C49" s="21"/>
      <c r="D49" s="21"/>
      <c r="E49" s="21"/>
      <c r="F49" s="21"/>
      <c r="G49" s="21"/>
      <c r="H49" s="21"/>
      <c r="I49" s="21">
        <f t="shared" si="4"/>
        <v>0</v>
      </c>
      <c r="J49" s="21"/>
      <c r="K49" s="129">
        <f t="shared" si="1"/>
        <v>0</v>
      </c>
      <c r="L49" s="130"/>
      <c r="M49" s="131"/>
      <c r="N49" s="132">
        <f t="shared" si="2"/>
        <v>0</v>
      </c>
      <c r="O49" s="21"/>
      <c r="P49" s="21">
        <f t="shared" si="5"/>
        <v>0</v>
      </c>
      <c r="Q49" s="21"/>
      <c r="R49" s="21"/>
      <c r="S49" s="21"/>
      <c r="T49" s="21"/>
      <c r="U49" s="21"/>
      <c r="V49" s="21"/>
      <c r="W49" s="22"/>
      <c r="X49" s="20">
        <v>701</v>
      </c>
      <c r="Y49" s="20" t="s">
        <v>182</v>
      </c>
    </row>
    <row r="50" spans="1:25" ht="13.5">
      <c r="A50" s="20">
        <v>767</v>
      </c>
      <c r="B50" s="20" t="s">
        <v>184</v>
      </c>
      <c r="C50" s="21"/>
      <c r="D50" s="21"/>
      <c r="E50" s="21"/>
      <c r="F50" s="21"/>
      <c r="G50" s="21"/>
      <c r="H50" s="21"/>
      <c r="I50" s="21">
        <f t="shared" si="4"/>
        <v>0</v>
      </c>
      <c r="J50" s="21"/>
      <c r="K50" s="129">
        <f t="shared" si="1"/>
        <v>0</v>
      </c>
      <c r="L50" s="130"/>
      <c r="M50" s="131"/>
      <c r="N50" s="132">
        <f t="shared" si="2"/>
        <v>0</v>
      </c>
      <c r="O50" s="21"/>
      <c r="P50" s="21">
        <f t="shared" si="5"/>
        <v>0</v>
      </c>
      <c r="Q50" s="21"/>
      <c r="R50" s="21"/>
      <c r="S50" s="21"/>
      <c r="T50" s="21"/>
      <c r="U50" s="21"/>
      <c r="V50" s="21"/>
      <c r="W50" s="22"/>
      <c r="X50" s="20">
        <v>767</v>
      </c>
      <c r="Y50" s="20" t="s">
        <v>184</v>
      </c>
    </row>
    <row r="51" spans="1:25" ht="13.5">
      <c r="A51" s="20">
        <v>768</v>
      </c>
      <c r="B51" s="20" t="s">
        <v>185</v>
      </c>
      <c r="C51" s="21"/>
      <c r="D51" s="21"/>
      <c r="E51" s="21"/>
      <c r="F51" s="21"/>
      <c r="G51" s="21"/>
      <c r="H51" s="21"/>
      <c r="I51" s="21">
        <f>C51+D51+E51+F51+G51+H51</f>
        <v>0</v>
      </c>
      <c r="J51" s="21"/>
      <c r="K51" s="129">
        <f>(I51+J51)-(O51+P51)</f>
        <v>0</v>
      </c>
      <c r="L51" s="130"/>
      <c r="M51" s="131"/>
      <c r="N51" s="132">
        <f>(O51+P51)-(I51+J51)</f>
        <v>0</v>
      </c>
      <c r="O51" s="21"/>
      <c r="P51" s="21">
        <f>Q51+R51+S51+T51+U51+V51</f>
        <v>0</v>
      </c>
      <c r="Q51" s="21"/>
      <c r="R51" s="21"/>
      <c r="S51" s="21"/>
      <c r="T51" s="21"/>
      <c r="U51" s="21"/>
      <c r="V51" s="21"/>
      <c r="W51" s="22"/>
      <c r="X51" s="20"/>
      <c r="Y51" s="20"/>
    </row>
    <row r="52" spans="1:25" ht="13.5">
      <c r="A52" s="20">
        <v>769</v>
      </c>
      <c r="B52" s="20" t="s">
        <v>183</v>
      </c>
      <c r="C52" s="21"/>
      <c r="D52" s="21"/>
      <c r="E52" s="21"/>
      <c r="F52" s="21"/>
      <c r="G52" s="21"/>
      <c r="H52" s="21"/>
      <c r="I52" s="21">
        <f>C52+D52+E52+F52+G52+H52</f>
        <v>0</v>
      </c>
      <c r="J52" s="21"/>
      <c r="K52" s="129">
        <f>(I52+J52)-(O52+P52)</f>
        <v>0</v>
      </c>
      <c r="L52" s="130"/>
      <c r="M52" s="131"/>
      <c r="N52" s="132">
        <f>(O52+P52)-(I52+J52)</f>
        <v>0</v>
      </c>
      <c r="O52" s="21"/>
      <c r="P52" s="21">
        <f>Q52+R52+S52+T52+U52+V52</f>
        <v>0</v>
      </c>
      <c r="Q52" s="21"/>
      <c r="R52" s="21"/>
      <c r="S52" s="21"/>
      <c r="T52" s="21"/>
      <c r="U52" s="21"/>
      <c r="V52" s="21"/>
      <c r="W52" s="22"/>
      <c r="X52" s="20"/>
      <c r="Y52" s="20"/>
    </row>
    <row r="53" spans="1:25" ht="14.25" thickBot="1">
      <c r="A53" s="20"/>
      <c r="B53" s="20" t="s">
        <v>186</v>
      </c>
      <c r="C53" s="21">
        <f aca="true" t="shared" si="6" ref="C53:H53">SUM(C3:C52)</f>
        <v>0</v>
      </c>
      <c r="D53" s="21">
        <f t="shared" si="6"/>
        <v>0</v>
      </c>
      <c r="E53" s="21">
        <f t="shared" si="6"/>
        <v>0</v>
      </c>
      <c r="F53" s="21">
        <f t="shared" si="6"/>
        <v>0</v>
      </c>
      <c r="G53" s="21">
        <f t="shared" si="6"/>
        <v>0</v>
      </c>
      <c r="H53" s="21">
        <f t="shared" si="6"/>
        <v>0</v>
      </c>
      <c r="I53" s="21">
        <f t="shared" si="4"/>
        <v>0</v>
      </c>
      <c r="J53" s="21">
        <f aca="true" t="shared" si="7" ref="J53:O53">SUM(J3:J52)</f>
        <v>0</v>
      </c>
      <c r="K53" s="21">
        <f t="shared" si="7"/>
        <v>0</v>
      </c>
      <c r="L53" s="23">
        <f t="shared" si="7"/>
        <v>0</v>
      </c>
      <c r="M53" s="24">
        <f t="shared" si="7"/>
        <v>0</v>
      </c>
      <c r="N53" s="21">
        <f t="shared" si="7"/>
        <v>0</v>
      </c>
      <c r="O53" s="21">
        <f t="shared" si="7"/>
        <v>0</v>
      </c>
      <c r="P53" s="21">
        <f t="shared" si="5"/>
        <v>0</v>
      </c>
      <c r="Q53" s="21">
        <f aca="true" t="shared" si="8" ref="Q53:V53">SUM(Q3:Q52)</f>
        <v>0</v>
      </c>
      <c r="R53" s="21">
        <f t="shared" si="8"/>
        <v>0</v>
      </c>
      <c r="S53" s="21">
        <f t="shared" si="8"/>
        <v>0</v>
      </c>
      <c r="T53" s="21">
        <f t="shared" si="8"/>
        <v>0</v>
      </c>
      <c r="U53" s="21">
        <f t="shared" si="8"/>
        <v>0</v>
      </c>
      <c r="V53" s="21">
        <f t="shared" si="8"/>
        <v>0</v>
      </c>
      <c r="W53" s="22"/>
      <c r="X53" s="20"/>
      <c r="Y53" s="20" t="s">
        <v>186</v>
      </c>
    </row>
    <row r="54" spans="3:15" s="25" customFormat="1" ht="12.75">
      <c r="C54" s="26">
        <f>C53-V53</f>
        <v>0</v>
      </c>
      <c r="D54" s="26">
        <f>D53-U53</f>
        <v>0</v>
      </c>
      <c r="E54" s="26">
        <f>E53-T53</f>
        <v>0</v>
      </c>
      <c r="F54" s="26">
        <f>F53-S53</f>
        <v>0</v>
      </c>
      <c r="G54" s="26">
        <f>G53-R53</f>
        <v>0</v>
      </c>
      <c r="H54" s="26">
        <f>H53-Q53</f>
        <v>0</v>
      </c>
      <c r="I54" s="26">
        <f>I53-P53</f>
        <v>0</v>
      </c>
      <c r="J54" s="26">
        <f>J53-O53</f>
        <v>0</v>
      </c>
      <c r="N54" s="27"/>
      <c r="O54" s="26"/>
    </row>
    <row r="55" spans="11:15" ht="13.5">
      <c r="K55" s="28"/>
      <c r="M55" s="26">
        <f>M53-L53</f>
        <v>0</v>
      </c>
      <c r="N55" s="26"/>
      <c r="O55" s="26"/>
    </row>
    <row r="56" spans="9:14" ht="12.75">
      <c r="I56" s="29"/>
      <c r="K56" s="30"/>
      <c r="N56" s="31"/>
    </row>
    <row r="57" spans="9:14" ht="12.75">
      <c r="I57" s="29"/>
      <c r="N57" s="31"/>
    </row>
    <row r="58" spans="9:14" ht="12.75">
      <c r="I58" s="29"/>
      <c r="L58" s="31"/>
      <c r="M58" s="31"/>
      <c r="N58" s="31"/>
    </row>
    <row r="59" ht="12.75">
      <c r="N59" s="31"/>
    </row>
  </sheetData>
  <sheetProtection/>
  <printOptions/>
  <pageMargins left="0.75" right="0.75" top="1" bottom="1" header="0.5" footer="0.5"/>
  <pageSetup horizontalDpi="300" verticalDpi="300" orientation="portrait" paperSize="9" r:id="rId1"/>
  <ignoredErrors>
    <ignoredError sqref="I53:P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2013-05-10T13:54:02Z</cp:lastPrinted>
  <dcterms:created xsi:type="dcterms:W3CDTF">2002-02-16T18:16:52Z</dcterms:created>
  <dcterms:modified xsi:type="dcterms:W3CDTF">2014-07-24T08:49:54Z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