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10" yWindow="255" windowWidth="7410" windowHeight="6630" tabRatio="601"/>
  </bookViews>
  <sheets>
    <sheet name="Centr." sheetId="9" r:id="rId1"/>
    <sheet name="Sheet1" sheetId="10" r:id="rId2"/>
    <sheet name="Sheet2" sheetId="11" r:id="rId3"/>
    <sheet name="Sheet3" sheetId="12" r:id="rId4"/>
    <sheet name="Sheet4" sheetId="13" r:id="rId5"/>
    <sheet name="Sheet5" sheetId="14" r:id="rId6"/>
  </sheets>
  <calcPr calcId="124519"/>
</workbook>
</file>

<file path=xl/calcChain.xml><?xml version="1.0" encoding="utf-8"?>
<calcChain xmlns="http://schemas.openxmlformats.org/spreadsheetml/2006/main">
  <c r="AP196" i="9"/>
  <c r="AP198" s="1"/>
  <c r="AP204" s="1"/>
  <c r="AP211" s="1"/>
  <c r="AP216" s="1"/>
  <c r="AC248"/>
  <c r="AC249"/>
  <c r="AD266"/>
  <c r="I120"/>
  <c r="L149"/>
  <c r="AE266" s="1"/>
  <c r="AU165"/>
  <c r="AU166"/>
  <c r="AU167"/>
  <c r="AU168"/>
  <c r="AU170"/>
  <c r="AU171"/>
  <c r="AU169" s="1"/>
  <c r="AU174" s="1"/>
  <c r="AU175" s="1"/>
  <c r="AU184" s="1"/>
  <c r="AU172"/>
  <c r="AU173"/>
  <c r="AU181"/>
  <c r="AU183"/>
  <c r="AT165"/>
  <c r="AT166"/>
  <c r="AT167"/>
  <c r="AT168"/>
  <c r="AT170"/>
  <c r="AT171"/>
  <c r="AT169" s="1"/>
  <c r="AT172"/>
  <c r="AT173"/>
  <c r="AT180"/>
  <c r="AT183" s="1"/>
  <c r="AV183" s="1"/>
  <c r="AT181"/>
  <c r="AT182"/>
  <c r="AE281"/>
  <c r="AD274"/>
  <c r="AR196"/>
  <c r="AC233"/>
  <c r="AC232" s="1"/>
  <c r="AF232"/>
  <c r="AC236"/>
  <c r="AF236"/>
  <c r="AM221"/>
  <c r="AC244"/>
  <c r="AF244"/>
  <c r="AM222" s="1"/>
  <c r="AF247"/>
  <c r="AF248"/>
  <c r="AF249"/>
  <c r="AM223"/>
  <c r="AC250"/>
  <c r="AM225"/>
  <c r="AC238"/>
  <c r="AF238"/>
  <c r="AC293" s="1"/>
  <c r="AE226"/>
  <c r="AA226"/>
  <c r="G43"/>
  <c r="G73"/>
  <c r="Q283"/>
  <c r="AX181"/>
  <c r="AX184" s="1"/>
  <c r="AX190"/>
  <c r="AX165"/>
  <c r="AX166"/>
  <c r="AX167"/>
  <c r="AX168"/>
  <c r="AX169"/>
  <c r="AX170"/>
  <c r="AX172"/>
  <c r="AX173"/>
  <c r="AX174"/>
  <c r="AX171"/>
  <c r="AX175"/>
  <c r="AX176"/>
  <c r="AX185" s="1"/>
  <c r="AY185" s="1"/>
  <c r="AX192"/>
  <c r="AY192"/>
  <c r="F154"/>
  <c r="AY190" s="1"/>
  <c r="AG298"/>
  <c r="AH277"/>
  <c r="AH298" s="1"/>
  <c r="AH306" s="1"/>
  <c r="AH286"/>
  <c r="AH294"/>
  <c r="AF298"/>
  <c r="AG305"/>
  <c r="AG306"/>
  <c r="AH301"/>
  <c r="AH300"/>
  <c r="AH305" s="1"/>
  <c r="AF245"/>
  <c r="AF246"/>
  <c r="AF250"/>
  <c r="AF251"/>
  <c r="AF252"/>
  <c r="AF231"/>
  <c r="AF233"/>
  <c r="AF234"/>
  <c r="AF235"/>
  <c r="AF237"/>
  <c r="AF239"/>
  <c r="AF240"/>
  <c r="AF241"/>
  <c r="AF242"/>
  <c r="AF243"/>
  <c r="AF216"/>
  <c r="AF217"/>
  <c r="AF218"/>
  <c r="AF219"/>
  <c r="AF220"/>
  <c r="AF221"/>
  <c r="AF222"/>
  <c r="AF223"/>
  <c r="AF224"/>
  <c r="AF225"/>
  <c r="AF226"/>
  <c r="AF227"/>
  <c r="AF228"/>
  <c r="AF229"/>
  <c r="AF230"/>
  <c r="AF215"/>
  <c r="AH263"/>
  <c r="AH264"/>
  <c r="AH265"/>
  <c r="AH266"/>
  <c r="AH267"/>
  <c r="AH268"/>
  <c r="AH269"/>
  <c r="AH270"/>
  <c r="AH271"/>
  <c r="AH272"/>
  <c r="AH273"/>
  <c r="AH274"/>
  <c r="AH275"/>
  <c r="AH276"/>
  <c r="AH278"/>
  <c r="AH279"/>
  <c r="AH280"/>
  <c r="AH281"/>
  <c r="AH282"/>
  <c r="AH283"/>
  <c r="AH284"/>
  <c r="AH285"/>
  <c r="AH287"/>
  <c r="AH288"/>
  <c r="AH289"/>
  <c r="AH290"/>
  <c r="AH291"/>
  <c r="AH292"/>
  <c r="AH293"/>
  <c r="AH295"/>
  <c r="AH296"/>
  <c r="AH297"/>
  <c r="AH299"/>
  <c r="AH262"/>
  <c r="AD217"/>
  <c r="AD216" s="1"/>
  <c r="AD222"/>
  <c r="AD223"/>
  <c r="M153"/>
  <c r="M58" s="1"/>
  <c r="AD225"/>
  <c r="N153"/>
  <c r="L153"/>
  <c r="G158"/>
  <c r="O89"/>
  <c r="O90"/>
  <c r="O92"/>
  <c r="H158"/>
  <c r="I158" s="1"/>
  <c r="I159" s="1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91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1"/>
  <c r="O152"/>
  <c r="O153"/>
  <c r="O154"/>
  <c r="O155"/>
  <c r="O8"/>
  <c r="AD308"/>
  <c r="AC179"/>
  <c r="AD233"/>
  <c r="L169"/>
  <c r="L29"/>
  <c r="O150"/>
  <c r="D160"/>
  <c r="Q159"/>
  <c r="Q161"/>
  <c r="H154"/>
  <c r="M154"/>
  <c r="AD250"/>
  <c r="AE250"/>
  <c r="I58"/>
  <c r="I62"/>
  <c r="I54"/>
  <c r="AC174"/>
  <c r="L19"/>
  <c r="AT204"/>
  <c r="U13"/>
  <c r="F120"/>
  <c r="F145"/>
  <c r="F123"/>
  <c r="L20"/>
  <c r="L48"/>
  <c r="L55"/>
  <c r="L60"/>
  <c r="L59"/>
  <c r="L64"/>
  <c r="L61"/>
  <c r="L46"/>
  <c r="L52"/>
  <c r="L68"/>
  <c r="L66"/>
  <c r="AC222"/>
  <c r="AC223"/>
  <c r="AC225"/>
  <c r="AC237"/>
  <c r="AD236"/>
  <c r="I166"/>
  <c r="K133"/>
  <c r="K134"/>
  <c r="K135"/>
  <c r="AD232"/>
  <c r="AE236"/>
  <c r="AA250"/>
  <c r="AD238"/>
  <c r="AE238" s="1"/>
  <c r="I123"/>
  <c r="F93"/>
  <c r="F94"/>
  <c r="F95"/>
  <c r="F96"/>
  <c r="F97"/>
  <c r="F98"/>
  <c r="F99"/>
  <c r="F100"/>
  <c r="F102"/>
  <c r="F103"/>
  <c r="F105"/>
  <c r="F106"/>
  <c r="F107"/>
  <c r="F108"/>
  <c r="F109"/>
  <c r="F119"/>
  <c r="F134"/>
  <c r="F111"/>
  <c r="F112"/>
  <c r="F113"/>
  <c r="I93"/>
  <c r="I94"/>
  <c r="I95"/>
  <c r="I96"/>
  <c r="I97"/>
  <c r="I98"/>
  <c r="I99"/>
  <c r="I100"/>
  <c r="I102"/>
  <c r="I103"/>
  <c r="I105"/>
  <c r="I106"/>
  <c r="I107"/>
  <c r="I108"/>
  <c r="I109"/>
  <c r="I119"/>
  <c r="I134"/>
  <c r="I111"/>
  <c r="I112"/>
  <c r="I113"/>
  <c r="L140"/>
  <c r="L141"/>
  <c r="L142"/>
  <c r="L143"/>
  <c r="L144"/>
  <c r="L146"/>
  <c r="L147"/>
  <c r="L148"/>
  <c r="AE218"/>
  <c r="H185"/>
  <c r="I70"/>
  <c r="I72"/>
  <c r="I133"/>
  <c r="I128"/>
  <c r="I129"/>
  <c r="I130"/>
  <c r="I131"/>
  <c r="I132"/>
  <c r="AE264"/>
  <c r="AC168"/>
  <c r="AD168"/>
  <c r="AE168" s="1"/>
  <c r="AA168" s="1"/>
  <c r="AG168"/>
  <c r="AH168" s="1"/>
  <c r="AE169"/>
  <c r="AH169"/>
  <c r="AA169" s="1"/>
  <c r="AE170"/>
  <c r="AH170"/>
  <c r="AA170"/>
  <c r="AE171"/>
  <c r="AH171"/>
  <c r="AA171" s="1"/>
  <c r="AC173"/>
  <c r="AC268" s="1"/>
  <c r="AD173"/>
  <c r="AG173"/>
  <c r="AH173"/>
  <c r="AG174"/>
  <c r="AG172" s="1"/>
  <c r="AE173"/>
  <c r="AH174"/>
  <c r="AE175"/>
  <c r="AH175"/>
  <c r="AA175" s="1"/>
  <c r="AE176"/>
  <c r="AH176"/>
  <c r="AA176"/>
  <c r="AC177"/>
  <c r="AC180"/>
  <c r="AC181"/>
  <c r="AC182"/>
  <c r="AC183"/>
  <c r="AC178"/>
  <c r="AD183"/>
  <c r="AE183"/>
  <c r="AD179"/>
  <c r="AD180"/>
  <c r="AD178" s="1"/>
  <c r="AE178" s="1"/>
  <c r="AD181"/>
  <c r="AD182"/>
  <c r="AD167"/>
  <c r="AD172"/>
  <c r="AD187"/>
  <c r="AG179"/>
  <c r="AG178" s="1"/>
  <c r="AH178" s="1"/>
  <c r="AG180"/>
  <c r="AG181"/>
  <c r="AG182"/>
  <c r="AG183"/>
  <c r="AH180"/>
  <c r="AH181"/>
  <c r="AE181"/>
  <c r="AA181"/>
  <c r="AH182"/>
  <c r="AH183"/>
  <c r="AA183" s="1"/>
  <c r="AE180"/>
  <c r="AA180" s="1"/>
  <c r="AE182"/>
  <c r="AA182" s="1"/>
  <c r="AC184"/>
  <c r="AE185"/>
  <c r="AH185"/>
  <c r="AA185" s="1"/>
  <c r="AE186"/>
  <c r="AH186"/>
  <c r="AA186"/>
  <c r="AC187"/>
  <c r="AE187"/>
  <c r="AE275" s="1"/>
  <c r="AG187"/>
  <c r="AH187"/>
  <c r="AC167"/>
  <c r="AG167"/>
  <c r="AE189"/>
  <c r="AH189"/>
  <c r="AA189"/>
  <c r="AC190"/>
  <c r="AD190"/>
  <c r="AE190"/>
  <c r="AG190"/>
  <c r="AH190"/>
  <c r="AE191"/>
  <c r="AH191"/>
  <c r="AA191"/>
  <c r="AE192"/>
  <c r="AH192"/>
  <c r="AA192" s="1"/>
  <c r="AE193"/>
  <c r="AH193"/>
  <c r="AA193" s="1"/>
  <c r="AE194"/>
  <c r="AH194"/>
  <c r="AA194"/>
  <c r="AC195"/>
  <c r="AD195"/>
  <c r="AE195" s="1"/>
  <c r="AA195" s="1"/>
  <c r="AG195"/>
  <c r="AH195" s="1"/>
  <c r="AC197"/>
  <c r="AC198"/>
  <c r="AC199"/>
  <c r="AC200"/>
  <c r="AD200"/>
  <c r="AE200" s="1"/>
  <c r="AA200" s="1"/>
  <c r="AG200"/>
  <c r="AH200" s="1"/>
  <c r="AD197"/>
  <c r="AD198"/>
  <c r="AD201" s="1"/>
  <c r="AE201" s="1"/>
  <c r="AD205"/>
  <c r="AD203"/>
  <c r="AD209"/>
  <c r="AD210"/>
  <c r="AG197"/>
  <c r="AG198"/>
  <c r="AH198" s="1"/>
  <c r="AE197"/>
  <c r="AE199"/>
  <c r="AH199"/>
  <c r="AA199" s="1"/>
  <c r="AE202"/>
  <c r="AH202"/>
  <c r="AA202"/>
  <c r="AC205"/>
  <c r="AC203"/>
  <c r="AG205"/>
  <c r="AG203"/>
  <c r="AH203" s="1"/>
  <c r="AE203"/>
  <c r="AA203" s="1"/>
  <c r="AE204"/>
  <c r="AH204"/>
  <c r="AA204"/>
  <c r="AE205"/>
  <c r="AE206"/>
  <c r="AH206"/>
  <c r="AA206"/>
  <c r="AC207"/>
  <c r="AE208"/>
  <c r="AH208"/>
  <c r="AA208"/>
  <c r="AC209"/>
  <c r="AE209"/>
  <c r="AA209" s="1"/>
  <c r="AG209"/>
  <c r="AH209"/>
  <c r="AE167"/>
  <c r="AC217"/>
  <c r="AC216"/>
  <c r="AE216" s="1"/>
  <c r="AA216" s="1"/>
  <c r="AE231"/>
  <c r="AA231"/>
  <c r="AE233"/>
  <c r="AA233"/>
  <c r="AE234"/>
  <c r="AA234"/>
  <c r="AC235"/>
  <c r="AD235"/>
  <c r="AE235" s="1"/>
  <c r="AA235" s="1"/>
  <c r="AA236"/>
  <c r="AE237"/>
  <c r="AA237" s="1"/>
  <c r="AD239"/>
  <c r="AE241"/>
  <c r="AA241"/>
  <c r="AE242"/>
  <c r="AA242"/>
  <c r="AE243"/>
  <c r="AA243"/>
  <c r="AD244"/>
  <c r="AE244"/>
  <c r="AC245"/>
  <c r="AD245"/>
  <c r="AE245" s="1"/>
  <c r="AA245" s="1"/>
  <c r="AE246"/>
  <c r="AA246" s="1"/>
  <c r="AE247"/>
  <c r="AA247" s="1"/>
  <c r="AD248"/>
  <c r="AE248" s="1"/>
  <c r="AA248" s="1"/>
  <c r="AD249"/>
  <c r="AE217"/>
  <c r="AA217" s="1"/>
  <c r="AA218"/>
  <c r="AE219"/>
  <c r="AA219"/>
  <c r="AC220"/>
  <c r="AD220"/>
  <c r="AE220" s="1"/>
  <c r="AA220" s="1"/>
  <c r="AE222"/>
  <c r="AA222"/>
  <c r="AE223"/>
  <c r="AA223"/>
  <c r="AE225"/>
  <c r="AA225"/>
  <c r="AE228"/>
  <c r="AA228"/>
  <c r="AE229"/>
  <c r="AA229"/>
  <c r="AC266"/>
  <c r="I160"/>
  <c r="H160"/>
  <c r="AC282"/>
  <c r="AE282" s="1"/>
  <c r="AE286" s="1"/>
  <c r="K72"/>
  <c r="K70"/>
  <c r="G161"/>
  <c r="AW190"/>
  <c r="AW191" s="1"/>
  <c r="L65"/>
  <c r="K74"/>
  <c r="I39"/>
  <c r="L40"/>
  <c r="F24"/>
  <c r="L110"/>
  <c r="I110"/>
  <c r="L63"/>
  <c r="F73"/>
  <c r="F74"/>
  <c r="F75"/>
  <c r="F76"/>
  <c r="F77"/>
  <c r="F78"/>
  <c r="F79"/>
  <c r="F80"/>
  <c r="F81"/>
  <c r="F82"/>
  <c r="F83"/>
  <c r="F84"/>
  <c r="F85"/>
  <c r="I73"/>
  <c r="I74"/>
  <c r="I75"/>
  <c r="I76"/>
  <c r="I77"/>
  <c r="I78"/>
  <c r="I79"/>
  <c r="I80"/>
  <c r="I81"/>
  <c r="I82"/>
  <c r="I83"/>
  <c r="I84"/>
  <c r="I85"/>
  <c r="F58"/>
  <c r="F62"/>
  <c r="F59"/>
  <c r="F63"/>
  <c r="F64"/>
  <c r="F68"/>
  <c r="F54"/>
  <c r="F50"/>
  <c r="I68"/>
  <c r="I59"/>
  <c r="I63"/>
  <c r="I64"/>
  <c r="I50"/>
  <c r="V55"/>
  <c r="W55" s="1"/>
  <c r="AR198"/>
  <c r="AQ199"/>
  <c r="AR199"/>
  <c r="AR200"/>
  <c r="AQ202"/>
  <c r="AR202" s="1"/>
  <c r="AR204" s="1"/>
  <c r="I121"/>
  <c r="L139"/>
  <c r="L145"/>
  <c r="F116"/>
  <c r="I116"/>
  <c r="AD286"/>
  <c r="AD264"/>
  <c r="AD267"/>
  <c r="AD273"/>
  <c r="AD275"/>
  <c r="I124"/>
  <c r="AE267" s="1"/>
  <c r="AD290"/>
  <c r="AD292"/>
  <c r="AD293"/>
  <c r="AW192"/>
  <c r="AF305"/>
  <c r="AF306" s="1"/>
  <c r="AQ198"/>
  <c r="AQ204" s="1"/>
  <c r="AC251"/>
  <c r="AQ208"/>
  <c r="AU204"/>
  <c r="AE301"/>
  <c r="AC264"/>
  <c r="AC267"/>
  <c r="AC273"/>
  <c r="AC275"/>
  <c r="AC301"/>
  <c r="AC300"/>
  <c r="AC305"/>
  <c r="AY183"/>
  <c r="AY172"/>
  <c r="AV172"/>
  <c r="AY169"/>
  <c r="F101"/>
  <c r="F104"/>
  <c r="F117"/>
  <c r="F118"/>
  <c r="F121"/>
  <c r="F110"/>
  <c r="I101"/>
  <c r="I104"/>
  <c r="I117"/>
  <c r="I118"/>
  <c r="AY173"/>
  <c r="AV173"/>
  <c r="AY168"/>
  <c r="AY166"/>
  <c r="I87"/>
  <c r="I88"/>
  <c r="I90"/>
  <c r="L90"/>
  <c r="I91"/>
  <c r="AV168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1"/>
  <c r="I52"/>
  <c r="I53"/>
  <c r="I55"/>
  <c r="I56"/>
  <c r="I57"/>
  <c r="I60"/>
  <c r="I61"/>
  <c r="I65"/>
  <c r="I66"/>
  <c r="I67"/>
  <c r="I69"/>
  <c r="I71"/>
  <c r="I86"/>
  <c r="I89"/>
  <c r="I92"/>
  <c r="I114"/>
  <c r="I115"/>
  <c r="I122"/>
  <c r="I125"/>
  <c r="I126"/>
  <c r="I127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AV170"/>
  <c r="L8"/>
  <c r="L9"/>
  <c r="L10"/>
  <c r="L11"/>
  <c r="L13"/>
  <c r="L15"/>
  <c r="L16"/>
  <c r="L17"/>
  <c r="L18"/>
  <c r="L21"/>
  <c r="L22"/>
  <c r="L23"/>
  <c r="L24"/>
  <c r="L25"/>
  <c r="L26"/>
  <c r="L27"/>
  <c r="L28"/>
  <c r="L33"/>
  <c r="L34"/>
  <c r="L35"/>
  <c r="L36"/>
  <c r="L37"/>
  <c r="L38"/>
  <c r="L39"/>
  <c r="L41"/>
  <c r="L42"/>
  <c r="L43"/>
  <c r="L44"/>
  <c r="L45"/>
  <c r="L47"/>
  <c r="L49"/>
  <c r="L50"/>
  <c r="L51"/>
  <c r="L53"/>
  <c r="L54"/>
  <c r="L56"/>
  <c r="L57"/>
  <c r="L62"/>
  <c r="L67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50"/>
  <c r="L151"/>
  <c r="L152"/>
  <c r="L154"/>
  <c r="L155"/>
  <c r="AY171"/>
  <c r="AV171"/>
  <c r="F125"/>
  <c r="F126"/>
  <c r="F124"/>
  <c r="AY175"/>
  <c r="F129"/>
  <c r="F130"/>
  <c r="F131"/>
  <c r="F132"/>
  <c r="F133"/>
  <c r="F128"/>
  <c r="F115"/>
  <c r="F114"/>
  <c r="F91"/>
  <c r="F92"/>
  <c r="F88"/>
  <c r="F90"/>
  <c r="F87"/>
  <c r="F89"/>
  <c r="F43"/>
  <c r="AV166"/>
  <c r="AY165"/>
  <c r="AV165"/>
  <c r="F22"/>
  <c r="F26"/>
  <c r="F25"/>
  <c r="F23"/>
  <c r="F70"/>
  <c r="F45"/>
  <c r="F42"/>
  <c r="F41"/>
  <c r="F33"/>
  <c r="F48"/>
  <c r="F46"/>
  <c r="F49"/>
  <c r="AY167"/>
  <c r="AY174"/>
  <c r="AY177"/>
  <c r="AY178"/>
  <c r="AY179"/>
  <c r="AY180"/>
  <c r="AY181"/>
  <c r="AY182"/>
  <c r="AV167"/>
  <c r="AV177"/>
  <c r="AV178"/>
  <c r="AV179"/>
  <c r="AV180"/>
  <c r="AV181"/>
  <c r="AV182"/>
  <c r="AD300"/>
  <c r="AD301"/>
  <c r="AE215"/>
  <c r="F39"/>
  <c r="P156"/>
  <c r="O156" s="1"/>
  <c r="F157" s="1"/>
  <c r="E156"/>
  <c r="F9"/>
  <c r="F10"/>
  <c r="F11"/>
  <c r="F12"/>
  <c r="F13"/>
  <c r="F14"/>
  <c r="F15"/>
  <c r="F16"/>
  <c r="F17"/>
  <c r="F18"/>
  <c r="F19"/>
  <c r="F20"/>
  <c r="F21"/>
  <c r="F27"/>
  <c r="F28"/>
  <c r="F29"/>
  <c r="F30"/>
  <c r="F31"/>
  <c r="F32"/>
  <c r="F34"/>
  <c r="F35"/>
  <c r="F36"/>
  <c r="F37"/>
  <c r="F38"/>
  <c r="F40"/>
  <c r="F44"/>
  <c r="F47"/>
  <c r="F51"/>
  <c r="F52"/>
  <c r="F53"/>
  <c r="F55"/>
  <c r="F56"/>
  <c r="F57"/>
  <c r="F60"/>
  <c r="F61"/>
  <c r="F65"/>
  <c r="F66"/>
  <c r="F67"/>
  <c r="F69"/>
  <c r="F71"/>
  <c r="F72"/>
  <c r="F86"/>
  <c r="F122"/>
  <c r="F127"/>
  <c r="F135"/>
  <c r="F136"/>
  <c r="F137"/>
  <c r="F138"/>
  <c r="F139"/>
  <c r="F140"/>
  <c r="F141"/>
  <c r="F142"/>
  <c r="F143"/>
  <c r="F144"/>
  <c r="F146"/>
  <c r="F147"/>
  <c r="F148"/>
  <c r="F149"/>
  <c r="F150"/>
  <c r="F151"/>
  <c r="F152"/>
  <c r="F153"/>
  <c r="F155"/>
  <c r="F8"/>
  <c r="I155"/>
  <c r="U74"/>
  <c r="U40"/>
  <c r="AJ274"/>
  <c r="AI283"/>
  <c r="AZ175"/>
  <c r="BB176"/>
  <c r="U149"/>
  <c r="L31"/>
  <c r="K19"/>
  <c r="K117"/>
  <c r="K102"/>
  <c r="K119"/>
  <c r="K118"/>
  <c r="K104"/>
  <c r="K89"/>
  <c r="K90"/>
  <c r="K91"/>
  <c r="K92"/>
  <c r="K93"/>
  <c r="AI174"/>
  <c r="K107"/>
  <c r="R46"/>
  <c r="AR210"/>
  <c r="AM198"/>
  <c r="AM204"/>
  <c r="AM211" s="1"/>
  <c r="AM217" s="1"/>
  <c r="AO198"/>
  <c r="AO204"/>
  <c r="AO211" s="1"/>
  <c r="AN198"/>
  <c r="AN204" s="1"/>
  <c r="AN211" s="1"/>
  <c r="AQ203"/>
  <c r="K87"/>
  <c r="S87" s="1"/>
  <c r="K88"/>
  <c r="K94"/>
  <c r="K95"/>
  <c r="K97"/>
  <c r="S97"/>
  <c r="K98"/>
  <c r="K99"/>
  <c r="K100"/>
  <c r="K103"/>
  <c r="K105"/>
  <c r="K106"/>
  <c r="K108"/>
  <c r="K109"/>
  <c r="K110"/>
  <c r="K111"/>
  <c r="K112"/>
  <c r="K113"/>
  <c r="K114"/>
  <c r="K115"/>
  <c r="K116"/>
  <c r="K120"/>
  <c r="S120" s="1"/>
  <c r="K121"/>
  <c r="K122"/>
  <c r="K123"/>
  <c r="K124"/>
  <c r="S124"/>
  <c r="K125"/>
  <c r="K126"/>
  <c r="K127"/>
  <c r="K128"/>
  <c r="S128" s="1"/>
  <c r="K129"/>
  <c r="K130"/>
  <c r="K131"/>
  <c r="K132"/>
  <c r="K136"/>
  <c r="S136" s="1"/>
  <c r="K137"/>
  <c r="K138"/>
  <c r="S138"/>
  <c r="K139"/>
  <c r="K145"/>
  <c r="S145" s="1"/>
  <c r="K146"/>
  <c r="K147"/>
  <c r="S147"/>
  <c r="K148"/>
  <c r="K149"/>
  <c r="K150"/>
  <c r="K151"/>
  <c r="K152"/>
  <c r="K75"/>
  <c r="K76"/>
  <c r="K45"/>
  <c r="K71"/>
  <c r="K9"/>
  <c r="K10"/>
  <c r="K11"/>
  <c r="K12"/>
  <c r="K13"/>
  <c r="K14"/>
  <c r="K15"/>
  <c r="K16"/>
  <c r="K17"/>
  <c r="K18"/>
  <c r="K20"/>
  <c r="K21"/>
  <c r="S21"/>
  <c r="K22"/>
  <c r="S22"/>
  <c r="K23"/>
  <c r="S23"/>
  <c r="K24"/>
  <c r="K25"/>
  <c r="S25" s="1"/>
  <c r="K26"/>
  <c r="S26" s="1"/>
  <c r="K27"/>
  <c r="S27" s="1"/>
  <c r="K28"/>
  <c r="K29"/>
  <c r="S29"/>
  <c r="K30"/>
  <c r="K31"/>
  <c r="K32"/>
  <c r="K33"/>
  <c r="K34"/>
  <c r="K35"/>
  <c r="K36"/>
  <c r="K37"/>
  <c r="K38"/>
  <c r="K39"/>
  <c r="S39" s="1"/>
  <c r="K40"/>
  <c r="K41"/>
  <c r="K42"/>
  <c r="K43"/>
  <c r="S43"/>
  <c r="K44"/>
  <c r="S44"/>
  <c r="K46"/>
  <c r="S46"/>
  <c r="K47"/>
  <c r="K48"/>
  <c r="K49"/>
  <c r="K50"/>
  <c r="K51"/>
  <c r="K52"/>
  <c r="S52" s="1"/>
  <c r="K53"/>
  <c r="K54"/>
  <c r="K55"/>
  <c r="K56"/>
  <c r="K57"/>
  <c r="K58"/>
  <c r="K59"/>
  <c r="K60"/>
  <c r="K61"/>
  <c r="K62"/>
  <c r="S62"/>
  <c r="K63"/>
  <c r="K64"/>
  <c r="S64" s="1"/>
  <c r="K65"/>
  <c r="K66"/>
  <c r="S66"/>
  <c r="K67"/>
  <c r="K68"/>
  <c r="S68" s="1"/>
  <c r="K69"/>
  <c r="S69" s="1"/>
  <c r="K73"/>
  <c r="S73" s="1"/>
  <c r="K77"/>
  <c r="S77" s="1"/>
  <c r="K78"/>
  <c r="K79"/>
  <c r="K80"/>
  <c r="S80" s="1"/>
  <c r="K81"/>
  <c r="K82"/>
  <c r="K83"/>
  <c r="K84"/>
  <c r="K85"/>
  <c r="S85"/>
  <c r="K86"/>
  <c r="S86"/>
  <c r="K153"/>
  <c r="S153"/>
  <c r="K8"/>
  <c r="S8"/>
  <c r="S9"/>
  <c r="S11"/>
  <c r="S12"/>
  <c r="S13"/>
  <c r="S14"/>
  <c r="S15"/>
  <c r="S16"/>
  <c r="S17"/>
  <c r="S18"/>
  <c r="S19"/>
  <c r="S20"/>
  <c r="S24"/>
  <c r="S28"/>
  <c r="S33"/>
  <c r="S42"/>
  <c r="S48"/>
  <c r="S49"/>
  <c r="S50"/>
  <c r="S54"/>
  <c r="S55"/>
  <c r="S58"/>
  <c r="S59"/>
  <c r="S60"/>
  <c r="S63"/>
  <c r="S82"/>
  <c r="S83"/>
  <c r="S89"/>
  <c r="S91"/>
  <c r="S93"/>
  <c r="S110"/>
  <c r="S114"/>
  <c r="S115"/>
  <c r="S123"/>
  <c r="S127"/>
  <c r="S129"/>
  <c r="S137"/>
  <c r="S139"/>
  <c r="S146"/>
  <c r="S149"/>
  <c r="S150"/>
  <c r="S152"/>
  <c r="S154"/>
  <c r="S155"/>
  <c r="S156"/>
  <c r="AI247"/>
  <c r="AI248"/>
  <c r="AI250"/>
  <c r="R49"/>
  <c r="R51"/>
  <c r="N159"/>
  <c r="AI238"/>
  <c r="AI173"/>
  <c r="AJ264"/>
  <c r="F156"/>
  <c r="L30"/>
  <c r="L32"/>
  <c r="AY170"/>
  <c r="AV176"/>
  <c r="AY176"/>
  <c r="I153"/>
  <c r="AD177"/>
  <c r="AE177"/>
  <c r="AA177" s="1"/>
  <c r="H156"/>
  <c r="AD268"/>
  <c r="AW193"/>
  <c r="BB186"/>
  <c r="L12"/>
  <c r="AE249"/>
  <c r="AA249"/>
  <c r="AI249"/>
  <c r="AC224"/>
  <c r="AC227" s="1"/>
  <c r="Q157"/>
  <c r="AE273"/>
  <c r="AG201"/>
  <c r="AH201" s="1"/>
  <c r="AE198"/>
  <c r="AA198" s="1"/>
  <c r="AH197"/>
  <c r="AA197" s="1"/>
  <c r="AG184"/>
  <c r="AH184" s="1"/>
  <c r="AD184"/>
  <c r="AE184" s="1"/>
  <c r="AE179"/>
  <c r="AA179" s="1"/>
  <c r="AG177"/>
  <c r="AH177"/>
  <c r="AA187"/>
  <c r="AA244"/>
  <c r="AA190"/>
  <c r="AG196"/>
  <c r="AH196" s="1"/>
  <c r="AI196" s="1"/>
  <c r="AH167"/>
  <c r="AG207"/>
  <c r="AH207" s="1"/>
  <c r="AD207"/>
  <c r="AE207" s="1"/>
  <c r="AH205"/>
  <c r="AA205" s="1"/>
  <c r="AH179"/>
  <c r="D158"/>
  <c r="D163" s="1"/>
  <c r="D161"/>
  <c r="AE300"/>
  <c r="AE305"/>
  <c r="AA167"/>
  <c r="AG210"/>
  <c r="AH210" s="1"/>
  <c r="AC221"/>
  <c r="AC201"/>
  <c r="AC196"/>
  <c r="AC210" s="1"/>
  <c r="AE196"/>
  <c r="AC286"/>
  <c r="AA173"/>
  <c r="AI285"/>
  <c r="AJ281"/>
  <c r="N156"/>
  <c r="AT192"/>
  <c r="AC252"/>
  <c r="AI251"/>
  <c r="AF254"/>
  <c r="AI255"/>
  <c r="AF255"/>
  <c r="AH254"/>
  <c r="AH253"/>
  <c r="AE174"/>
  <c r="AE268" s="1"/>
  <c r="AC172"/>
  <c r="AI172"/>
  <c r="AC270"/>
  <c r="AC230"/>
  <c r="AE172"/>
  <c r="AC188"/>
  <c r="AC271"/>
  <c r="AE210" l="1"/>
  <c r="AA210" s="1"/>
  <c r="AC211"/>
  <c r="AI282"/>
  <c r="AS204"/>
  <c r="AE270"/>
  <c r="AA178"/>
  <c r="AH172"/>
  <c r="AA172" s="1"/>
  <c r="AG188"/>
  <c r="L159"/>
  <c r="I161"/>
  <c r="G154"/>
  <c r="M14"/>
  <c r="AD224"/>
  <c r="AU185"/>
  <c r="L58"/>
  <c r="AY184"/>
  <c r="AX191"/>
  <c r="AX186"/>
  <c r="AX193" s="1"/>
  <c r="AM224"/>
  <c r="AM226" s="1"/>
  <c r="AC290"/>
  <c r="AE232"/>
  <c r="AA232" s="1"/>
  <c r="AC239"/>
  <c r="AE239" s="1"/>
  <c r="AA239" s="1"/>
  <c r="AC240"/>
  <c r="AA196"/>
  <c r="AA207"/>
  <c r="AA184"/>
  <c r="AA201"/>
  <c r="AD188"/>
  <c r="AA238"/>
  <c r="AE293"/>
  <c r="AT174"/>
  <c r="AV169"/>
  <c r="AU186"/>
  <c r="AD262"/>
  <c r="AA174"/>
  <c r="AD211" l="1"/>
  <c r="AE188"/>
  <c r="AC253"/>
  <c r="AE224"/>
  <c r="AA224" s="1"/>
  <c r="AD221"/>
  <c r="AD227"/>
  <c r="AE227" s="1"/>
  <c r="AA227" s="1"/>
  <c r="U58"/>
  <c r="G156"/>
  <c r="AT190"/>
  <c r="G164"/>
  <c r="I154"/>
  <c r="AT175"/>
  <c r="AV174"/>
  <c r="AC292"/>
  <c r="AC294" s="1"/>
  <c r="AC310" s="1"/>
  <c r="AQ206"/>
  <c r="AR206" s="1"/>
  <c r="AE292"/>
  <c r="AY186"/>
  <c r="AY193" s="1"/>
  <c r="AY191"/>
  <c r="L14"/>
  <c r="K163" s="1"/>
  <c r="AD251"/>
  <c r="M156"/>
  <c r="I162"/>
  <c r="I163" s="1"/>
  <c r="L163" s="1"/>
  <c r="AG211"/>
  <c r="AH188"/>
  <c r="AH211" s="1"/>
  <c r="AE211"/>
  <c r="AC254"/>
  <c r="H157" l="1"/>
  <c r="M161" s="1"/>
  <c r="L156"/>
  <c r="G157"/>
  <c r="I156"/>
  <c r="I157" s="1"/>
  <c r="L162" s="1"/>
  <c r="L161" s="1"/>
  <c r="N157"/>
  <c r="AI213"/>
  <c r="AI211"/>
  <c r="AH255"/>
  <c r="AA211"/>
  <c r="AG254"/>
  <c r="AH212"/>
  <c r="AE251"/>
  <c r="AD252"/>
  <c r="AE252" s="1"/>
  <c r="AT184"/>
  <c r="AI197"/>
  <c r="AI198" s="1"/>
  <c r="BB175"/>
  <c r="BB177" s="1"/>
  <c r="AV175"/>
  <c r="AV190"/>
  <c r="U59"/>
  <c r="AC274"/>
  <c r="X58"/>
  <c r="AT185"/>
  <c r="AD230"/>
  <c r="AE221"/>
  <c r="AA221" s="1"/>
  <c r="AT195"/>
  <c r="AA188"/>
  <c r="AD271" l="1"/>
  <c r="AD272" s="1"/>
  <c r="AD277" s="1"/>
  <c r="AD240"/>
  <c r="AE230"/>
  <c r="AA230" s="1"/>
  <c r="AU211"/>
  <c r="AR216"/>
  <c r="AA252"/>
  <c r="AZ186"/>
  <c r="AZ187" s="1"/>
  <c r="AZ191" s="1"/>
  <c r="AZ194" s="1"/>
  <c r="AV185"/>
  <c r="AV184"/>
  <c r="AZ185"/>
  <c r="AT191"/>
  <c r="AT186"/>
  <c r="AC262"/>
  <c r="AQ205"/>
  <c r="AA251"/>
  <c r="AV192"/>
  <c r="AQ216"/>
  <c r="AC272" l="1"/>
  <c r="AC277" s="1"/>
  <c r="AC298" s="1"/>
  <c r="AC306" s="1"/>
  <c r="AC308" s="1"/>
  <c r="AI274"/>
  <c r="AE262"/>
  <c r="AE272" s="1"/>
  <c r="AE277" s="1"/>
  <c r="AV191"/>
  <c r="AD253"/>
  <c r="AE240"/>
  <c r="AA240" s="1"/>
  <c r="AR205"/>
  <c r="AR211" s="1"/>
  <c r="AR217" s="1"/>
  <c r="AQ211"/>
  <c r="AQ217" s="1"/>
  <c r="AV186"/>
  <c r="AV193" s="1"/>
  <c r="AT193"/>
  <c r="AD254" l="1"/>
  <c r="AE253"/>
  <c r="AI277"/>
  <c r="AE298"/>
  <c r="AE306" s="1"/>
  <c r="AE308" s="1"/>
  <c r="AA253" l="1"/>
  <c r="AE254"/>
</calcChain>
</file>

<file path=xl/comments1.xml><?xml version="1.0" encoding="utf-8"?>
<comments xmlns="http://schemas.openxmlformats.org/spreadsheetml/2006/main">
  <authors>
    <author>*</author>
    <author>Mikli</author>
    <author>Dhimo Dundo</author>
    <author>Raiffeisen Bank</author>
  </authors>
  <commentList>
    <comment ref="D46" author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KEMI SHTUAR DIF KONVERT SI DHE KAM SHTUAR UNE TEPDEB 6155458
</t>
        </r>
      </text>
    </comment>
    <comment ref="Q46" author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JESHTE SHTURA DIF KONV.PASIVE</t>
        </r>
      </text>
    </comment>
    <comment ref="Q49" authorId="1">
      <text>
        <r>
          <rPr>
            <b/>
            <sz val="9"/>
            <color indexed="81"/>
            <rFont val="Tahoma"/>
            <family val="2"/>
          </rPr>
          <t>Mikli:</t>
        </r>
        <r>
          <rPr>
            <sz val="9"/>
            <color indexed="81"/>
            <rFont val="Tahoma"/>
            <family val="2"/>
          </rPr>
          <t xml:space="preserve">
TE SQAROHET CFAR ESHTE</t>
        </r>
      </text>
    </comment>
    <comment ref="Q59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te vecohet tatim fitimi</t>
        </r>
      </text>
    </comment>
    <comment ref="G64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 NGTA VITET E KALUARA</t>
        </r>
      </text>
    </comment>
    <comment ref="Q65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eshte afatshkurter</t>
        </r>
      </text>
    </comment>
    <comment ref="D93" author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bateri goma
</t>
        </r>
      </text>
    </comment>
    <comment ref="D94" authorId="0">
      <text>
        <r>
          <rPr>
            <b/>
            <sz val="8"/>
            <color indexed="81"/>
            <rFont val="Tahoma"/>
            <family val="2"/>
          </rPr>
          <t>*:</t>
        </r>
        <r>
          <rPr>
            <sz val="8"/>
            <color indexed="81"/>
            <rFont val="Tahoma"/>
            <family val="2"/>
          </rPr>
          <t xml:space="preserve">
bateri goma
</t>
        </r>
      </text>
    </comment>
    <comment ref="D154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fitimi para tatimit</t>
        </r>
      </text>
    </comment>
    <comment ref="G154" authorId="3">
      <text>
        <r>
          <rPr>
            <b/>
            <sz val="8"/>
            <color indexed="81"/>
            <rFont val="Tahoma"/>
            <family val="2"/>
          </rPr>
          <t>Raiffeisen Bank:</t>
        </r>
        <r>
          <rPr>
            <sz val="8"/>
            <color indexed="81"/>
            <rFont val="Tahoma"/>
            <family val="2"/>
          </rPr>
          <t xml:space="preserve">
fitimi para tatimit</t>
        </r>
      </text>
    </comment>
    <comment ref="I164" authorId="3">
      <text>
        <r>
          <rPr>
            <b/>
            <sz val="8"/>
            <color indexed="81"/>
            <rFont val="Tahoma"/>
            <family val="2"/>
          </rPr>
          <t>Raiffeisen Bank:</t>
        </r>
        <r>
          <rPr>
            <sz val="8"/>
            <color indexed="81"/>
            <rFont val="Tahoma"/>
            <family val="2"/>
          </rPr>
          <t xml:space="preserve">
 FITIMI PARA KUADRIMIT</t>
        </r>
      </text>
    </comment>
    <comment ref="AT166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 te vihet me formule fitimi nga shitja e aqt ose nga shenimet</t>
        </r>
      </text>
    </comment>
    <comment ref="AU170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 te vihet me formule humbjai nga shitja e aqt ose nga shenimet
KETU ESHTE DHE SKUOTA E SHPENZ PER TU SHPERNDAR</t>
        </r>
      </text>
    </comment>
    <comment ref="AW170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 te vihet me formule humbjai nga shitja e aqt ose nga shenimet
KETU ESHTE DHE SKUOTA E SHPENZ PER TU SHPERNDAR</t>
        </r>
      </text>
    </comment>
    <comment ref="AT173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 KUE E KANE VENDIN SHPENZIME TE TJERA PER PERSONELIN NXJERJANJASHTE PERDOROMIT E AQT ESHTE KETU SEPSE ESHTE HUMBJE</t>
        </r>
      </text>
    </comment>
    <comment ref="AC174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te shikohen parapagimet</t>
        </r>
      </text>
    </comment>
    <comment ref="AF174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 ESHTE DY HERE SUGURIME SHOQ</t>
        </r>
      </text>
    </comment>
    <comment ref="AT174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 nuk jane ketu ti gjendet vendi</t>
        </r>
      </text>
    </comment>
    <comment ref="AW174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 nuk jane ketu ti gjendet vendi</t>
        </r>
      </text>
    </comment>
    <comment ref="AT175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ESHTE EDHE KONS INV IMET</t>
        </r>
      </text>
    </comment>
    <comment ref="AU175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ESHTE EDHE KONS INV IMET</t>
        </r>
      </text>
    </comment>
    <comment ref="AW175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ESHTE EDHE KONS INV IMET</t>
        </r>
      </text>
    </comment>
    <comment ref="AC183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 te hiate nardi Parapagimet</t>
        </r>
      </text>
    </comment>
    <comment ref="AC225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Ta ndryshoje Nardi</t>
        </r>
      </text>
    </comment>
    <comment ref="AC236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ta ndryshoje Nardi</t>
        </r>
      </text>
    </comment>
    <comment ref="AD274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TE KONTROLLOHET</t>
        </r>
      </text>
    </comment>
    <comment ref="AC281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KUJDES INVENTARIN E IMET</t>
        </r>
      </text>
    </comment>
    <comment ref="AE281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KUJDES INVENTARIN E IMET</t>
        </r>
      </text>
    </comment>
    <comment ref="AE282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VKNeto</t>
        </r>
      </text>
    </comment>
    <comment ref="U293" authorId="2">
      <text>
        <r>
          <rPr>
            <b/>
            <sz val="8"/>
            <color indexed="81"/>
            <rFont val="Tahoma"/>
            <family val="2"/>
          </rPr>
          <t>Dhimo Dundo:</t>
        </r>
        <r>
          <rPr>
            <sz val="8"/>
            <color indexed="81"/>
            <rFont val="Tahoma"/>
            <family val="2"/>
          </rPr>
          <t xml:space="preserve">
te shikohet emri</t>
        </r>
      </text>
    </comment>
  </commentList>
</comments>
</file>

<file path=xl/sharedStrings.xml><?xml version="1.0" encoding="utf-8"?>
<sst xmlns="http://schemas.openxmlformats.org/spreadsheetml/2006/main" count="517" uniqueCount="433">
  <si>
    <t>Shpenzime per tu shpernd.ne disa ushtrime</t>
  </si>
  <si>
    <t>467-</t>
  </si>
  <si>
    <t>5121-</t>
  </si>
  <si>
    <t>5124-</t>
  </si>
  <si>
    <t>5311-</t>
  </si>
  <si>
    <t>5314-</t>
  </si>
  <si>
    <t>421-</t>
  </si>
  <si>
    <t>427-</t>
  </si>
  <si>
    <t>Ndrysh gjendje mallra</t>
  </si>
  <si>
    <t>411-</t>
  </si>
  <si>
    <t>Fitimi para tatimit</t>
  </si>
  <si>
    <t>445-</t>
  </si>
  <si>
    <t>Tatime te tjera per punonjesit</t>
  </si>
  <si>
    <t>Zhvleresimi i Klienteve</t>
  </si>
  <si>
    <t>Parapagime te marra(Kliente porosii)</t>
  </si>
  <si>
    <t>Parapagime te dhena(i)</t>
  </si>
  <si>
    <t>Materiale te pa mbritura (parapagim per furnizim</t>
  </si>
  <si>
    <t>CELJE</t>
  </si>
  <si>
    <t>Hua afatshkurtera overdraft</t>
  </si>
  <si>
    <t>Hua, bono dhe detyrime nga qeraja financiare</t>
  </si>
  <si>
    <t>kerkesave te arketueshme te tjera</t>
  </si>
  <si>
    <t>Shenime</t>
  </si>
  <si>
    <t>Primi i</t>
  </si>
  <si>
    <t>aksionit</t>
  </si>
  <si>
    <t>Aksione</t>
  </si>
  <si>
    <t>te thesarit</t>
  </si>
  <si>
    <t xml:space="preserve">Rezerva  </t>
  </si>
  <si>
    <t xml:space="preserve">Fitimi i </t>
  </si>
  <si>
    <t>pashpërndarë</t>
  </si>
  <si>
    <t>Nr</t>
  </si>
  <si>
    <t>604-606</t>
  </si>
  <si>
    <t>401-404</t>
  </si>
  <si>
    <t>408-409</t>
  </si>
  <si>
    <t xml:space="preserve">Ushtrimi paraardhes </t>
  </si>
  <si>
    <t>AKTIVET</t>
  </si>
  <si>
    <t>Mjete monetare</t>
  </si>
  <si>
    <t>Derivative dhe aktive financiare te mbajtua per tregtim</t>
  </si>
  <si>
    <t>Derivativet</t>
  </si>
  <si>
    <t>Aktive te mbajtura  per tregtim</t>
  </si>
  <si>
    <t>Totali</t>
  </si>
  <si>
    <t>Aktive te tjera financiare afatshkurtera</t>
  </si>
  <si>
    <t>Pozicioni I rregulluar</t>
  </si>
  <si>
    <t>Fitimi neto për periudhën kontabël</t>
  </si>
  <si>
    <t>Dividentët e paguar</t>
  </si>
  <si>
    <t>Rritje e rezervës së kapitalit</t>
  </si>
  <si>
    <t>Emetimi i aksioneve(pjeseve te reja te kapitalit)</t>
  </si>
  <si>
    <t>Emetim i kapitalit aksionar (pjeseve te reja)</t>
  </si>
  <si>
    <t>Aksione te thesarit te riblera</t>
  </si>
  <si>
    <t>Pozicioni më 31 Dhjetor 2008</t>
  </si>
  <si>
    <t xml:space="preserve">Shperndarja e fitimit </t>
  </si>
  <si>
    <t>Fitimi gjithsej i akumuluar</t>
  </si>
  <si>
    <t>Destinuar per shtese kapitali</t>
  </si>
  <si>
    <t>Destinuar per rezerva</t>
  </si>
  <si>
    <t>Fitim i pashperndare</t>
  </si>
  <si>
    <t>Sipas shoqerise</t>
  </si>
  <si>
    <t>Ndryshim ekperti</t>
  </si>
  <si>
    <t>Ndryshim Eksperti</t>
  </si>
  <si>
    <t>Tatim mbi fitimin</t>
  </si>
  <si>
    <t>Ndertime</t>
  </si>
  <si>
    <t>Grande afat gjata</t>
  </si>
  <si>
    <t>Trajtime te pergjithshme</t>
  </si>
  <si>
    <t>Efekti i ndryshimeve ne politikat kontabël</t>
  </si>
  <si>
    <t>Shpenzime transporti</t>
  </si>
  <si>
    <t>Taksa dhe tarifa vendore</t>
  </si>
  <si>
    <t>Tatime te tjera</t>
  </si>
  <si>
    <t>Shpenzime te tjera</t>
  </si>
  <si>
    <t>Subvecione te dhena</t>
  </si>
  <si>
    <t>Shpenzime per pritje e perfaqesime</t>
  </si>
  <si>
    <t>Shpenzime te tjera per personelin</t>
  </si>
  <si>
    <t>Shpenzime per interesa</t>
  </si>
  <si>
    <t>Kuota pjese e shpenz. per tu shperndare ne disa usht.</t>
  </si>
  <si>
    <t xml:space="preserve">Te ardhura te tjera Qera </t>
  </si>
  <si>
    <t>Kuota pjese e subvecioneve per investime (Te ardh. te tjera)</t>
  </si>
  <si>
    <t>Materiale ndihmese</t>
  </si>
  <si>
    <t>486-</t>
  </si>
  <si>
    <t>1068-</t>
  </si>
  <si>
    <t>107-</t>
  </si>
  <si>
    <t>121-</t>
  </si>
  <si>
    <t>131-138</t>
  </si>
  <si>
    <t>129-</t>
  </si>
  <si>
    <t>151-</t>
  </si>
  <si>
    <t>157-158</t>
  </si>
  <si>
    <t>161-1</t>
  </si>
  <si>
    <t>20-</t>
  </si>
  <si>
    <t>211-</t>
  </si>
  <si>
    <t xml:space="preserve">                   ZERI I BILANCIT</t>
  </si>
  <si>
    <t>-</t>
  </si>
  <si>
    <t>212-</t>
  </si>
  <si>
    <t>213-</t>
  </si>
  <si>
    <t>215-</t>
  </si>
  <si>
    <t>218-</t>
  </si>
  <si>
    <t>C</t>
  </si>
  <si>
    <t>232-</t>
  </si>
  <si>
    <t>280-</t>
  </si>
  <si>
    <t>311-</t>
  </si>
  <si>
    <t>327-</t>
  </si>
  <si>
    <t>Ndryshimet ne inventarin e produkteve te gateshme dhe punes ne proçes</t>
  </si>
  <si>
    <t>Mallra, lendet e para dhe sherbimet</t>
  </si>
  <si>
    <t>Shpenzime te personelit</t>
  </si>
  <si>
    <t>Te ardhurat dhe shpenzimet financiare nga njesite e kontrolluara</t>
  </si>
  <si>
    <t>Te ardhurat dhe shpenzimet financiare nga pjesemarrjet</t>
  </si>
  <si>
    <t>Te ardhurat dhe shpenzimet financiare</t>
  </si>
  <si>
    <t>Rregullimet per:</t>
  </si>
  <si>
    <t>Amortizimin</t>
  </si>
  <si>
    <t>Rritje/renie ne tepricen e detyrimeve per te paguar nga aktiviteti</t>
  </si>
  <si>
    <t>Interesi i paguar</t>
  </si>
  <si>
    <t>Blerje e aktiveve afatgjata materiale</t>
  </si>
  <si>
    <t>Interesi i arketuar</t>
  </si>
  <si>
    <t>Dividendet e arketuar</t>
  </si>
  <si>
    <t>Te ardhura nga emetimi i kapitalit aksionar</t>
  </si>
  <si>
    <t>Te ardhura huamarrje afatgjata</t>
  </si>
  <si>
    <t xml:space="preserve">Pagesa e detyrimeve te qirase financiare </t>
  </si>
  <si>
    <t>Dividendet e paguar</t>
  </si>
  <si>
    <t>Rritja/rënia neto e mjeteve monetare</t>
  </si>
  <si>
    <t>Mjetet monetare në fund të periudhës kontabël</t>
  </si>
  <si>
    <t>Sipas metodes indirekte</t>
  </si>
  <si>
    <t>Aktive te tjera afatgjata materiale</t>
  </si>
  <si>
    <t>Nuk ka shpenzime nisje</t>
  </si>
  <si>
    <t>kesti i vitit pasardhes</t>
  </si>
  <si>
    <t>Det ndaj individeve afatshkurtera</t>
  </si>
  <si>
    <t>Det ndaj individeve afatgjate dhe ndaj furnit.afatgjate, parapagim afatgjate ORTAKE etj</t>
  </si>
  <si>
    <t>Blerje/ shpenzime mallrash, sherbimesh</t>
  </si>
  <si>
    <t>Blerje Energji avull uje</t>
  </si>
  <si>
    <t>Blerje karburanti</t>
  </si>
  <si>
    <t>Blerje pjese kembimi</t>
  </si>
  <si>
    <t>Shpenzime per sherbimet bankare</t>
  </si>
  <si>
    <t>Taksa tarifa doganore</t>
  </si>
  <si>
    <t>Pagat dhe shperblimet</t>
  </si>
  <si>
    <t>Sigurime shoqerore dhe te ngjashme</t>
  </si>
  <si>
    <t>Gjoba dhe dem shperblime</t>
  </si>
  <si>
    <t>Nuk ka ne SKKK kalon si shpenzim i zakonshem</t>
  </si>
  <si>
    <t>652-    652-656</t>
  </si>
  <si>
    <t>Amortizimi i AAGJ JO materiale</t>
  </si>
  <si>
    <t>Amortizim per paisje zyre e informatike</t>
  </si>
  <si>
    <t>Tatimi MBI Fitimin</t>
  </si>
  <si>
    <t>Te ardhura Shitje e Produkteve te Gateshme</t>
  </si>
  <si>
    <t>Shitje e punimeve dhe sherbimeve</t>
  </si>
  <si>
    <t>Shitje Mallrash</t>
  </si>
  <si>
    <t>Te ardhura nga grantet (Subvecione per cmime e Sub tj.</t>
  </si>
  <si>
    <t>Humbje nga kembimet e perkthimet valutore Bank Ark</t>
  </si>
  <si>
    <t>Humbje nga kembimet e perkthimet valutore te tjera</t>
  </si>
  <si>
    <t>Ndrysh gjendje materiale TE PARA</t>
  </si>
  <si>
    <t>Ndrysh gjendje materiale TE TJERA</t>
  </si>
  <si>
    <t>Shpenzime postare dhe telekomunikimi</t>
  </si>
  <si>
    <t>Ndryshimi i gjendjes se prodhimit ne proces dhe PG</t>
  </si>
  <si>
    <t>Te ardhura nga interesat</t>
  </si>
  <si>
    <t>Humbja nga shitja e AQT vihet ketu</t>
  </si>
  <si>
    <t>Fitim nga shitja e AQT  vihet ketu</t>
  </si>
  <si>
    <t>te vihet tek shpenzimet kur eshte minus</t>
  </si>
  <si>
    <t>Qira</t>
  </si>
  <si>
    <t>Transport per te trete</t>
  </si>
  <si>
    <t>Llogari ne pritje</t>
  </si>
  <si>
    <t>Kerkesa ndaj personelit</t>
  </si>
  <si>
    <t>ligjore e statusore</t>
  </si>
  <si>
    <t>Dividendët e paguar</t>
  </si>
  <si>
    <t>Marrja ne fitimet e pashpernd. te lehtesise tatimore</t>
  </si>
  <si>
    <t>aksionar</t>
  </si>
  <si>
    <t>Blerje/ shpenzime materiale te para</t>
  </si>
  <si>
    <t>Blerje/ shpenzime materiale te tjera</t>
  </si>
  <si>
    <t>Prime te lidhura me kapitalin</t>
  </si>
  <si>
    <t>61-62    613</t>
  </si>
  <si>
    <t>633-638   632</t>
  </si>
  <si>
    <t>661-      667</t>
  </si>
  <si>
    <t>Gjoba, kamatvonesa</t>
  </si>
  <si>
    <t>Tarif uji</t>
  </si>
  <si>
    <t>Shitje materiale</t>
  </si>
  <si>
    <t>Shpenzime ushqimi punonjeseve</t>
  </si>
  <si>
    <t>Materiale kancelari etj</t>
  </si>
  <si>
    <t>Honorare</t>
  </si>
  <si>
    <t xml:space="preserve">Te tjera </t>
  </si>
  <si>
    <t>Shpenzime rroba pune per punonjesit</t>
  </si>
  <si>
    <t>VKNETO E AAM te shitura</t>
  </si>
  <si>
    <t>Te drejta dhe detyrime ndaj ortakeve/HUA</t>
  </si>
  <si>
    <t>Amortizim mjete transporti</t>
  </si>
  <si>
    <t>532-</t>
  </si>
  <si>
    <t>581-</t>
  </si>
  <si>
    <t>601-</t>
  </si>
  <si>
    <t>603-</t>
  </si>
  <si>
    <t>605-</t>
  </si>
  <si>
    <t>641-</t>
  </si>
  <si>
    <t>644-</t>
  </si>
  <si>
    <t>657-</t>
  </si>
  <si>
    <t>677-</t>
  </si>
  <si>
    <t>681-</t>
  </si>
  <si>
    <t>701-</t>
  </si>
  <si>
    <t>704-</t>
  </si>
  <si>
    <t>705-</t>
  </si>
  <si>
    <t>714-</t>
  </si>
  <si>
    <t>722-</t>
  </si>
  <si>
    <t>731-732</t>
  </si>
  <si>
    <t>767-</t>
  </si>
  <si>
    <t>777-</t>
  </si>
  <si>
    <t>KL6,KL7</t>
  </si>
  <si>
    <t>F,KL7-KL6,H</t>
  </si>
  <si>
    <t>TOTALI</t>
  </si>
  <si>
    <t>431-438</t>
  </si>
  <si>
    <t>444-</t>
  </si>
  <si>
    <t>Prodhimi i AAGJATA</t>
  </si>
  <si>
    <t>AAM ne proces</t>
  </si>
  <si>
    <t>Banka llog likujd. Ne leke TIRANA BANK BERAT</t>
  </si>
  <si>
    <t>Te tjera</t>
  </si>
  <si>
    <t>III</t>
  </si>
  <si>
    <t>LLOGARIA</t>
  </si>
  <si>
    <t>Destinuar per dividende</t>
  </si>
  <si>
    <t>Fitim nga kembimet valutore</t>
  </si>
  <si>
    <t>Humbje nga kembimet valutore</t>
  </si>
  <si>
    <t>Paradhenie per punonjesit</t>
  </si>
  <si>
    <t>Akciza</t>
  </si>
  <si>
    <t>Tatim ne burim</t>
  </si>
  <si>
    <t>Debitore te tjere kreditore te tjere</t>
  </si>
  <si>
    <t>Huate afatgjata</t>
  </si>
  <si>
    <t>Bonot e konvertueshme</t>
  </si>
  <si>
    <t>Huamarrje te tjera afatgjata</t>
  </si>
  <si>
    <t>Provizione afatgjata</t>
  </si>
  <si>
    <t>Kapitali</t>
  </si>
  <si>
    <t>Aksionet e pakices</t>
  </si>
  <si>
    <t>Kapitali i aksionareve te shoqerise meme</t>
  </si>
  <si>
    <t>Kapitali aksionar</t>
  </si>
  <si>
    <t>Primi i aksionit</t>
  </si>
  <si>
    <t>Njesite ose aksionet e thesarit</t>
  </si>
  <si>
    <t>Rezerva statusore</t>
  </si>
  <si>
    <t>Rezerva ligjore</t>
  </si>
  <si>
    <t>Rezerva te tjera</t>
  </si>
  <si>
    <t>Fitimet e pashperndara</t>
  </si>
  <si>
    <t>Fitimi humbja e vitit financiar</t>
  </si>
  <si>
    <t xml:space="preserve">                                            b)Në një pasqyre të pakonsoliduar</t>
  </si>
  <si>
    <t>Aktivet afatshkurtera</t>
  </si>
  <si>
    <t>Shitjet neto</t>
  </si>
  <si>
    <t>Te ardhura te tjera nga veprimtarite e shfrytezimit</t>
  </si>
  <si>
    <t>476-477</t>
  </si>
  <si>
    <t xml:space="preserve">              K R E D I</t>
  </si>
  <si>
    <t>Rritje/renie ne tepricen e inventarit</t>
  </si>
  <si>
    <t>Blerje e shoqerise se kontrolluar _ minus parate e arketuara</t>
  </si>
  <si>
    <t>Llogari/Kerkesa te arketueshme</t>
  </si>
  <si>
    <t>Llogari/Kerkesa te tjera te arketueshme</t>
  </si>
  <si>
    <t>Instrumenta te tjera borxhi</t>
  </si>
  <si>
    <t>Investime te tjera financiare</t>
  </si>
  <si>
    <t>Inventari</t>
  </si>
  <si>
    <t>Lende te para</t>
  </si>
  <si>
    <t xml:space="preserve"> Te behet ME FORMULE</t>
  </si>
  <si>
    <t>Prodhim ne proçes</t>
  </si>
  <si>
    <t xml:space="preserve">SHIKO NXJERJET JASHTE PERODRIMIT </t>
  </si>
  <si>
    <t>HYRJET DALJET E INVENATRIT</t>
  </si>
  <si>
    <t xml:space="preserve">Shpenzimet per interesa </t>
  </si>
  <si>
    <t>Produkte te gatshme</t>
  </si>
  <si>
    <t>Mallra per rishitje</t>
  </si>
  <si>
    <t>Parapagime per furnizime</t>
  </si>
  <si>
    <t>Aktive biologjike afatshkurtera</t>
  </si>
  <si>
    <t>Aktive afatshkurtera te mbajtura per shitje</t>
  </si>
  <si>
    <t>Parapagimet dhe shpenzimet e shtyra</t>
  </si>
  <si>
    <t>Aktivet afatgjata</t>
  </si>
  <si>
    <t>Investime financiare afatgjata</t>
  </si>
  <si>
    <t>Aksione dhe pjesemarrje te tjera ne njesi te kontrolliuara</t>
  </si>
  <si>
    <t>Aksione dhe investime te tjera ne pjesemarrje</t>
  </si>
  <si>
    <t>Aksione dhe letra te tjera me vlere</t>
  </si>
  <si>
    <t>Llogari/Kerkesa te arketushme afatgjata</t>
  </si>
  <si>
    <t>Aktive afatgjata materiale</t>
  </si>
  <si>
    <t>Toka</t>
  </si>
  <si>
    <t>Ndertesa</t>
  </si>
  <si>
    <t>Makineri dhe paisje</t>
  </si>
  <si>
    <t>Aktive biologjike afatgjata</t>
  </si>
  <si>
    <t>Aktive afatgjata jomateriale</t>
  </si>
  <si>
    <t>Emri i mire</t>
  </si>
  <si>
    <t>Shpenzimet e zhvillimit</t>
  </si>
  <si>
    <t>Aktive te tjera afatgjata jomateriale</t>
  </si>
  <si>
    <t>Kapitali aksionar i papaguar</t>
  </si>
  <si>
    <t>Huamarrjet</t>
  </si>
  <si>
    <t>Huate dhe obligacionet afatshkurtera</t>
  </si>
  <si>
    <t>Kthimet/Ripagesat e huave afatgjata</t>
  </si>
  <si>
    <t>Bono te konvertueshme</t>
  </si>
  <si>
    <t>Huate dhe parapagimet</t>
  </si>
  <si>
    <t>Te pagueshme ndaj furnitoreve</t>
  </si>
  <si>
    <t>Te pagueshme ndaj punonjesve</t>
  </si>
  <si>
    <t>Detyrime tatimore</t>
  </si>
  <si>
    <t>Hua te tjera</t>
  </si>
  <si>
    <t>Parapagime te arketuara</t>
  </si>
  <si>
    <t>Grandet dhe te ardhurat e shtyra</t>
  </si>
  <si>
    <t>Provizionet afatshkurtera</t>
  </si>
  <si>
    <t>Kontrolli i kuadrimit</t>
  </si>
  <si>
    <t>442/1</t>
  </si>
  <si>
    <t>418-419</t>
  </si>
  <si>
    <t>707-708</t>
  </si>
  <si>
    <t>752-754</t>
  </si>
  <si>
    <t>5121/1</t>
  </si>
  <si>
    <t>I</t>
  </si>
  <si>
    <t>II</t>
  </si>
  <si>
    <t>A</t>
  </si>
  <si>
    <t>B</t>
  </si>
  <si>
    <t xml:space="preserve">101-       </t>
  </si>
  <si>
    <t>104-105</t>
  </si>
  <si>
    <t>1061-</t>
  </si>
  <si>
    <t>Kapitali themeltar</t>
  </si>
  <si>
    <t>Rez.rivlerersimi</t>
  </si>
  <si>
    <t>Rezerver ligjore</t>
  </si>
  <si>
    <t>Rezeva te tjera</t>
  </si>
  <si>
    <t>Fitime te mbartura</t>
  </si>
  <si>
    <t>Fitimi ushtrimor</t>
  </si>
  <si>
    <t>Shpern  e fitimit</t>
  </si>
  <si>
    <t>Subvecione Aktive</t>
  </si>
  <si>
    <t>Shuma te parash. Per rreziqe</t>
  </si>
  <si>
    <t>Shuma te parash. Shpenz.</t>
  </si>
  <si>
    <t>AAGJ Jo materiale</t>
  </si>
  <si>
    <t>Makineri,paisje,</t>
  </si>
  <si>
    <t>Mjete transpori</t>
  </si>
  <si>
    <t>Mobilje orendi, paisje zyre</t>
  </si>
  <si>
    <t>Amortizimi i AAGJ jo materiale</t>
  </si>
  <si>
    <t>Amortizimi Makineri e Paisje</t>
  </si>
  <si>
    <t>Amortizimi Mjete Transporti</t>
  </si>
  <si>
    <t>Amortizimi Mobilje orendi P-Z</t>
  </si>
  <si>
    <t>Materiale te para</t>
  </si>
  <si>
    <t>Lende djegse</t>
  </si>
  <si>
    <t>Pjese nderrimi</t>
  </si>
  <si>
    <t>Materiale Ambalazhimi</t>
  </si>
  <si>
    <t>Materiale te tjera</t>
  </si>
  <si>
    <t xml:space="preserve">Inventar i imet </t>
  </si>
  <si>
    <t>Produkte te gateshme</t>
  </si>
  <si>
    <t>Mallra</t>
  </si>
  <si>
    <t xml:space="preserve">Konsumi i inventarit te imet </t>
  </si>
  <si>
    <t>Zhvleresim i inventareve</t>
  </si>
  <si>
    <t>Furnitore</t>
  </si>
  <si>
    <t>Furnitore per AAGJ</t>
  </si>
  <si>
    <t>Kliente</t>
  </si>
  <si>
    <t>Kliente pa faturuar (Pallatet)</t>
  </si>
  <si>
    <t>Amortizimi Ndertime</t>
  </si>
  <si>
    <t>Paga dhe shperblime</t>
  </si>
  <si>
    <t>Detyrime per sigurime shoqerore</t>
  </si>
  <si>
    <t>Tvsh</t>
  </si>
  <si>
    <t>Tatim te ardhura personale</t>
  </si>
  <si>
    <t>Tatime te shtyra</t>
  </si>
  <si>
    <t>4458; 448</t>
  </si>
  <si>
    <t>456-       457</t>
  </si>
  <si>
    <t>Dividente per tu paguar</t>
  </si>
  <si>
    <t xml:space="preserve">Diferenca konvertimi </t>
  </si>
  <si>
    <t>5121/2</t>
  </si>
  <si>
    <t>5121/3</t>
  </si>
  <si>
    <t>Banka llog likujd. Euro ne RZB</t>
  </si>
  <si>
    <t>Banka llog likujd. USD ne RZB</t>
  </si>
  <si>
    <t>Arka ne leke</t>
  </si>
  <si>
    <t>Arka ne EUR</t>
  </si>
  <si>
    <t>53141-</t>
  </si>
  <si>
    <t>Arka ne USD</t>
  </si>
  <si>
    <t>Vlera te tjera arke(Pulla tatimore)</t>
  </si>
  <si>
    <t>Xhirime te brendeshme</t>
  </si>
  <si>
    <t>161-         468</t>
  </si>
  <si>
    <t>Hua bankare Afatgjata)</t>
  </si>
  <si>
    <t>Interesi i huase Afatgjate</t>
  </si>
  <si>
    <t>Huammarje afatshkurtera</t>
  </si>
  <si>
    <t>ALPHA Bank Berat</t>
  </si>
  <si>
    <t xml:space="preserve">   Pagat</t>
  </si>
  <si>
    <t xml:space="preserve">   Shpenzimet e sigurimeve shoqerore dhe shendetsore</t>
  </si>
  <si>
    <t>Amortizimi dhe zhvleresimet</t>
  </si>
  <si>
    <t>Totali i shpenzimeve  (shuma 4-7)</t>
  </si>
  <si>
    <t>Fitimi apo humbja nga veprimtarite kryesore (1+2+/-3-8)</t>
  </si>
  <si>
    <t>12.1 Te ardhurat dhe shpenzimet financiare nga investime te tjera financiare afatgjata</t>
  </si>
  <si>
    <t>12.2 Te ardhurat dhe shpenzimet nga interesat</t>
  </si>
  <si>
    <t>12.3 Fitimet(humbjet) nga kursi i kembimit</t>
  </si>
  <si>
    <t>12.4 Te ardhurat dhe shpenzime te tjera financiare</t>
  </si>
  <si>
    <t>Totali i te ardhurave dhe shpenzimeve financiare (12.1+/-12.2 +/-12.3 +/-12.4)</t>
  </si>
  <si>
    <t>Fitimi (humbja) para tatimit (9+-13)</t>
  </si>
  <si>
    <t xml:space="preserve">Shpenzimet e tatimit mbi fitimin </t>
  </si>
  <si>
    <t>Fitimi (humbja) neto e vitit financiar (14-15)</t>
  </si>
  <si>
    <t>Elementet e pasqyrave te konsoliduara</t>
  </si>
  <si>
    <t>Ndryshim eksperti</t>
  </si>
  <si>
    <t>Fluksi monetar nga veprimtaritë e shfrytëzimit</t>
  </si>
  <si>
    <t>Te ardhura nga investimet (Vlera kontabel neto e AAM- çmimin e shitjes)</t>
  </si>
  <si>
    <t xml:space="preserve">Rritje/renie ne tepricen e kerkesave te arketueshme nga aktiviteti dhe e </t>
  </si>
  <si>
    <t>Mjete monetare te perfituara nga aktivitetet</t>
  </si>
  <si>
    <t>Tatimi mbi fitimin  i paguar</t>
  </si>
  <si>
    <t>Mjete monetare neto nga aktivitetet e shfrytëzimit</t>
  </si>
  <si>
    <t>Fluksi monetar nga veprimtaritë investuese</t>
  </si>
  <si>
    <t>Te ardhura nga shitja e paisjeve</t>
  </si>
  <si>
    <t>Fluksi monetar nga veprimtarite investuese</t>
  </si>
  <si>
    <t>Fluksi monetar nga veprimtaritë financiare</t>
  </si>
  <si>
    <t>Mjete monetare  neto e përdorur në aktivitete financiare</t>
  </si>
  <si>
    <t>Rritje/renie e parapagimeve dhe e shpenzimeve te shtyra</t>
  </si>
  <si>
    <t>Mjetet monetare në fillim të periudhës kontabël</t>
  </si>
  <si>
    <t>(i)</t>
  </si>
  <si>
    <t>(ii)</t>
  </si>
  <si>
    <t>(iii)</t>
  </si>
  <si>
    <t>(iv)</t>
  </si>
  <si>
    <t>(v)</t>
  </si>
  <si>
    <t>TOTALI I AKTIVEVE AFATSHKURTERA(I)</t>
  </si>
  <si>
    <t>Totali 2</t>
  </si>
  <si>
    <t>Totali 3</t>
  </si>
  <si>
    <t>Totali 4</t>
  </si>
  <si>
    <t>Totali 1</t>
  </si>
  <si>
    <t xml:space="preserve">           TOTALI I AKTIVEVE (I+II)</t>
  </si>
  <si>
    <t xml:space="preserve">Aktive te tjera afatgjata </t>
  </si>
  <si>
    <t>TOTALI I AKTIVEVE AFATGJATA (II)</t>
  </si>
  <si>
    <t>DETYRIMET DHE KAPITALI</t>
  </si>
  <si>
    <t>Detyrimet afatshkurtra</t>
  </si>
  <si>
    <t>TOTALI I DETYRIMEVE AFATSHKURTERA (I)</t>
  </si>
  <si>
    <t>DETYRIMET AFATGJATA</t>
  </si>
  <si>
    <t>TOTALI I DETYRIMEVE</t>
  </si>
  <si>
    <t>TOTALI I KAPITALIT (III)</t>
  </si>
  <si>
    <t>TOTALI I DETYRIMEVE AFATGJATA</t>
  </si>
  <si>
    <t>TOTALI I DETYRIMEVE DHE KAPITALIT(I,II,III)</t>
  </si>
  <si>
    <t>PASQYRA E FLUKSIT MONETAR - METODA DIREKTE</t>
  </si>
  <si>
    <t>Shpenzime per ERU</t>
  </si>
  <si>
    <t xml:space="preserve">Taksa lokale                            </t>
  </si>
  <si>
    <t>Paga per keshillin mbikqyres</t>
  </si>
  <si>
    <t>Gjobe sigurime shoqerore</t>
  </si>
  <si>
    <t xml:space="preserve"> Mirembajtje riparime</t>
  </si>
  <si>
    <t xml:space="preserve"> Sigurime</t>
  </si>
  <si>
    <t xml:space="preserve"> Personel jashte njesise</t>
  </si>
  <si>
    <t xml:space="preserve"> Reklame Publicitet</t>
  </si>
  <si>
    <t xml:space="preserve"> Udhetime e Dieta</t>
  </si>
  <si>
    <t>Amortizim ndertime        TE GJITHA</t>
  </si>
  <si>
    <t>Banka llog likujd. Ne leke Raifaissen Bank Berat Tegjitha</t>
  </si>
  <si>
    <t>Banka llog likujd. Ne leke RZB BERAT OVERDRAFT</t>
  </si>
  <si>
    <t>Banka llog likujd. Ne leke ALPHA Overdraft</t>
  </si>
  <si>
    <t xml:space="preserve">Debi </t>
  </si>
  <si>
    <t>305-</t>
  </si>
  <si>
    <t>Amortizim makineri, paisje, instalime teknike, vegla pune etj.</t>
  </si>
  <si>
    <t>Banka llog likujd. Ne leke nbg BERAT  overdraft</t>
  </si>
  <si>
    <t xml:space="preserve"> Te ardhura te tjera Te ardhura nga shitja AAM </t>
  </si>
  <si>
    <t>kesti viti 2009</t>
  </si>
  <si>
    <t>12x96666</t>
  </si>
  <si>
    <t>Banka llog likujd. Ne leke Banka popullore</t>
  </si>
  <si>
    <t>SADIKU SHPK</t>
  </si>
  <si>
    <t>Pozicioni më 31 Dhjetor 2009</t>
  </si>
  <si>
    <t>SHUMA 2010</t>
  </si>
  <si>
    <t>Pozicioni më 31 Dhjetor 2010</t>
  </si>
  <si>
    <t>BILANCI KONTABEL 31.12.2011</t>
  </si>
  <si>
    <t>Viti ushtrimor 2011</t>
  </si>
  <si>
    <t>SHUMA 2011</t>
  </si>
  <si>
    <t>PASQYRA E FLUKSIT TE PARASE 31.12.2011</t>
  </si>
  <si>
    <t>PASQYRA E TE ARDHURAVE DHE SHPENZIMEVE 31.12.2011</t>
  </si>
  <si>
    <t>PASQYRA  E NDRYSHIMEVE NE KAPITAL 31.12.2011</t>
  </si>
  <si>
    <t>Shuma 31.12.2011</t>
  </si>
  <si>
    <t>31.12.2011</t>
  </si>
  <si>
    <t>CELJE 01.01.2010</t>
  </si>
  <si>
    <t>OK</t>
  </si>
</sst>
</file>

<file path=xl/styles.xml><?xml version="1.0" encoding="utf-8"?>
<styleSheet xmlns="http://schemas.openxmlformats.org/spreadsheetml/2006/main">
  <numFmts count="6">
    <numFmt numFmtId="179" formatCode="_-* #,##0.00_-;\-* #,##0.00_-;_-* &quot;-&quot;??_-;_-@_-"/>
    <numFmt numFmtId="194" formatCode="#,##0;[Red]#,##0"/>
    <numFmt numFmtId="199" formatCode="#,##0.0_);\(#,##0.0\)"/>
    <numFmt numFmtId="201" formatCode="#,##0.0000;[Red]#,##0.0000"/>
    <numFmt numFmtId="205" formatCode="#,##0.0"/>
    <numFmt numFmtId="208" formatCode="_(* #,##0_);_(* \(#,##0\);_(* &quot;-&quot;??_);_(@_)"/>
  </numFmts>
  <fonts count="4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2"/>
      <name val="Courier New"/>
      <family val="3"/>
    </font>
    <font>
      <sz val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sz val="10"/>
      <color indexed="8"/>
      <name val="Arial"/>
      <family val="2"/>
    </font>
    <font>
      <b/>
      <u/>
      <sz val="8"/>
      <name val="Arial"/>
      <family val="2"/>
    </font>
    <font>
      <b/>
      <i/>
      <u/>
      <sz val="8"/>
      <name val="Arial"/>
      <family val="2"/>
    </font>
    <font>
      <b/>
      <sz val="8"/>
      <color indexed="62"/>
      <name val="Arial"/>
      <family val="2"/>
    </font>
    <font>
      <sz val="8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gray125">
        <fgColor indexed="9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9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502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12" fillId="0" borderId="0" xfId="0" applyFont="1"/>
    <xf numFmtId="0" fontId="11" fillId="0" borderId="0" xfId="0" applyFont="1" applyBorder="1"/>
    <xf numFmtId="194" fontId="11" fillId="0" borderId="0" xfId="0" applyNumberFormat="1" applyFont="1" applyBorder="1"/>
    <xf numFmtId="0" fontId="1" fillId="0" borderId="0" xfId="0" applyFont="1"/>
    <xf numFmtId="0" fontId="6" fillId="0" borderId="0" xfId="0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Fill="1"/>
    <xf numFmtId="0" fontId="16" fillId="0" borderId="0" xfId="0" applyFont="1" applyFill="1" applyBorder="1"/>
    <xf numFmtId="0" fontId="2" fillId="0" borderId="0" xfId="0" applyFont="1" applyBorder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14" fillId="0" borderId="0" xfId="0" applyFont="1" applyBorder="1"/>
    <xf numFmtId="3" fontId="0" fillId="0" borderId="0" xfId="0" applyNumberFormat="1"/>
    <xf numFmtId="0" fontId="18" fillId="0" borderId="0" xfId="0" applyFont="1"/>
    <xf numFmtId="0" fontId="18" fillId="0" borderId="1" xfId="0" applyFont="1" applyBorder="1"/>
    <xf numFmtId="0" fontId="18" fillId="0" borderId="0" xfId="0" applyFont="1" applyBorder="1"/>
    <xf numFmtId="0" fontId="18" fillId="0" borderId="0" xfId="0" applyFont="1" applyFill="1" applyBorder="1"/>
    <xf numFmtId="194" fontId="1" fillId="0" borderId="0" xfId="0" applyNumberFormat="1" applyFont="1"/>
    <xf numFmtId="0" fontId="2" fillId="0" borderId="2" xfId="0" applyFont="1" applyBorder="1"/>
    <xf numFmtId="3" fontId="22" fillId="2" borderId="3" xfId="0" applyNumberFormat="1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16" fillId="0" borderId="5" xfId="0" applyFont="1" applyBorder="1"/>
    <xf numFmtId="0" fontId="16" fillId="0" borderId="6" xfId="0" applyFont="1" applyBorder="1"/>
    <xf numFmtId="0" fontId="17" fillId="0" borderId="6" xfId="0" applyFont="1" applyBorder="1"/>
    <xf numFmtId="37" fontId="13" fillId="2" borderId="0" xfId="0" applyNumberFormat="1" applyFont="1" applyFill="1" applyBorder="1"/>
    <xf numFmtId="0" fontId="7" fillId="0" borderId="0" xfId="0" applyFont="1" applyBorder="1"/>
    <xf numFmtId="194" fontId="16" fillId="0" borderId="0" xfId="0" applyNumberFormat="1" applyFont="1" applyBorder="1"/>
    <xf numFmtId="3" fontId="14" fillId="2" borderId="3" xfId="0" applyNumberFormat="1" applyFont="1" applyFill="1" applyBorder="1"/>
    <xf numFmtId="3" fontId="3" fillId="2" borderId="3" xfId="0" applyNumberFormat="1" applyFont="1" applyFill="1" applyBorder="1"/>
    <xf numFmtId="3" fontId="14" fillId="2" borderId="7" xfId="0" applyNumberFormat="1" applyFont="1" applyFill="1" applyBorder="1"/>
    <xf numFmtId="3" fontId="14" fillId="2" borderId="1" xfId="0" applyNumberFormat="1" applyFont="1" applyFill="1" applyBorder="1"/>
    <xf numFmtId="0" fontId="3" fillId="0" borderId="6" xfId="0" applyFont="1" applyBorder="1"/>
    <xf numFmtId="3" fontId="16" fillId="0" borderId="0" xfId="0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3" fontId="12" fillId="2" borderId="0" xfId="0" applyNumberFormat="1" applyFont="1" applyFill="1" applyBorder="1"/>
    <xf numFmtId="3" fontId="13" fillId="2" borderId="0" xfId="0" applyNumberFormat="1" applyFont="1" applyFill="1" applyBorder="1"/>
    <xf numFmtId="3" fontId="21" fillId="2" borderId="0" xfId="0" applyNumberFormat="1" applyFont="1" applyFill="1" applyBorder="1"/>
    <xf numFmtId="3" fontId="21" fillId="2" borderId="0" xfId="0" applyNumberFormat="1" applyFont="1" applyFill="1" applyBorder="1" applyAlignment="1">
      <alignment horizontal="left" indent="1"/>
    </xf>
    <xf numFmtId="3" fontId="23" fillId="2" borderId="0" xfId="0" applyNumberFormat="1" applyFont="1" applyFill="1" applyBorder="1"/>
    <xf numFmtId="37" fontId="21" fillId="2" borderId="0" xfId="0" applyNumberFormat="1" applyFont="1" applyFill="1" applyBorder="1"/>
    <xf numFmtId="0" fontId="19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4" fillId="2" borderId="0" xfId="0" applyFont="1" applyFill="1" applyBorder="1"/>
    <xf numFmtId="37" fontId="14" fillId="0" borderId="0" xfId="0" applyNumberFormat="1" applyFont="1" applyBorder="1"/>
    <xf numFmtId="0" fontId="14" fillId="2" borderId="0" xfId="0" applyFont="1" applyFill="1" applyBorder="1" applyAlignment="1">
      <alignment horizontal="left" indent="2"/>
    </xf>
    <xf numFmtId="0" fontId="22" fillId="0" borderId="0" xfId="0" applyFont="1" applyFill="1" applyBorder="1" applyAlignment="1">
      <alignment horizontal="left"/>
    </xf>
    <xf numFmtId="37" fontId="22" fillId="0" borderId="0" xfId="0" applyNumberFormat="1" applyFont="1" applyBorder="1"/>
    <xf numFmtId="0" fontId="3" fillId="2" borderId="0" xfId="0" applyFont="1" applyFill="1" applyBorder="1"/>
    <xf numFmtId="37" fontId="14" fillId="0" borderId="0" xfId="0" applyNumberFormat="1" applyFont="1" applyFill="1" applyBorder="1"/>
    <xf numFmtId="37" fontId="22" fillId="0" borderId="0" xfId="0" applyNumberFormat="1" applyFont="1" applyFill="1" applyBorder="1"/>
    <xf numFmtId="37" fontId="16" fillId="0" borderId="0" xfId="0" applyNumberFormat="1" applyFont="1"/>
    <xf numFmtId="3" fontId="14" fillId="2" borderId="0" xfId="0" applyNumberFormat="1" applyFont="1" applyFill="1" applyBorder="1"/>
    <xf numFmtId="0" fontId="3" fillId="0" borderId="2" xfId="0" applyFont="1" applyBorder="1"/>
    <xf numFmtId="3" fontId="16" fillId="0" borderId="0" xfId="0" applyNumberFormat="1" applyFont="1"/>
    <xf numFmtId="194" fontId="1" fillId="0" borderId="0" xfId="0" applyNumberFormat="1" applyFont="1" applyFill="1" applyBorder="1"/>
    <xf numFmtId="0" fontId="15" fillId="0" borderId="0" xfId="0" applyFont="1"/>
    <xf numFmtId="0" fontId="0" fillId="0" borderId="0" xfId="0" applyAlignment="1">
      <alignment horizontal="center"/>
    </xf>
    <xf numFmtId="0" fontId="15" fillId="0" borderId="8" xfId="0" applyFont="1" applyBorder="1"/>
    <xf numFmtId="0" fontId="26" fillId="0" borderId="9" xfId="0" applyFont="1" applyBorder="1"/>
    <xf numFmtId="208" fontId="18" fillId="0" borderId="9" xfId="1" applyNumberFormat="1" applyFont="1" applyBorder="1" applyAlignment="1">
      <alignment horizontal="center"/>
    </xf>
    <xf numFmtId="208" fontId="18" fillId="0" borderId="10" xfId="1" applyNumberFormat="1" applyFont="1" applyBorder="1" applyAlignment="1">
      <alignment horizontal="center"/>
    </xf>
    <xf numFmtId="0" fontId="18" fillId="0" borderId="9" xfId="0" applyFont="1" applyBorder="1" applyAlignment="1">
      <alignment horizontal="left" indent="1"/>
    </xf>
    <xf numFmtId="208" fontId="18" fillId="0" borderId="9" xfId="1" applyNumberFormat="1" applyFont="1" applyFill="1" applyBorder="1" applyAlignment="1">
      <alignment horizontal="center"/>
    </xf>
    <xf numFmtId="0" fontId="18" fillId="0" borderId="9" xfId="0" applyFont="1" applyBorder="1"/>
    <xf numFmtId="208" fontId="27" fillId="3" borderId="11" xfId="1" applyNumberFormat="1" applyFont="1" applyFill="1" applyBorder="1" applyAlignment="1">
      <alignment horizontal="center"/>
    </xf>
    <xf numFmtId="208" fontId="16" fillId="0" borderId="0" xfId="0" applyNumberFormat="1" applyFont="1" applyBorder="1"/>
    <xf numFmtId="0" fontId="2" fillId="0" borderId="12" xfId="0" applyFont="1" applyBorder="1"/>
    <xf numFmtId="0" fontId="0" fillId="0" borderId="12" xfId="0" applyBorder="1"/>
    <xf numFmtId="0" fontId="18" fillId="0" borderId="9" xfId="0" applyFont="1" applyBorder="1" applyAlignment="1">
      <alignment horizontal="left" indent="2"/>
    </xf>
    <xf numFmtId="37" fontId="18" fillId="0" borderId="9" xfId="0" applyNumberFormat="1" applyFont="1" applyBorder="1"/>
    <xf numFmtId="37" fontId="18" fillId="0" borderId="0" xfId="0" applyNumberFormat="1" applyFont="1" applyBorder="1"/>
    <xf numFmtId="0" fontId="18" fillId="0" borderId="0" xfId="0" applyFont="1" applyBorder="1" applyAlignment="1">
      <alignment horizontal="left" indent="2"/>
    </xf>
    <xf numFmtId="3" fontId="18" fillId="0" borderId="0" xfId="0" applyNumberFormat="1" applyFont="1" applyBorder="1"/>
    <xf numFmtId="208" fontId="18" fillId="2" borderId="10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37" fontId="14" fillId="0" borderId="3" xfId="0" applyNumberFormat="1" applyFont="1" applyBorder="1"/>
    <xf numFmtId="0" fontId="3" fillId="4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37" fontId="2" fillId="0" borderId="0" xfId="0" applyNumberFormat="1" applyFont="1"/>
    <xf numFmtId="0" fontId="14" fillId="0" borderId="0" xfId="0" applyFont="1"/>
    <xf numFmtId="0" fontId="15" fillId="0" borderId="19" xfId="0" applyFont="1" applyBorder="1"/>
    <xf numFmtId="0" fontId="26" fillId="0" borderId="20" xfId="0" applyFont="1" applyBorder="1"/>
    <xf numFmtId="208" fontId="18" fillId="0" borderId="20" xfId="1" applyNumberFormat="1" applyFont="1" applyBorder="1" applyAlignment="1">
      <alignment horizontal="center"/>
    </xf>
    <xf numFmtId="208" fontId="18" fillId="0" borderId="21" xfId="1" applyNumberFormat="1" applyFont="1" applyBorder="1" applyAlignment="1">
      <alignment horizontal="center"/>
    </xf>
    <xf numFmtId="0" fontId="18" fillId="0" borderId="22" xfId="0" applyFont="1" applyBorder="1"/>
    <xf numFmtId="208" fontId="18" fillId="0" borderId="22" xfId="1" applyNumberFormat="1" applyFont="1" applyBorder="1" applyAlignment="1">
      <alignment horizontal="center"/>
    </xf>
    <xf numFmtId="0" fontId="15" fillId="0" borderId="23" xfId="0" applyFont="1" applyBorder="1"/>
    <xf numFmtId="208" fontId="18" fillId="0" borderId="24" xfId="1" applyNumberFormat="1" applyFont="1" applyBorder="1" applyAlignment="1">
      <alignment horizontal="center"/>
    </xf>
    <xf numFmtId="208" fontId="18" fillId="0" borderId="25" xfId="1" applyNumberFormat="1" applyFont="1" applyBorder="1" applyAlignment="1">
      <alignment horizontal="center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18" fillId="0" borderId="28" xfId="0" applyFont="1" applyBorder="1"/>
    <xf numFmtId="0" fontId="26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5" fillId="0" borderId="16" xfId="0" applyFont="1" applyBorder="1"/>
    <xf numFmtId="3" fontId="14" fillId="2" borderId="4" xfId="0" applyNumberFormat="1" applyFont="1" applyFill="1" applyBorder="1"/>
    <xf numFmtId="3" fontId="22" fillId="2" borderId="4" xfId="0" applyNumberFormat="1" applyFont="1" applyFill="1" applyBorder="1"/>
    <xf numFmtId="3" fontId="3" fillId="2" borderId="4" xfId="0" applyNumberFormat="1" applyFont="1" applyFill="1" applyBorder="1"/>
    <xf numFmtId="3" fontId="18" fillId="0" borderId="0" xfId="0" applyNumberFormat="1" applyFont="1" applyFill="1" applyBorder="1"/>
    <xf numFmtId="3" fontId="18" fillId="0" borderId="0" xfId="0" applyNumberFormat="1" applyFont="1"/>
    <xf numFmtId="0" fontId="14" fillId="2" borderId="31" xfId="0" applyFont="1" applyFill="1" applyBorder="1" applyAlignment="1"/>
    <xf numFmtId="0" fontId="22" fillId="2" borderId="31" xfId="0" applyFont="1" applyFill="1" applyBorder="1" applyAlignment="1"/>
    <xf numFmtId="0" fontId="3" fillId="2" borderId="31" xfId="0" applyFont="1" applyFill="1" applyBorder="1" applyAlignment="1"/>
    <xf numFmtId="0" fontId="14" fillId="2" borderId="32" xfId="0" applyFont="1" applyFill="1" applyBorder="1" applyAlignment="1"/>
    <xf numFmtId="37" fontId="14" fillId="2" borderId="3" xfId="0" applyNumberFormat="1" applyFont="1" applyFill="1" applyBorder="1"/>
    <xf numFmtId="37" fontId="16" fillId="5" borderId="0" xfId="0" applyNumberFormat="1" applyFont="1" applyFill="1" applyBorder="1"/>
    <xf numFmtId="0" fontId="1" fillId="0" borderId="0" xfId="0" applyFont="1" applyBorder="1"/>
    <xf numFmtId="208" fontId="1" fillId="0" borderId="0" xfId="0" applyNumberFormat="1" applyFont="1" applyBorder="1"/>
    <xf numFmtId="37" fontId="1" fillId="0" borderId="0" xfId="0" applyNumberFormat="1" applyFont="1"/>
    <xf numFmtId="0" fontId="18" fillId="0" borderId="33" xfId="0" applyFont="1" applyBorder="1"/>
    <xf numFmtId="37" fontId="18" fillId="0" borderId="33" xfId="0" applyNumberFormat="1" applyFont="1" applyBorder="1"/>
    <xf numFmtId="37" fontId="14" fillId="2" borderId="0" xfId="0" applyNumberFormat="1" applyFont="1" applyFill="1" applyBorder="1"/>
    <xf numFmtId="0" fontId="0" fillId="0" borderId="0" xfId="0" applyFont="1"/>
    <xf numFmtId="0" fontId="0" fillId="0" borderId="0" xfId="0" applyFont="1" applyFill="1" applyBorder="1"/>
    <xf numFmtId="0" fontId="10" fillId="0" borderId="0" xfId="0" applyFont="1" applyBorder="1"/>
    <xf numFmtId="0" fontId="9" fillId="0" borderId="0" xfId="0" applyFont="1" applyBorder="1"/>
    <xf numFmtId="194" fontId="9" fillId="0" borderId="0" xfId="0" applyNumberFormat="1" applyFont="1" applyBorder="1"/>
    <xf numFmtId="194" fontId="1" fillId="0" borderId="0" xfId="0" applyNumberFormat="1" applyFont="1" applyBorder="1"/>
    <xf numFmtId="0" fontId="4" fillId="0" borderId="0" xfId="0" applyFont="1" applyBorder="1"/>
    <xf numFmtId="0" fontId="12" fillId="0" borderId="0" xfId="0" applyFont="1" applyFill="1" applyBorder="1"/>
    <xf numFmtId="199" fontId="16" fillId="0" borderId="0" xfId="0" applyNumberFormat="1" applyFont="1" applyBorder="1"/>
    <xf numFmtId="199" fontId="14" fillId="0" borderId="0" xfId="0" applyNumberFormat="1" applyFont="1" applyBorder="1"/>
    <xf numFmtId="194" fontId="16" fillId="0" borderId="0" xfId="0" applyNumberFormat="1" applyFont="1"/>
    <xf numFmtId="194" fontId="7" fillId="0" borderId="0" xfId="0" applyNumberFormat="1" applyFont="1" applyBorder="1"/>
    <xf numFmtId="0" fontId="16" fillId="6" borderId="0" xfId="0" applyFont="1" applyFill="1" applyBorder="1"/>
    <xf numFmtId="3" fontId="7" fillId="0" borderId="0" xfId="0" applyNumberFormat="1" applyFont="1" applyBorder="1"/>
    <xf numFmtId="37" fontId="12" fillId="0" borderId="0" xfId="0" applyNumberFormat="1" applyFont="1"/>
    <xf numFmtId="37" fontId="14" fillId="0" borderId="34" xfId="0" applyNumberFormat="1" applyFont="1" applyBorder="1"/>
    <xf numFmtId="37" fontId="14" fillId="0" borderId="7" xfId="0" applyNumberFormat="1" applyFont="1" applyBorder="1"/>
    <xf numFmtId="37" fontId="14" fillId="0" borderId="35" xfId="0" applyNumberFormat="1" applyFont="1" applyBorder="1"/>
    <xf numFmtId="194" fontId="4" fillId="7" borderId="2" xfId="0" applyNumberFormat="1" applyFont="1" applyFill="1" applyBorder="1"/>
    <xf numFmtId="0" fontId="7" fillId="0" borderId="36" xfId="0" applyFont="1" applyBorder="1"/>
    <xf numFmtId="0" fontId="8" fillId="0" borderId="36" xfId="0" applyFont="1" applyBorder="1"/>
    <xf numFmtId="0" fontId="16" fillId="0" borderId="36" xfId="0" applyFont="1" applyBorder="1"/>
    <xf numFmtId="0" fontId="1" fillId="0" borderId="37" xfId="0" applyFont="1" applyBorder="1"/>
    <xf numFmtId="0" fontId="1" fillId="0" borderId="2" xfId="0" applyFont="1" applyBorder="1"/>
    <xf numFmtId="205" fontId="22" fillId="0" borderId="17" xfId="0" applyNumberFormat="1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2" borderId="39" xfId="0" applyFont="1" applyFill="1" applyBorder="1" applyAlignment="1"/>
    <xf numFmtId="0" fontId="1" fillId="0" borderId="40" xfId="0" applyFont="1" applyBorder="1"/>
    <xf numFmtId="194" fontId="1" fillId="2" borderId="3" xfId="0" applyNumberFormat="1" applyFont="1" applyFill="1" applyBorder="1"/>
    <xf numFmtId="3" fontId="14" fillId="2" borderId="41" xfId="0" applyNumberFormat="1" applyFont="1" applyFill="1" applyBorder="1"/>
    <xf numFmtId="37" fontId="18" fillId="0" borderId="3" xfId="0" applyNumberFormat="1" applyFont="1" applyBorder="1" applyAlignment="1">
      <alignment horizontal="left" indent="2"/>
    </xf>
    <xf numFmtId="37" fontId="14" fillId="2" borderId="41" xfId="0" applyNumberFormat="1" applyFont="1" applyFill="1" applyBorder="1"/>
    <xf numFmtId="37" fontId="14" fillId="2" borderId="7" xfId="0" applyNumberFormat="1" applyFont="1" applyFill="1" applyBorder="1"/>
    <xf numFmtId="37" fontId="16" fillId="0" borderId="0" xfId="0" applyNumberFormat="1" applyFont="1" applyBorder="1"/>
    <xf numFmtId="3" fontId="16" fillId="6" borderId="0" xfId="0" applyNumberFormat="1" applyFont="1" applyFill="1" applyBorder="1"/>
    <xf numFmtId="37" fontId="16" fillId="6" borderId="0" xfId="0" applyNumberFormat="1" applyFont="1" applyFill="1" applyBorder="1"/>
    <xf numFmtId="0" fontId="16" fillId="2" borderId="0" xfId="0" applyFont="1" applyFill="1"/>
    <xf numFmtId="0" fontId="1" fillId="2" borderId="0" xfId="0" applyFont="1" applyFill="1"/>
    <xf numFmtId="194" fontId="12" fillId="2" borderId="0" xfId="0" applyNumberFormat="1" applyFont="1" applyFill="1"/>
    <xf numFmtId="0" fontId="16" fillId="2" borderId="0" xfId="0" applyFont="1" applyFill="1" applyBorder="1"/>
    <xf numFmtId="194" fontId="12" fillId="2" borderId="0" xfId="0" applyNumberFormat="1" applyFont="1" applyFill="1" applyBorder="1"/>
    <xf numFmtId="0" fontId="12" fillId="2" borderId="0" xfId="0" applyFont="1" applyFill="1"/>
    <xf numFmtId="194" fontId="16" fillId="2" borderId="0" xfId="0" applyNumberFormat="1" applyFont="1" applyFill="1" applyBorder="1"/>
    <xf numFmtId="0" fontId="12" fillId="2" borderId="0" xfId="0" applyFont="1" applyFill="1" applyBorder="1"/>
    <xf numFmtId="3" fontId="16" fillId="2" borderId="0" xfId="0" applyNumberFormat="1" applyFont="1" applyFill="1" applyBorder="1"/>
    <xf numFmtId="4" fontId="16" fillId="2" borderId="0" xfId="0" applyNumberFormat="1" applyFont="1" applyFill="1" applyBorder="1"/>
    <xf numFmtId="0" fontId="2" fillId="2" borderId="0" xfId="0" applyFont="1" applyFill="1" applyBorder="1"/>
    <xf numFmtId="0" fontId="16" fillId="2" borderId="0" xfId="0" applyFont="1" applyFill="1" applyBorder="1" applyAlignment="1">
      <alignment horizontal="center"/>
    </xf>
    <xf numFmtId="0" fontId="12" fillId="0" borderId="0" xfId="0" applyFont="1" applyBorder="1"/>
    <xf numFmtId="3" fontId="1" fillId="2" borderId="0" xfId="0" applyNumberFormat="1" applyFont="1" applyFill="1" applyBorder="1"/>
    <xf numFmtId="0" fontId="1" fillId="2" borderId="0" xfId="0" applyFont="1" applyFill="1" applyBorder="1"/>
    <xf numFmtId="3" fontId="1" fillId="2" borderId="0" xfId="0" applyNumberFormat="1" applyFont="1" applyFill="1"/>
    <xf numFmtId="4" fontId="1" fillId="2" borderId="0" xfId="0" applyNumberFormat="1" applyFont="1" applyFill="1" applyBorder="1"/>
    <xf numFmtId="0" fontId="16" fillId="5" borderId="0" xfId="0" applyFont="1" applyFill="1" applyBorder="1"/>
    <xf numFmtId="0" fontId="16" fillId="8" borderId="0" xfId="0" applyFont="1" applyFill="1" applyBorder="1"/>
    <xf numFmtId="3" fontId="12" fillId="2" borderId="0" xfId="0" applyNumberFormat="1" applyFont="1" applyFill="1"/>
    <xf numFmtId="3" fontId="16" fillId="2" borderId="0" xfId="0" applyNumberFormat="1" applyFont="1" applyFill="1"/>
    <xf numFmtId="194" fontId="31" fillId="2" borderId="0" xfId="0" applyNumberFormat="1" applyFont="1" applyFill="1" applyBorder="1"/>
    <xf numFmtId="3" fontId="1" fillId="0" borderId="0" xfId="0" applyNumberFormat="1" applyFont="1"/>
    <xf numFmtId="194" fontId="8" fillId="0" borderId="36" xfId="0" applyNumberFormat="1" applyFont="1" applyBorder="1"/>
    <xf numFmtId="37" fontId="18" fillId="9" borderId="0" xfId="0" applyNumberFormat="1" applyFont="1" applyFill="1" applyBorder="1"/>
    <xf numFmtId="0" fontId="18" fillId="0" borderId="0" xfId="0" applyFont="1" applyFill="1"/>
    <xf numFmtId="194" fontId="18" fillId="0" borderId="0" xfId="0" applyNumberFormat="1" applyFont="1" applyFill="1"/>
    <xf numFmtId="194" fontId="18" fillId="0" borderId="0" xfId="0" applyNumberFormat="1" applyFont="1" applyFill="1" applyBorder="1"/>
    <xf numFmtId="0" fontId="26" fillId="0" borderId="0" xfId="0" applyFont="1" applyFill="1" applyBorder="1"/>
    <xf numFmtId="3" fontId="26" fillId="0" borderId="0" xfId="0" applyNumberFormat="1" applyFont="1" applyFill="1" applyBorder="1"/>
    <xf numFmtId="194" fontId="26" fillId="0" borderId="0" xfId="0" applyNumberFormat="1" applyFont="1" applyFill="1" applyBorder="1"/>
    <xf numFmtId="0" fontId="18" fillId="0" borderId="42" xfId="0" applyFont="1" applyFill="1" applyBorder="1"/>
    <xf numFmtId="0" fontId="26" fillId="0" borderId="42" xfId="0" applyFont="1" applyFill="1" applyBorder="1"/>
    <xf numFmtId="0" fontId="18" fillId="2" borderId="43" xfId="0" applyFont="1" applyFill="1" applyBorder="1"/>
    <xf numFmtId="0" fontId="18" fillId="2" borderId="44" xfId="0" applyFont="1" applyFill="1" applyBorder="1"/>
    <xf numFmtId="0" fontId="26" fillId="2" borderId="45" xfId="0" applyFont="1" applyFill="1" applyBorder="1"/>
    <xf numFmtId="0" fontId="26" fillId="2" borderId="22" xfId="0" applyFont="1" applyFill="1" applyBorder="1"/>
    <xf numFmtId="0" fontId="26" fillId="2" borderId="46" xfId="0" applyFont="1" applyFill="1" applyBorder="1"/>
    <xf numFmtId="0" fontId="18" fillId="2" borderId="0" xfId="0" applyFont="1" applyFill="1"/>
    <xf numFmtId="0" fontId="18" fillId="2" borderId="47" xfId="0" applyFont="1" applyFill="1" applyBorder="1"/>
    <xf numFmtId="0" fontId="26" fillId="2" borderId="6" xfId="0" applyFont="1" applyFill="1" applyBorder="1"/>
    <xf numFmtId="0" fontId="18" fillId="2" borderId="6" xfId="0" applyFont="1" applyFill="1" applyBorder="1"/>
    <xf numFmtId="0" fontId="18" fillId="2" borderId="48" xfId="0" applyFont="1" applyFill="1" applyBorder="1"/>
    <xf numFmtId="0" fontId="18" fillId="2" borderId="49" xfId="0" applyFont="1" applyFill="1" applyBorder="1"/>
    <xf numFmtId="0" fontId="18" fillId="0" borderId="14" xfId="0" applyFont="1" applyFill="1" applyBorder="1"/>
    <xf numFmtId="0" fontId="18" fillId="0" borderId="50" xfId="0" applyFont="1" applyBorder="1"/>
    <xf numFmtId="0" fontId="26" fillId="2" borderId="51" xfId="0" applyFont="1" applyFill="1" applyBorder="1" applyAlignment="1">
      <alignment horizontal="center"/>
    </xf>
    <xf numFmtId="0" fontId="26" fillId="2" borderId="52" xfId="0" applyFont="1" applyFill="1" applyBorder="1" applyAlignment="1">
      <alignment horizontal="center"/>
    </xf>
    <xf numFmtId="0" fontId="26" fillId="2" borderId="53" xfId="0" applyFont="1" applyFill="1" applyBorder="1"/>
    <xf numFmtId="0" fontId="18" fillId="0" borderId="3" xfId="0" applyFont="1" applyFill="1" applyBorder="1"/>
    <xf numFmtId="0" fontId="18" fillId="0" borderId="31" xfId="0" applyFont="1" applyBorder="1"/>
    <xf numFmtId="0" fontId="18" fillId="2" borderId="54" xfId="0" applyFont="1" applyFill="1" applyBorder="1"/>
    <xf numFmtId="194" fontId="18" fillId="2" borderId="55" xfId="0" applyNumberFormat="1" applyFont="1" applyFill="1" applyBorder="1"/>
    <xf numFmtId="194" fontId="18" fillId="2" borderId="3" xfId="0" applyNumberFormat="1" applyFont="1" applyFill="1" applyBorder="1"/>
    <xf numFmtId="194" fontId="18" fillId="2" borderId="31" xfId="0" applyNumberFormat="1" applyFont="1" applyFill="1" applyBorder="1"/>
    <xf numFmtId="194" fontId="18" fillId="10" borderId="56" xfId="0" applyNumberFormat="1" applyFont="1" applyFill="1" applyBorder="1"/>
    <xf numFmtId="194" fontId="18" fillId="2" borderId="57" xfId="0" applyNumberFormat="1" applyFont="1" applyFill="1" applyBorder="1"/>
    <xf numFmtId="194" fontId="18" fillId="2" borderId="0" xfId="0" applyNumberFormat="1" applyFont="1" applyFill="1"/>
    <xf numFmtId="194" fontId="18" fillId="2" borderId="54" xfId="0" applyNumberFormat="1" applyFont="1" applyFill="1" applyBorder="1"/>
    <xf numFmtId="194" fontId="18" fillId="2" borderId="56" xfId="0" applyNumberFormat="1" applyFont="1" applyFill="1" applyBorder="1"/>
    <xf numFmtId="194" fontId="18" fillId="10" borderId="58" xfId="0" applyNumberFormat="1" applyFont="1" applyFill="1" applyBorder="1"/>
    <xf numFmtId="194" fontId="18" fillId="2" borderId="59" xfId="0" applyNumberFormat="1" applyFont="1" applyFill="1" applyBorder="1"/>
    <xf numFmtId="194" fontId="18" fillId="9" borderId="58" xfId="0" applyNumberFormat="1" applyFont="1" applyFill="1" applyBorder="1"/>
    <xf numFmtId="194" fontId="18" fillId="0" borderId="3" xfId="0" applyNumberFormat="1" applyFont="1" applyFill="1" applyBorder="1"/>
    <xf numFmtId="194" fontId="18" fillId="0" borderId="31" xfId="0" applyNumberFormat="1" applyFont="1" applyBorder="1"/>
    <xf numFmtId="0" fontId="18" fillId="2" borderId="60" xfId="0" applyFont="1" applyFill="1" applyBorder="1"/>
    <xf numFmtId="3" fontId="18" fillId="10" borderId="58" xfId="0" applyNumberFormat="1" applyFont="1" applyFill="1" applyBorder="1"/>
    <xf numFmtId="3" fontId="18" fillId="2" borderId="3" xfId="0" applyNumberFormat="1" applyFont="1" applyFill="1" applyBorder="1"/>
    <xf numFmtId="194" fontId="18" fillId="8" borderId="54" xfId="0" applyNumberFormat="1" applyFont="1" applyFill="1" applyBorder="1"/>
    <xf numFmtId="194" fontId="18" fillId="8" borderId="56" xfId="0" applyNumberFormat="1" applyFont="1" applyFill="1" applyBorder="1"/>
    <xf numFmtId="194" fontId="18" fillId="0" borderId="56" xfId="0" applyNumberFormat="1" applyFont="1" applyFill="1" applyBorder="1"/>
    <xf numFmtId="3" fontId="18" fillId="8" borderId="58" xfId="0" applyNumberFormat="1" applyFont="1" applyFill="1" applyBorder="1"/>
    <xf numFmtId="3" fontId="18" fillId="8" borderId="3" xfId="0" applyNumberFormat="1" applyFont="1" applyFill="1" applyBorder="1"/>
    <xf numFmtId="194" fontId="18" fillId="8" borderId="3" xfId="0" applyNumberFormat="1" applyFont="1" applyFill="1" applyBorder="1"/>
    <xf numFmtId="194" fontId="18" fillId="2" borderId="58" xfId="0" applyNumberFormat="1" applyFont="1" applyFill="1" applyBorder="1"/>
    <xf numFmtId="194" fontId="18" fillId="10" borderId="59" xfId="0" applyNumberFormat="1" applyFont="1" applyFill="1" applyBorder="1"/>
    <xf numFmtId="194" fontId="18" fillId="11" borderId="56" xfId="0" applyNumberFormat="1" applyFont="1" applyFill="1" applyBorder="1"/>
    <xf numFmtId="0" fontId="18" fillId="2" borderId="3" xfId="0" applyFont="1" applyFill="1" applyBorder="1"/>
    <xf numFmtId="3" fontId="18" fillId="2" borderId="56" xfId="0" applyNumberFormat="1" applyFont="1" applyFill="1" applyBorder="1"/>
    <xf numFmtId="194" fontId="18" fillId="8" borderId="58" xfId="0" applyNumberFormat="1" applyFont="1" applyFill="1" applyBorder="1"/>
    <xf numFmtId="194" fontId="18" fillId="12" borderId="58" xfId="0" applyNumberFormat="1" applyFont="1" applyFill="1" applyBorder="1"/>
    <xf numFmtId="194" fontId="18" fillId="0" borderId="58" xfId="0" applyNumberFormat="1" applyFont="1" applyFill="1" applyBorder="1"/>
    <xf numFmtId="3" fontId="18" fillId="2" borderId="55" xfId="0" applyNumberFormat="1" applyFont="1" applyFill="1" applyBorder="1"/>
    <xf numFmtId="194" fontId="18" fillId="5" borderId="55" xfId="0" applyNumberFormat="1" applyFont="1" applyFill="1" applyBorder="1"/>
    <xf numFmtId="194" fontId="18" fillId="5" borderId="58" xfId="0" applyNumberFormat="1" applyFont="1" applyFill="1" applyBorder="1"/>
    <xf numFmtId="0" fontId="18" fillId="2" borderId="57" xfId="0" applyFont="1" applyFill="1" applyBorder="1"/>
    <xf numFmtId="0" fontId="18" fillId="2" borderId="60" xfId="0" applyFont="1" applyFill="1" applyBorder="1" applyAlignment="1">
      <alignment horizontal="left" indent="10"/>
    </xf>
    <xf numFmtId="0" fontId="18" fillId="2" borderId="61" xfId="0" applyFont="1" applyFill="1" applyBorder="1"/>
    <xf numFmtId="194" fontId="18" fillId="2" borderId="0" xfId="0" applyNumberFormat="1" applyFont="1" applyFill="1" applyBorder="1"/>
    <xf numFmtId="0" fontId="18" fillId="8" borderId="3" xfId="0" applyFont="1" applyFill="1" applyBorder="1"/>
    <xf numFmtId="194" fontId="18" fillId="8" borderId="57" xfId="0" applyNumberFormat="1" applyFont="1" applyFill="1" applyBorder="1"/>
    <xf numFmtId="0" fontId="18" fillId="2" borderId="62" xfId="0" applyFont="1" applyFill="1" applyBorder="1"/>
    <xf numFmtId="194" fontId="18" fillId="8" borderId="55" xfId="0" applyNumberFormat="1" applyFont="1" applyFill="1" applyBorder="1"/>
    <xf numFmtId="194" fontId="18" fillId="8" borderId="5" xfId="0" applyNumberFormat="1" applyFont="1" applyFill="1" applyBorder="1"/>
    <xf numFmtId="3" fontId="18" fillId="8" borderId="5" xfId="0" applyNumberFormat="1" applyFont="1" applyFill="1" applyBorder="1"/>
    <xf numFmtId="194" fontId="18" fillId="2" borderId="62" xfId="0" applyNumberFormat="1" applyFont="1" applyFill="1" applyBorder="1"/>
    <xf numFmtId="0" fontId="18" fillId="2" borderId="63" xfId="0" applyFont="1" applyFill="1" applyBorder="1"/>
    <xf numFmtId="194" fontId="18" fillId="2" borderId="64" xfId="0" applyNumberFormat="1" applyFont="1" applyFill="1" applyBorder="1"/>
    <xf numFmtId="194" fontId="18" fillId="2" borderId="63" xfId="0" applyNumberFormat="1" applyFont="1" applyFill="1" applyBorder="1"/>
    <xf numFmtId="194" fontId="18" fillId="2" borderId="36" xfId="0" applyNumberFormat="1" applyFont="1" applyFill="1" applyBorder="1"/>
    <xf numFmtId="0" fontId="18" fillId="2" borderId="65" xfId="0" applyFont="1" applyFill="1" applyBorder="1"/>
    <xf numFmtId="194" fontId="18" fillId="2" borderId="66" xfId="0" applyNumberFormat="1" applyFont="1" applyFill="1" applyBorder="1"/>
    <xf numFmtId="194" fontId="18" fillId="2" borderId="67" xfId="0" applyNumberFormat="1" applyFont="1" applyFill="1" applyBorder="1"/>
    <xf numFmtId="194" fontId="18" fillId="2" borderId="68" xfId="0" applyNumberFormat="1" applyFont="1" applyFill="1" applyBorder="1"/>
    <xf numFmtId="194" fontId="18" fillId="2" borderId="65" xfId="0" applyNumberFormat="1" applyFont="1" applyFill="1" applyBorder="1"/>
    <xf numFmtId="194" fontId="18" fillId="2" borderId="69" xfId="0" applyNumberFormat="1" applyFont="1" applyFill="1" applyBorder="1"/>
    <xf numFmtId="194" fontId="26" fillId="2" borderId="59" xfId="0" applyNumberFormat="1" applyFont="1" applyFill="1" applyBorder="1"/>
    <xf numFmtId="194" fontId="26" fillId="2" borderId="7" xfId="0" applyNumberFormat="1" applyFont="1" applyFill="1" applyBorder="1"/>
    <xf numFmtId="194" fontId="18" fillId="0" borderId="7" xfId="0" applyNumberFormat="1" applyFont="1" applyFill="1" applyBorder="1"/>
    <xf numFmtId="194" fontId="18" fillId="0" borderId="32" xfId="0" applyNumberFormat="1" applyFont="1" applyBorder="1"/>
    <xf numFmtId="3" fontId="18" fillId="2" borderId="0" xfId="0" applyNumberFormat="1" applyFont="1" applyFill="1" applyBorder="1"/>
    <xf numFmtId="201" fontId="18" fillId="2" borderId="0" xfId="0" applyNumberFormat="1" applyFont="1" applyFill="1" applyBorder="1"/>
    <xf numFmtId="0" fontId="18" fillId="0" borderId="56" xfId="0" applyFont="1" applyFill="1" applyBorder="1"/>
    <xf numFmtId="37" fontId="18" fillId="0" borderId="0" xfId="0" applyNumberFormat="1" applyFont="1"/>
    <xf numFmtId="0" fontId="18" fillId="0" borderId="3" xfId="0" applyFont="1" applyBorder="1"/>
    <xf numFmtId="0" fontId="18" fillId="0" borderId="34" xfId="0" applyFont="1" applyBorder="1"/>
    <xf numFmtId="3" fontId="18" fillId="0" borderId="2" xfId="0" applyNumberFormat="1" applyFont="1" applyBorder="1"/>
    <xf numFmtId="0" fontId="18" fillId="0" borderId="7" xfId="0" applyFont="1" applyBorder="1"/>
    <xf numFmtId="37" fontId="32" fillId="2" borderId="0" xfId="0" applyNumberFormat="1" applyFont="1" applyFill="1" applyBorder="1"/>
    <xf numFmtId="0" fontId="26" fillId="0" borderId="0" xfId="0" applyFont="1"/>
    <xf numFmtId="37" fontId="18" fillId="2" borderId="0" xfId="0" applyNumberFormat="1" applyFont="1" applyFill="1"/>
    <xf numFmtId="0" fontId="33" fillId="0" borderId="0" xfId="0" applyFont="1"/>
    <xf numFmtId="0" fontId="26" fillId="13" borderId="15" xfId="0" applyFont="1" applyFill="1" applyBorder="1" applyAlignment="1">
      <alignment horizontal="center"/>
    </xf>
    <xf numFmtId="0" fontId="26" fillId="2" borderId="16" xfId="0" applyFont="1" applyFill="1" applyBorder="1" applyAlignment="1">
      <alignment horizontal="center"/>
    </xf>
    <xf numFmtId="0" fontId="18" fillId="2" borderId="1" xfId="0" applyFont="1" applyFill="1" applyBorder="1"/>
    <xf numFmtId="0" fontId="26" fillId="2" borderId="17" xfId="0" applyFont="1" applyFill="1" applyBorder="1" applyAlignment="1">
      <alignment horizontal="center"/>
    </xf>
    <xf numFmtId="37" fontId="18" fillId="2" borderId="3" xfId="0" applyNumberFormat="1" applyFont="1" applyFill="1" applyBorder="1"/>
    <xf numFmtId="0" fontId="26" fillId="2" borderId="38" xfId="0" applyFont="1" applyFill="1" applyBorder="1" applyAlignment="1">
      <alignment horizontal="center"/>
    </xf>
    <xf numFmtId="0" fontId="18" fillId="0" borderId="41" xfId="0" applyFont="1" applyBorder="1"/>
    <xf numFmtId="3" fontId="18" fillId="2" borderId="0" xfId="0" applyNumberFormat="1" applyFont="1" applyFill="1"/>
    <xf numFmtId="0" fontId="26" fillId="4" borderId="17" xfId="0" applyFont="1" applyFill="1" applyBorder="1" applyAlignment="1">
      <alignment horizontal="center"/>
    </xf>
    <xf numFmtId="0" fontId="26" fillId="2" borderId="18" xfId="0" applyFont="1" applyFill="1" applyBorder="1" applyAlignment="1">
      <alignment horizontal="center"/>
    </xf>
    <xf numFmtId="37" fontId="26" fillId="2" borderId="0" xfId="0" applyNumberFormat="1" applyFont="1" applyFill="1"/>
    <xf numFmtId="37" fontId="26" fillId="0" borderId="0" xfId="0" applyNumberFormat="1" applyFont="1"/>
    <xf numFmtId="0" fontId="3" fillId="2" borderId="6" xfId="0" applyFont="1" applyFill="1" applyBorder="1" applyAlignment="1">
      <alignment horizontal="left"/>
    </xf>
    <xf numFmtId="37" fontId="14" fillId="0" borderId="0" xfId="0" applyNumberFormat="1" applyFont="1"/>
    <xf numFmtId="0" fontId="3" fillId="0" borderId="22" xfId="0" applyFont="1" applyBorder="1"/>
    <xf numFmtId="0" fontId="3" fillId="2" borderId="2" xfId="0" applyFont="1" applyFill="1" applyBorder="1" applyAlignment="1">
      <alignment horizontal="left"/>
    </xf>
    <xf numFmtId="3" fontId="3" fillId="2" borderId="0" xfId="0" applyNumberFormat="1" applyFont="1" applyFill="1" applyBorder="1"/>
    <xf numFmtId="3" fontId="22" fillId="2" borderId="0" xfId="0" applyNumberFormat="1" applyFont="1" applyFill="1" applyBorder="1"/>
    <xf numFmtId="3" fontId="22" fillId="2" borderId="0" xfId="0" applyNumberFormat="1" applyFont="1" applyFill="1" applyBorder="1" applyAlignment="1">
      <alignment horizontal="left" indent="1"/>
    </xf>
    <xf numFmtId="0" fontId="14" fillId="0" borderId="70" xfId="0" applyFont="1" applyBorder="1"/>
    <xf numFmtId="0" fontId="14" fillId="0" borderId="8" xfId="0" applyFont="1" applyBorder="1"/>
    <xf numFmtId="0" fontId="14" fillId="0" borderId="71" xfId="0" applyFont="1" applyBorder="1"/>
    <xf numFmtId="3" fontId="30" fillId="2" borderId="0" xfId="0" applyNumberFormat="1" applyFont="1" applyFill="1" applyBorder="1"/>
    <xf numFmtId="3" fontId="14" fillId="0" borderId="0" xfId="0" applyNumberFormat="1" applyFont="1"/>
    <xf numFmtId="37" fontId="22" fillId="2" borderId="0" xfId="0" applyNumberFormat="1" applyFont="1" applyFill="1" applyBorder="1"/>
    <xf numFmtId="37" fontId="3" fillId="2" borderId="0" xfId="0" applyNumberFormat="1" applyFont="1" applyFill="1" applyBorder="1"/>
    <xf numFmtId="0" fontId="20" fillId="0" borderId="24" xfId="0" applyFont="1" applyBorder="1"/>
    <xf numFmtId="0" fontId="20" fillId="0" borderId="9" xfId="0" applyFont="1" applyBorder="1"/>
    <xf numFmtId="0" fontId="20" fillId="0" borderId="20" xfId="0" applyFont="1" applyBorder="1"/>
    <xf numFmtId="3" fontId="20" fillId="2" borderId="3" xfId="0" applyNumberFormat="1" applyFont="1" applyFill="1" applyBorder="1"/>
    <xf numFmtId="0" fontId="20" fillId="2" borderId="72" xfId="0" applyFont="1" applyFill="1" applyBorder="1" applyAlignment="1">
      <alignment horizontal="center"/>
    </xf>
    <xf numFmtId="0" fontId="18" fillId="14" borderId="3" xfId="0" applyFont="1" applyFill="1" applyBorder="1"/>
    <xf numFmtId="0" fontId="18" fillId="0" borderId="73" xfId="0" applyFont="1" applyBorder="1"/>
    <xf numFmtId="194" fontId="18" fillId="14" borderId="58" xfId="0" applyNumberFormat="1" applyFont="1" applyFill="1" applyBorder="1"/>
    <xf numFmtId="194" fontId="18" fillId="12" borderId="58" xfId="0" applyNumberFormat="1" applyFont="1" applyFill="1" applyBorder="1"/>
    <xf numFmtId="0" fontId="18" fillId="2" borderId="0" xfId="0" applyFont="1" applyFill="1"/>
    <xf numFmtId="3" fontId="18" fillId="2" borderId="0" xfId="0" applyNumberFormat="1" applyFont="1" applyFill="1"/>
    <xf numFmtId="37" fontId="26" fillId="2" borderId="0" xfId="0" applyNumberFormat="1" applyFont="1" applyFill="1"/>
    <xf numFmtId="3" fontId="12" fillId="2" borderId="0" xfId="0" applyNumberFormat="1" applyFont="1" applyFill="1"/>
    <xf numFmtId="0" fontId="12" fillId="2" borderId="0" xfId="0" applyFont="1" applyFill="1"/>
    <xf numFmtId="0" fontId="20" fillId="0" borderId="0" xfId="0" applyFont="1"/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37" fontId="0" fillId="0" borderId="0" xfId="0" applyNumberFormat="1" applyBorder="1"/>
    <xf numFmtId="0" fontId="20" fillId="2" borderId="6" xfId="0" applyFont="1" applyFill="1" applyBorder="1"/>
    <xf numFmtId="0" fontId="20" fillId="2" borderId="45" xfId="0" applyFont="1" applyFill="1" applyBorder="1"/>
    <xf numFmtId="37" fontId="4" fillId="0" borderId="0" xfId="0" applyNumberFormat="1" applyFont="1" applyBorder="1"/>
    <xf numFmtId="37" fontId="16" fillId="0" borderId="0" xfId="0" applyNumberFormat="1" applyFont="1" applyAlignment="1">
      <alignment horizontal="center"/>
    </xf>
    <xf numFmtId="37" fontId="16" fillId="2" borderId="0" xfId="0" applyNumberFormat="1" applyFont="1" applyFill="1" applyBorder="1" applyAlignment="1">
      <alignment horizontal="center"/>
    </xf>
    <xf numFmtId="3" fontId="16" fillId="2" borderId="0" xfId="0" applyNumberFormat="1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37" xfId="0" applyFont="1" applyFill="1" applyBorder="1" applyAlignment="1"/>
    <xf numFmtId="0" fontId="12" fillId="0" borderId="37" xfId="0" applyFont="1" applyBorder="1"/>
    <xf numFmtId="0" fontId="12" fillId="2" borderId="2" xfId="0" applyFont="1" applyFill="1" applyBorder="1"/>
    <xf numFmtId="0" fontId="12" fillId="0" borderId="2" xfId="0" applyFont="1" applyBorder="1"/>
    <xf numFmtId="0" fontId="12" fillId="2" borderId="2" xfId="0" applyFont="1" applyFill="1" applyBorder="1" applyAlignment="1">
      <alignment horizontal="left" indent="2"/>
    </xf>
    <xf numFmtId="0" fontId="12" fillId="0" borderId="2" xfId="0" applyFont="1" applyBorder="1" applyAlignment="1">
      <alignment horizontal="left" indent="2"/>
    </xf>
    <xf numFmtId="0" fontId="12" fillId="0" borderId="2" xfId="0" applyFont="1" applyBorder="1" applyAlignment="1">
      <alignment horizontal="left"/>
    </xf>
    <xf numFmtId="0" fontId="12" fillId="2" borderId="40" xfId="0" applyFont="1" applyFill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2" borderId="37" xfId="0" applyFont="1" applyFill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5" fillId="0" borderId="2" xfId="0" applyFont="1" applyFill="1" applyBorder="1" applyAlignment="1">
      <alignment horizontal="left"/>
    </xf>
    <xf numFmtId="0" fontId="34" fillId="0" borderId="2" xfId="0" applyFont="1" applyBorder="1"/>
    <xf numFmtId="0" fontId="21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left" indent="2"/>
    </xf>
    <xf numFmtId="0" fontId="12" fillId="5" borderId="2" xfId="0" applyFont="1" applyFill="1" applyBorder="1"/>
    <xf numFmtId="0" fontId="3" fillId="2" borderId="2" xfId="0" applyFont="1" applyFill="1" applyBorder="1"/>
    <xf numFmtId="0" fontId="3" fillId="0" borderId="2" xfId="0" applyFont="1" applyFill="1" applyBorder="1" applyAlignment="1"/>
    <xf numFmtId="0" fontId="3" fillId="0" borderId="5" xfId="0" applyFont="1" applyFill="1" applyBorder="1" applyAlignment="1"/>
    <xf numFmtId="0" fontId="3" fillId="0" borderId="5" xfId="0" applyFont="1" applyBorder="1"/>
    <xf numFmtId="194" fontId="18" fillId="5" borderId="58" xfId="0" applyNumberFormat="1" applyFont="1" applyFill="1" applyBorder="1"/>
    <xf numFmtId="194" fontId="18" fillId="5" borderId="31" xfId="0" applyNumberFormat="1" applyFont="1" applyFill="1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3" xfId="0" applyFont="1" applyBorder="1"/>
    <xf numFmtId="37" fontId="2" fillId="2" borderId="3" xfId="0" applyNumberFormat="1" applyFont="1" applyFill="1" applyBorder="1"/>
    <xf numFmtId="0" fontId="2" fillId="0" borderId="15" xfId="0" applyFont="1" applyFill="1" applyBorder="1" applyAlignment="1">
      <alignment horizontal="center" vertical="center" wrapText="1"/>
    </xf>
    <xf numFmtId="0" fontId="36" fillId="0" borderId="6" xfId="0" applyFont="1" applyBorder="1" applyAlignment="1"/>
    <xf numFmtId="0" fontId="6" fillId="0" borderId="6" xfId="0" applyFont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4" fillId="0" borderId="6" xfId="0" applyFont="1" applyBorder="1"/>
    <xf numFmtId="0" fontId="4" fillId="0" borderId="2" xfId="0" applyFont="1" applyBorder="1"/>
    <xf numFmtId="0" fontId="2" fillId="0" borderId="17" xfId="0" applyFont="1" applyFill="1" applyBorder="1" applyAlignment="1">
      <alignment horizontal="center"/>
    </xf>
    <xf numFmtId="3" fontId="4" fillId="0" borderId="2" xfId="0" applyNumberFormat="1" applyFont="1" applyBorder="1"/>
    <xf numFmtId="3" fontId="4" fillId="0" borderId="34" xfId="0" applyNumberFormat="1" applyFont="1" applyBorder="1"/>
    <xf numFmtId="0" fontId="19" fillId="0" borderId="17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37" fontId="19" fillId="2" borderId="3" xfId="0" applyNumberFormat="1" applyFont="1" applyFill="1" applyBorder="1" applyAlignment="1">
      <alignment horizontal="right"/>
    </xf>
    <xf numFmtId="37" fontId="19" fillId="2" borderId="3" xfId="0" applyNumberFormat="1" applyFont="1" applyFill="1" applyBorder="1"/>
    <xf numFmtId="37" fontId="19" fillId="8" borderId="3" xfId="0" applyNumberFormat="1" applyFont="1" applyFill="1" applyBorder="1" applyAlignment="1">
      <alignment horizontal="right"/>
    </xf>
    <xf numFmtId="0" fontId="4" fillId="0" borderId="7" xfId="0" applyFont="1" applyBorder="1"/>
    <xf numFmtId="37" fontId="2" fillId="2" borderId="7" xfId="0" applyNumberFormat="1" applyFont="1" applyFill="1" applyBorder="1"/>
    <xf numFmtId="0" fontId="4" fillId="0" borderId="74" xfId="0" applyFont="1" applyFill="1" applyBorder="1" applyAlignment="1">
      <alignment horizontal="center"/>
    </xf>
    <xf numFmtId="0" fontId="2" fillId="0" borderId="74" xfId="0" applyFont="1" applyBorder="1"/>
    <xf numFmtId="0" fontId="2" fillId="0" borderId="74" xfId="0" applyFont="1" applyBorder="1" applyAlignment="1">
      <alignment horizontal="left" indent="6"/>
    </xf>
    <xf numFmtId="0" fontId="4" fillId="0" borderId="74" xfId="0" applyFont="1" applyBorder="1" applyAlignment="1">
      <alignment horizontal="left" indent="6"/>
    </xf>
    <xf numFmtId="0" fontId="4" fillId="0" borderId="74" xfId="0" applyFont="1" applyBorder="1"/>
    <xf numFmtId="0" fontId="4" fillId="2" borderId="74" xfId="0" applyFont="1" applyFill="1" applyBorder="1"/>
    <xf numFmtId="37" fontId="2" fillId="2" borderId="74" xfId="0" applyNumberFormat="1" applyFont="1" applyFill="1" applyBorder="1" applyAlignment="1">
      <alignment horizontal="right"/>
    </xf>
    <xf numFmtId="37" fontId="2" fillId="2" borderId="0" xfId="0" applyNumberFormat="1" applyFont="1" applyFill="1" applyBorder="1" applyAlignment="1">
      <alignment horizontal="right"/>
    </xf>
    <xf numFmtId="37" fontId="2" fillId="2" borderId="0" xfId="0" applyNumberFormat="1" applyFont="1" applyFill="1" applyBorder="1"/>
    <xf numFmtId="37" fontId="4" fillId="0" borderId="0" xfId="0" applyNumberFormat="1" applyFont="1"/>
    <xf numFmtId="0" fontId="2" fillId="0" borderId="1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left" indent="1"/>
    </xf>
    <xf numFmtId="0" fontId="19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indent="2"/>
    </xf>
    <xf numFmtId="0" fontId="4" fillId="0" borderId="2" xfId="0" applyFont="1" applyBorder="1" applyAlignment="1">
      <alignment horizontal="left" indent="2"/>
    </xf>
    <xf numFmtId="0" fontId="2" fillId="0" borderId="18" xfId="0" applyFont="1" applyFill="1" applyBorder="1" applyAlignment="1">
      <alignment horizontal="center"/>
    </xf>
    <xf numFmtId="0" fontId="2" fillId="0" borderId="5" xfId="0" applyFont="1" applyBorder="1" applyAlignment="1">
      <alignment horizontal="left" indent="3"/>
    </xf>
    <xf numFmtId="0" fontId="4" fillId="0" borderId="5" xfId="0" applyFont="1" applyBorder="1" applyAlignment="1">
      <alignment horizontal="left"/>
    </xf>
    <xf numFmtId="37" fontId="20" fillId="2" borderId="3" xfId="0" applyNumberFormat="1" applyFont="1" applyFill="1" applyBorder="1" applyAlignment="1">
      <alignment horizontal="right"/>
    </xf>
    <xf numFmtId="3" fontId="20" fillId="2" borderId="3" xfId="0" applyNumberFormat="1" applyFont="1" applyFill="1" applyBorder="1" applyAlignment="1">
      <alignment horizontal="right"/>
    </xf>
    <xf numFmtId="37" fontId="20" fillId="2" borderId="3" xfId="0" applyNumberFormat="1" applyFont="1" applyFill="1" applyBorder="1"/>
    <xf numFmtId="37" fontId="32" fillId="2" borderId="3" xfId="0" applyNumberFormat="1" applyFont="1" applyFill="1" applyBorder="1" applyAlignment="1">
      <alignment horizontal="right"/>
    </xf>
    <xf numFmtId="37" fontId="32" fillId="2" borderId="3" xfId="0" applyNumberFormat="1" applyFont="1" applyFill="1" applyBorder="1"/>
    <xf numFmtId="37" fontId="32" fillId="8" borderId="3" xfId="0" applyNumberFormat="1" applyFont="1" applyFill="1" applyBorder="1" applyAlignment="1">
      <alignment horizontal="right"/>
    </xf>
    <xf numFmtId="37" fontId="20" fillId="2" borderId="7" xfId="0" applyNumberFormat="1" applyFont="1" applyFill="1" applyBorder="1" applyAlignment="1">
      <alignment horizontal="right"/>
    </xf>
    <xf numFmtId="37" fontId="20" fillId="2" borderId="7" xfId="0" applyNumberFormat="1" applyFont="1" applyFill="1" applyBorder="1"/>
    <xf numFmtId="3" fontId="18" fillId="0" borderId="34" xfId="0" applyNumberFormat="1" applyFont="1" applyBorder="1"/>
    <xf numFmtId="3" fontId="20" fillId="8" borderId="3" xfId="0" applyNumberFormat="1" applyFont="1" applyFill="1" applyBorder="1" applyAlignment="1">
      <alignment horizontal="right"/>
    </xf>
    <xf numFmtId="3" fontId="32" fillId="2" borderId="3" xfId="0" applyNumberFormat="1" applyFont="1" applyFill="1" applyBorder="1" applyAlignment="1">
      <alignment horizontal="right"/>
    </xf>
    <xf numFmtId="3" fontId="32" fillId="8" borderId="3" xfId="0" applyNumberFormat="1" applyFont="1" applyFill="1" applyBorder="1" applyAlignment="1">
      <alignment horizontal="right"/>
    </xf>
    <xf numFmtId="3" fontId="18" fillId="9" borderId="3" xfId="0" applyNumberFormat="1" applyFont="1" applyFill="1" applyBorder="1" applyAlignment="1">
      <alignment horizontal="right"/>
    </xf>
    <xf numFmtId="3" fontId="32" fillId="2" borderId="3" xfId="0" applyNumberFormat="1" applyFont="1" applyFill="1" applyBorder="1" applyAlignment="1"/>
    <xf numFmtId="3" fontId="20" fillId="2" borderId="3" xfId="0" applyNumberFormat="1" applyFont="1" applyFill="1" applyBorder="1" applyAlignment="1"/>
    <xf numFmtId="37" fontId="20" fillId="8" borderId="3" xfId="0" applyNumberFormat="1" applyFont="1" applyFill="1" applyBorder="1" applyAlignment="1">
      <alignment horizontal="right"/>
    </xf>
    <xf numFmtId="37" fontId="18" fillId="2" borderId="7" xfId="0" applyNumberFormat="1" applyFont="1" applyFill="1" applyBorder="1" applyAlignment="1">
      <alignment horizontal="right"/>
    </xf>
    <xf numFmtId="37" fontId="20" fillId="8" borderId="7" xfId="0" applyNumberFormat="1" applyFont="1" applyFill="1" applyBorder="1" applyAlignment="1">
      <alignment horizontal="right"/>
    </xf>
    <xf numFmtId="3" fontId="20" fillId="2" borderId="7" xfId="0" applyNumberFormat="1" applyFont="1" applyFill="1" applyBorder="1" applyAlignment="1">
      <alignment horizontal="right"/>
    </xf>
    <xf numFmtId="3" fontId="20" fillId="0" borderId="35" xfId="0" applyNumberFormat="1" applyFont="1" applyBorder="1"/>
    <xf numFmtId="37" fontId="20" fillId="0" borderId="0" xfId="0" applyNumberFormat="1" applyFont="1" applyAlignment="1">
      <alignment horizontal="right"/>
    </xf>
    <xf numFmtId="37" fontId="20" fillId="2" borderId="0" xfId="0" applyNumberFormat="1" applyFont="1" applyFill="1" applyBorder="1"/>
    <xf numFmtId="37" fontId="20" fillId="14" borderId="3" xfId="0" applyNumberFormat="1" applyFont="1" applyFill="1" applyBorder="1"/>
    <xf numFmtId="37" fontId="20" fillId="0" borderId="3" xfId="0" applyNumberFormat="1" applyFont="1" applyBorder="1"/>
    <xf numFmtId="37" fontId="20" fillId="0" borderId="34" xfId="0" applyNumberFormat="1" applyFont="1" applyBorder="1"/>
    <xf numFmtId="0" fontId="20" fillId="2" borderId="3" xfId="0" applyFont="1" applyFill="1" applyBorder="1"/>
    <xf numFmtId="0" fontId="20" fillId="14" borderId="3" xfId="0" applyFont="1" applyFill="1" applyBorder="1"/>
    <xf numFmtId="0" fontId="18" fillId="0" borderId="3" xfId="0" applyFont="1" applyBorder="1" applyAlignment="1">
      <alignment horizontal="left"/>
    </xf>
    <xf numFmtId="3" fontId="20" fillId="14" borderId="3" xfId="0" applyNumberFormat="1" applyFont="1" applyFill="1" applyBorder="1"/>
    <xf numFmtId="194" fontId="20" fillId="14" borderId="3" xfId="0" applyNumberFormat="1" applyFont="1" applyFill="1" applyBorder="1"/>
    <xf numFmtId="194" fontId="20" fillId="2" borderId="3" xfId="0" applyNumberFormat="1" applyFont="1" applyFill="1" applyBorder="1"/>
    <xf numFmtId="0" fontId="18" fillId="0" borderId="39" xfId="0" applyFont="1" applyBorder="1" applyAlignment="1">
      <alignment horizontal="left"/>
    </xf>
    <xf numFmtId="37" fontId="20" fillId="2" borderId="41" xfId="0" applyNumberFormat="1" applyFont="1" applyFill="1" applyBorder="1"/>
    <xf numFmtId="37" fontId="20" fillId="14" borderId="41" xfId="0" applyNumberFormat="1" applyFont="1" applyFill="1" applyBorder="1"/>
    <xf numFmtId="0" fontId="18" fillId="0" borderId="75" xfId="0" applyFont="1" applyBorder="1" applyAlignment="1">
      <alignment horizontal="left"/>
    </xf>
    <xf numFmtId="0" fontId="20" fillId="2" borderId="0" xfId="0" applyFont="1" applyFill="1"/>
    <xf numFmtId="3" fontId="20" fillId="14" borderId="0" xfId="0" applyNumberFormat="1" applyFont="1" applyFill="1"/>
    <xf numFmtId="3" fontId="20" fillId="2" borderId="0" xfId="0" applyNumberFormat="1" applyFont="1" applyFill="1"/>
    <xf numFmtId="37" fontId="20" fillId="0" borderId="0" xfId="0" applyNumberFormat="1" applyFont="1"/>
    <xf numFmtId="0" fontId="20" fillId="0" borderId="3" xfId="0" applyFont="1" applyBorder="1" applyAlignment="1">
      <alignment horizontal="left"/>
    </xf>
    <xf numFmtId="0" fontId="37" fillId="0" borderId="3" xfId="0" applyFont="1" applyBorder="1"/>
    <xf numFmtId="37" fontId="38" fillId="2" borderId="3" xfId="0" applyNumberFormat="1" applyFont="1" applyFill="1" applyBorder="1"/>
    <xf numFmtId="37" fontId="38" fillId="14" borderId="3" xfId="0" applyNumberFormat="1" applyFont="1" applyFill="1" applyBorder="1"/>
    <xf numFmtId="37" fontId="37" fillId="0" borderId="3" xfId="0" applyNumberFormat="1" applyFont="1" applyBorder="1"/>
    <xf numFmtId="3" fontId="38" fillId="2" borderId="3" xfId="0" applyNumberFormat="1" applyFont="1" applyFill="1" applyBorder="1"/>
    <xf numFmtId="3" fontId="38" fillId="14" borderId="3" xfId="0" applyNumberFormat="1" applyFont="1" applyFill="1" applyBorder="1"/>
    <xf numFmtId="37" fontId="18" fillId="0" borderId="3" xfId="0" applyNumberFormat="1" applyFont="1" applyBorder="1"/>
    <xf numFmtId="37" fontId="37" fillId="2" borderId="3" xfId="0" applyNumberFormat="1" applyFont="1" applyFill="1" applyBorder="1"/>
    <xf numFmtId="37" fontId="37" fillId="14" borderId="3" xfId="0" applyNumberFormat="1" applyFont="1" applyFill="1" applyBorder="1"/>
    <xf numFmtId="0" fontId="20" fillId="0" borderId="3" xfId="0" applyFont="1" applyBorder="1"/>
    <xf numFmtId="37" fontId="18" fillId="0" borderId="41" xfId="0" applyNumberFormat="1" applyFont="1" applyBorder="1"/>
    <xf numFmtId="0" fontId="20" fillId="0" borderId="7" xfId="0" applyFont="1" applyBorder="1"/>
    <xf numFmtId="3" fontId="20" fillId="2" borderId="7" xfId="0" applyNumberFormat="1" applyFont="1" applyFill="1" applyBorder="1"/>
    <xf numFmtId="3" fontId="20" fillId="14" borderId="7" xfId="0" applyNumberFormat="1" applyFont="1" applyFill="1" applyBorder="1"/>
    <xf numFmtId="37" fontId="20" fillId="2" borderId="31" xfId="0" applyNumberFormat="1" applyFont="1" applyFill="1" applyBorder="1"/>
    <xf numFmtId="37" fontId="18" fillId="0" borderId="76" xfId="0" applyNumberFormat="1" applyFont="1" applyBorder="1"/>
    <xf numFmtId="0" fontId="20" fillId="0" borderId="16" xfId="0" applyFont="1" applyFill="1" applyBorder="1" applyAlignment="1">
      <alignment horizontal="center" vertical="center" wrapText="1"/>
    </xf>
    <xf numFmtId="0" fontId="20" fillId="0" borderId="31" xfId="0" applyFont="1" applyBorder="1"/>
    <xf numFmtId="0" fontId="39" fillId="0" borderId="2" xfId="0" applyFont="1" applyBorder="1"/>
    <xf numFmtId="0" fontId="18" fillId="0" borderId="2" xfId="0" applyFont="1" applyBorder="1"/>
    <xf numFmtId="0" fontId="20" fillId="0" borderId="17" xfId="0" applyFont="1" applyFill="1" applyBorder="1" applyAlignment="1">
      <alignment horizontal="center"/>
    </xf>
    <xf numFmtId="0" fontId="20" fillId="0" borderId="2" xfId="0" applyFont="1" applyBorder="1"/>
    <xf numFmtId="0" fontId="20" fillId="2" borderId="31" xfId="0" applyFont="1" applyFill="1" applyBorder="1" applyAlignment="1">
      <alignment horizontal="left" indent="1"/>
    </xf>
    <xf numFmtId="0" fontId="32" fillId="0" borderId="17" xfId="0" applyFont="1" applyFill="1" applyBorder="1" applyAlignment="1">
      <alignment horizontal="center"/>
    </xf>
    <xf numFmtId="0" fontId="32" fillId="2" borderId="31" xfId="0" applyFont="1" applyFill="1" applyBorder="1" applyAlignment="1">
      <alignment horizontal="left" indent="1"/>
    </xf>
    <xf numFmtId="0" fontId="32" fillId="2" borderId="31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center"/>
    </xf>
    <xf numFmtId="0" fontId="20" fillId="2" borderId="31" xfId="0" applyFont="1" applyFill="1" applyBorder="1" applyAlignment="1">
      <alignment horizontal="left"/>
    </xf>
    <xf numFmtId="0" fontId="32" fillId="0" borderId="31" xfId="0" applyFont="1" applyFill="1" applyBorder="1" applyAlignment="1">
      <alignment horizontal="left" indent="1"/>
    </xf>
    <xf numFmtId="0" fontId="32" fillId="15" borderId="31" xfId="0" applyFont="1" applyFill="1" applyBorder="1" applyAlignment="1">
      <alignment horizontal="left" indent="1"/>
    </xf>
    <xf numFmtId="0" fontId="18" fillId="0" borderId="2" xfId="0" applyFont="1" applyFill="1" applyBorder="1"/>
    <xf numFmtId="0" fontId="18" fillId="0" borderId="18" xfId="0" applyFont="1" applyFill="1" applyBorder="1" applyAlignment="1">
      <alignment horizontal="center"/>
    </xf>
    <xf numFmtId="0" fontId="20" fillId="0" borderId="32" xfId="0" applyFont="1" applyBorder="1"/>
    <xf numFmtId="0" fontId="20" fillId="0" borderId="5" xfId="0" applyFont="1" applyBorder="1" applyAlignment="1">
      <alignment horizontal="left" indent="6"/>
    </xf>
    <xf numFmtId="0" fontId="18" fillId="0" borderId="5" xfId="0" applyFont="1" applyBorder="1" applyAlignment="1">
      <alignment horizontal="left" indent="6"/>
    </xf>
    <xf numFmtId="0" fontId="18" fillId="0" borderId="5" xfId="0" applyFont="1" applyBorder="1"/>
    <xf numFmtId="3" fontId="32" fillId="2" borderId="3" xfId="0" applyNumberFormat="1" applyFont="1" applyFill="1" applyBorder="1"/>
    <xf numFmtId="0" fontId="18" fillId="0" borderId="3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right"/>
    </xf>
    <xf numFmtId="3" fontId="20" fillId="8" borderId="3" xfId="0" applyNumberFormat="1" applyFont="1" applyFill="1" applyBorder="1"/>
    <xf numFmtId="3" fontId="32" fillId="2" borderId="3" xfId="0" applyNumberFormat="1" applyFont="1" applyFill="1" applyBorder="1" applyAlignment="1">
      <alignment horizontal="right" indent="1"/>
    </xf>
    <xf numFmtId="3" fontId="32" fillId="2" borderId="3" xfId="0" applyNumberFormat="1" applyFont="1" applyFill="1" applyBorder="1" applyAlignment="1">
      <alignment horizontal="left" indent="1"/>
    </xf>
    <xf numFmtId="3" fontId="20" fillId="9" borderId="3" xfId="0" applyNumberFormat="1" applyFont="1" applyFill="1" applyBorder="1"/>
    <xf numFmtId="37" fontId="18" fillId="9" borderId="1" xfId="0" applyNumberFormat="1" applyFont="1" applyFill="1" applyBorder="1"/>
    <xf numFmtId="37" fontId="18" fillId="14" borderId="3" xfId="0" applyNumberFormat="1" applyFont="1" applyFill="1" applyBorder="1"/>
    <xf numFmtId="37" fontId="18" fillId="0" borderId="34" xfId="0" applyNumberFormat="1" applyFont="1" applyBorder="1"/>
    <xf numFmtId="37" fontId="18" fillId="9" borderId="3" xfId="0" applyNumberFormat="1" applyFont="1" applyFill="1" applyBorder="1"/>
    <xf numFmtId="37" fontId="18" fillId="8" borderId="3" xfId="0" applyNumberFormat="1" applyFont="1" applyFill="1" applyBorder="1"/>
    <xf numFmtId="37" fontId="33" fillId="8" borderId="3" xfId="0" applyNumberFormat="1" applyFont="1" applyFill="1" applyBorder="1"/>
    <xf numFmtId="37" fontId="32" fillId="8" borderId="3" xfId="0" applyNumberFormat="1" applyFont="1" applyFill="1" applyBorder="1"/>
    <xf numFmtId="37" fontId="18" fillId="5" borderId="3" xfId="0" applyNumberFormat="1" applyFont="1" applyFill="1" applyBorder="1"/>
    <xf numFmtId="3" fontId="40" fillId="0" borderId="0" xfId="0" applyNumberFormat="1" applyFont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P515"/>
  <sheetViews>
    <sheetView tabSelected="1" topLeftCell="AN172" zoomScale="140" zoomScaleNormal="140" workbookViewId="0">
      <selection activeCell="BF188" sqref="BF188"/>
    </sheetView>
  </sheetViews>
  <sheetFormatPr defaultRowHeight="12.75"/>
  <cols>
    <col min="1" max="1" width="5.28515625" style="13" customWidth="1"/>
    <col min="2" max="2" width="6.5703125" style="13" hidden="1" customWidth="1"/>
    <col min="3" max="3" width="25.7109375" style="13" hidden="1" customWidth="1"/>
    <col min="4" max="4" width="11.42578125" style="13" hidden="1" customWidth="1"/>
    <col min="5" max="5" width="7.85546875" style="13" hidden="1" customWidth="1"/>
    <col min="6" max="6" width="8.85546875" style="13" hidden="1" customWidth="1"/>
    <col min="7" max="7" width="11.85546875" style="13" hidden="1" customWidth="1"/>
    <col min="8" max="8" width="10" style="13" hidden="1" customWidth="1"/>
    <col min="9" max="9" width="12.5703125" style="13" hidden="1" customWidth="1"/>
    <col min="10" max="10" width="2.7109375" style="13" hidden="1" customWidth="1"/>
    <col min="11" max="11" width="11.42578125" style="13" hidden="1" customWidth="1"/>
    <col min="12" max="12" width="12" style="13" hidden="1" customWidth="1"/>
    <col min="13" max="13" width="12.28515625" style="13" hidden="1" customWidth="1"/>
    <col min="14" max="14" width="11.7109375" style="13" hidden="1" customWidth="1"/>
    <col min="15" max="15" width="11.28515625" style="13" hidden="1" customWidth="1"/>
    <col min="16" max="16" width="8.85546875" style="13" hidden="1" customWidth="1"/>
    <col min="17" max="17" width="12" style="13" hidden="1" customWidth="1"/>
    <col min="18" max="18" width="13.5703125" style="13" hidden="1" customWidth="1"/>
    <col min="19" max="19" width="10.140625" style="13" hidden="1" customWidth="1"/>
    <col min="20" max="20" width="5.7109375" style="13" customWidth="1"/>
    <col min="21" max="21" width="14.28515625" style="13" customWidth="1"/>
    <col min="22" max="22" width="10.140625" style="13" customWidth="1"/>
    <col min="23" max="23" width="9.28515625" style="13" bestFit="1" customWidth="1"/>
    <col min="24" max="24" width="7.7109375" style="13" customWidth="1"/>
    <col min="25" max="25" width="21.140625" style="13" customWidth="1"/>
    <col min="26" max="26" width="15.28515625" style="13" customWidth="1"/>
    <col min="27" max="27" width="15.28515625" style="13" hidden="1" customWidth="1"/>
    <col min="28" max="28" width="12" style="13" hidden="1" customWidth="1"/>
    <col min="29" max="29" width="12.85546875" style="13" hidden="1" customWidth="1"/>
    <col min="30" max="30" width="10.85546875" style="13" hidden="1" customWidth="1"/>
    <col min="31" max="31" width="13" style="13" customWidth="1"/>
    <col min="32" max="32" width="15.28515625" style="13" customWidth="1"/>
    <col min="33" max="34" width="15.28515625" style="13" hidden="1" customWidth="1"/>
    <col min="35" max="35" width="19.5703125" style="13" hidden="1" customWidth="1"/>
    <col min="36" max="36" width="16.5703125" style="13" hidden="1" customWidth="1"/>
    <col min="37" max="37" width="5" style="13" customWidth="1"/>
    <col min="38" max="38" width="36.85546875" style="13" customWidth="1"/>
    <col min="39" max="39" width="10.7109375" style="13" bestFit="1" customWidth="1"/>
    <col min="40" max="40" width="10" style="13" customWidth="1"/>
    <col min="41" max="41" width="10.28515625" style="13" customWidth="1"/>
    <col min="42" max="42" width="12.140625" style="13" customWidth="1"/>
    <col min="43" max="43" width="12.42578125" style="13" customWidth="1"/>
    <col min="44" max="44" width="9.85546875" style="13" customWidth="1"/>
    <col min="45" max="45" width="15" style="13" hidden="1" customWidth="1"/>
    <col min="46" max="46" width="15.42578125" style="13" hidden="1" customWidth="1"/>
    <col min="47" max="47" width="16.7109375" style="13" hidden="1" customWidth="1"/>
    <col min="48" max="48" width="12.5703125" style="13" customWidth="1"/>
    <col min="49" max="49" width="13.5703125" style="13" customWidth="1"/>
    <col min="50" max="50" width="14" style="13" hidden="1" customWidth="1"/>
    <col min="51" max="51" width="15.85546875" style="13" hidden="1" customWidth="1"/>
    <col min="52" max="52" width="15.5703125" style="13" hidden="1" customWidth="1"/>
    <col min="53" max="53" width="2" style="13" hidden="1" customWidth="1"/>
    <col min="54" max="54" width="31.7109375" style="13" hidden="1" customWidth="1"/>
    <col min="55" max="55" width="10.28515625" style="13" customWidth="1"/>
    <col min="56" max="58" width="9.140625" style="13"/>
    <col min="59" max="59" width="8.28515625" style="13" customWidth="1"/>
    <col min="60" max="60" width="10.42578125" style="13" customWidth="1"/>
    <col min="61" max="64" width="9.140625" style="13"/>
    <col min="65" max="65" width="9.28515625" style="13" customWidth="1"/>
    <col min="66" max="66" width="10.28515625" style="13" customWidth="1"/>
    <col min="67" max="16384" width="9.140625" style="13"/>
  </cols>
  <sheetData>
    <row r="1" spans="2:146" s="11" customFormat="1" hidden="1"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9"/>
    </row>
    <row r="2" spans="2:146" s="11" customFormat="1" hidden="1">
      <c r="B2" s="19"/>
      <c r="C2" s="19"/>
      <c r="D2" s="20"/>
      <c r="E2" s="20"/>
      <c r="F2" s="20"/>
      <c r="G2" s="66"/>
      <c r="H2" s="66"/>
      <c r="I2" s="66"/>
      <c r="J2" s="20"/>
      <c r="K2" s="20"/>
      <c r="L2" s="20"/>
      <c r="M2" s="20"/>
      <c r="N2" s="20"/>
      <c r="O2" s="20"/>
      <c r="P2" s="20"/>
      <c r="Q2" s="20"/>
      <c r="R2" s="19"/>
      <c r="AF2" s="27"/>
      <c r="AG2" s="27"/>
      <c r="AH2" s="27"/>
      <c r="AI2" s="27"/>
    </row>
    <row r="3" spans="2:146" hidden="1">
      <c r="B3" s="193"/>
      <c r="C3" s="194"/>
      <c r="D3" s="26"/>
      <c r="E3" s="26"/>
      <c r="F3" s="26"/>
      <c r="G3" s="118"/>
      <c r="H3" s="118"/>
      <c r="I3" s="118"/>
      <c r="J3" s="26"/>
      <c r="K3" s="195"/>
      <c r="L3" s="195"/>
      <c r="M3" s="195"/>
      <c r="N3" s="26"/>
      <c r="O3" s="26"/>
      <c r="P3" s="26"/>
      <c r="Q3" s="26"/>
      <c r="R3" s="193"/>
      <c r="S3" s="23"/>
      <c r="T3" s="11"/>
      <c r="U3" s="11"/>
      <c r="V3" s="11"/>
      <c r="W3" s="11"/>
      <c r="X3" s="11"/>
      <c r="Y3" s="11"/>
      <c r="Z3" s="11"/>
      <c r="AA3" s="11"/>
      <c r="AB3" s="11"/>
      <c r="AC3" s="27"/>
      <c r="AD3" s="27"/>
      <c r="AE3" s="27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4"/>
      <c r="BC3" s="12"/>
      <c r="BD3" s="12"/>
      <c r="BE3" s="12"/>
      <c r="BF3" s="12"/>
      <c r="BG3" s="12"/>
      <c r="BH3" s="12"/>
      <c r="BI3" s="12"/>
      <c r="BJ3" s="12"/>
      <c r="BK3" s="4"/>
      <c r="BL3" s="4"/>
      <c r="BM3" s="4"/>
      <c r="BN3" s="4"/>
    </row>
    <row r="4" spans="2:146" hidden="1">
      <c r="B4" s="193"/>
      <c r="C4" s="193"/>
      <c r="D4" s="196" t="s">
        <v>419</v>
      </c>
      <c r="E4" s="196"/>
      <c r="F4" s="196"/>
      <c r="G4" s="197"/>
      <c r="H4" s="197"/>
      <c r="I4" s="197"/>
      <c r="J4" s="196"/>
      <c r="K4" s="198"/>
      <c r="L4" s="198"/>
      <c r="M4" s="198"/>
      <c r="N4" s="196"/>
      <c r="O4" s="196"/>
      <c r="P4" s="196"/>
      <c r="Q4" s="196"/>
      <c r="R4" s="193"/>
      <c r="S4" s="23"/>
      <c r="T4" s="6"/>
      <c r="U4" s="6"/>
      <c r="V4" s="6"/>
      <c r="W4" s="7"/>
      <c r="X4" s="7"/>
      <c r="Y4" s="7"/>
      <c r="Z4" s="7"/>
      <c r="AA4" s="6"/>
      <c r="AB4" s="6"/>
      <c r="AC4" s="6"/>
      <c r="AD4" s="6"/>
      <c r="AE4" s="6"/>
      <c r="AF4" s="6"/>
      <c r="AG4" s="6"/>
      <c r="AH4" s="6"/>
      <c r="AI4" s="6"/>
      <c r="AJ4" s="14"/>
      <c r="AK4" s="14"/>
      <c r="AL4" s="14"/>
      <c r="AM4" s="14"/>
      <c r="AN4" s="7"/>
      <c r="AO4" s="7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6"/>
      <c r="BC4" s="7"/>
      <c r="BD4" s="7"/>
      <c r="BE4" s="7"/>
      <c r="BF4" s="7"/>
      <c r="BG4" s="7"/>
      <c r="BH4" s="7"/>
      <c r="BI4" s="7"/>
      <c r="BJ4" s="7"/>
      <c r="BK4" s="6"/>
      <c r="BL4" s="6"/>
      <c r="BM4" s="6"/>
      <c r="BN4" s="6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</row>
    <row r="5" spans="2:146" ht="13.5" hidden="1" thickBot="1">
      <c r="B5" s="199"/>
      <c r="C5" s="199"/>
      <c r="D5" s="200"/>
      <c r="E5" s="200"/>
      <c r="F5" s="200"/>
      <c r="G5" s="199"/>
      <c r="H5" s="199"/>
      <c r="I5" s="199"/>
      <c r="J5" s="199"/>
      <c r="K5" s="199"/>
      <c r="L5" s="26"/>
      <c r="M5" s="26"/>
      <c r="N5" s="196" t="s">
        <v>230</v>
      </c>
      <c r="O5" s="196"/>
      <c r="P5" s="196"/>
      <c r="Q5" s="196"/>
      <c r="R5" s="26"/>
      <c r="S5" s="23"/>
      <c r="T5" s="6"/>
      <c r="U5" s="7"/>
      <c r="V5" s="7"/>
      <c r="W5" s="7"/>
      <c r="X5" s="7"/>
      <c r="Y5" s="7"/>
      <c r="Z5" s="7"/>
      <c r="AA5" s="6"/>
      <c r="AB5" s="7"/>
      <c r="AC5" s="7"/>
      <c r="AD5" s="7"/>
      <c r="AE5" s="7"/>
      <c r="AF5" s="7"/>
      <c r="AG5" s="7"/>
      <c r="AH5" s="7"/>
      <c r="AI5" s="7"/>
      <c r="AJ5" s="14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14"/>
      <c r="BB5" s="6"/>
      <c r="BC5" s="35"/>
      <c r="BD5" s="35"/>
      <c r="BE5" s="35"/>
      <c r="BF5" s="35"/>
      <c r="BG5" s="35"/>
      <c r="BH5" s="35"/>
      <c r="BI5" s="7"/>
      <c r="BJ5" s="7"/>
      <c r="BK5" s="7"/>
      <c r="BL5" s="7"/>
      <c r="BM5" s="7"/>
      <c r="BN5" s="7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</row>
    <row r="6" spans="2:146" ht="14.25" hidden="1" thickTop="1" thickBot="1">
      <c r="B6" s="201"/>
      <c r="C6" s="202"/>
      <c r="D6" s="336" t="s">
        <v>431</v>
      </c>
      <c r="E6" s="204"/>
      <c r="F6" s="205"/>
      <c r="G6" s="203"/>
      <c r="H6" s="335" t="s">
        <v>430</v>
      </c>
      <c r="I6" s="205"/>
      <c r="J6" s="206"/>
      <c r="K6" s="202"/>
      <c r="L6" s="207"/>
      <c r="M6" s="335" t="s">
        <v>430</v>
      </c>
      <c r="N6" s="209"/>
      <c r="O6" s="210"/>
      <c r="P6" s="208" t="s">
        <v>17</v>
      </c>
      <c r="Q6" s="211"/>
      <c r="R6" s="212"/>
      <c r="S6" s="213"/>
      <c r="T6" s="151"/>
      <c r="U6" s="35"/>
      <c r="V6" s="35"/>
      <c r="W6" s="35"/>
      <c r="X6" s="35"/>
      <c r="Y6" s="35"/>
      <c r="Z6" s="35"/>
      <c r="AA6" s="5"/>
      <c r="AB6" s="35"/>
      <c r="AC6" s="42"/>
      <c r="AD6" s="42"/>
      <c r="AE6" s="42"/>
      <c r="AF6" s="42"/>
      <c r="AG6" s="42"/>
      <c r="AH6" s="42"/>
      <c r="AI6" s="42"/>
      <c r="AJ6" s="14"/>
      <c r="AK6" s="35"/>
      <c r="AL6" s="35"/>
      <c r="AM6" s="35"/>
      <c r="AN6" s="35"/>
      <c r="AO6" s="35"/>
      <c r="AP6" s="35"/>
      <c r="AQ6" s="35"/>
      <c r="AR6" s="35"/>
      <c r="AS6" s="36"/>
      <c r="AT6" s="36"/>
      <c r="AU6" s="36"/>
      <c r="AV6" s="36"/>
      <c r="AW6" s="36"/>
      <c r="AX6" s="36"/>
      <c r="AY6" s="36"/>
      <c r="AZ6" s="36"/>
      <c r="BA6" s="14"/>
      <c r="BB6" s="6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</row>
    <row r="7" spans="2:146" ht="14.25" hidden="1" thickTop="1" thickBot="1">
      <c r="B7" s="201" t="s">
        <v>202</v>
      </c>
      <c r="C7" s="201"/>
      <c r="D7" s="214" t="s">
        <v>54</v>
      </c>
      <c r="E7" s="215" t="s">
        <v>55</v>
      </c>
      <c r="F7" s="336" t="s">
        <v>431</v>
      </c>
      <c r="G7" s="214" t="s">
        <v>54</v>
      </c>
      <c r="H7" s="215" t="s">
        <v>55</v>
      </c>
      <c r="I7" s="320" t="s">
        <v>429</v>
      </c>
      <c r="J7" s="206"/>
      <c r="K7" s="216" t="s">
        <v>202</v>
      </c>
      <c r="L7" s="320" t="s">
        <v>429</v>
      </c>
      <c r="M7" s="215" t="s">
        <v>55</v>
      </c>
      <c r="N7" s="214" t="s">
        <v>54</v>
      </c>
      <c r="O7" s="336" t="s">
        <v>431</v>
      </c>
      <c r="P7" s="215" t="s">
        <v>55</v>
      </c>
      <c r="Q7" s="214" t="s">
        <v>54</v>
      </c>
      <c r="R7" s="217"/>
      <c r="S7" s="218"/>
      <c r="T7" s="151"/>
      <c r="U7" s="35"/>
      <c r="V7" s="35"/>
      <c r="W7" s="35"/>
      <c r="X7" s="35"/>
      <c r="Y7" s="35"/>
      <c r="Z7" s="5"/>
      <c r="AA7" s="5"/>
      <c r="AB7" s="35"/>
      <c r="AC7" s="42"/>
      <c r="AD7" s="42"/>
      <c r="AE7" s="42"/>
      <c r="AF7" s="42"/>
      <c r="AG7" s="42"/>
      <c r="AH7" s="42"/>
      <c r="AI7" s="42"/>
      <c r="AJ7" s="14"/>
      <c r="AK7" s="35"/>
      <c r="AL7" s="35"/>
      <c r="AM7" s="35"/>
      <c r="AN7" s="35"/>
      <c r="AO7" s="35"/>
      <c r="AP7" s="35"/>
      <c r="AQ7" s="35"/>
      <c r="AR7" s="35"/>
      <c r="AS7" s="36"/>
      <c r="AT7" s="36"/>
      <c r="AU7" s="36"/>
      <c r="AV7" s="36"/>
      <c r="AW7" s="36"/>
      <c r="AX7" s="36"/>
      <c r="AY7" s="36"/>
      <c r="AZ7" s="36"/>
      <c r="BA7" s="14"/>
      <c r="BB7" s="6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</row>
    <row r="8" spans="2:146" hidden="1">
      <c r="B8" s="219" t="s">
        <v>288</v>
      </c>
      <c r="C8" s="219" t="s">
        <v>291</v>
      </c>
      <c r="D8" s="220">
        <v>0</v>
      </c>
      <c r="E8" s="221">
        <v>0</v>
      </c>
      <c r="F8" s="222">
        <f>+D8+E8</f>
        <v>0</v>
      </c>
      <c r="G8" s="223"/>
      <c r="H8" s="221"/>
      <c r="I8" s="224">
        <f>+G8+H8</f>
        <v>0</v>
      </c>
      <c r="J8" s="225"/>
      <c r="K8" s="226" t="str">
        <f>+B8</f>
        <v xml:space="preserve">101-       </v>
      </c>
      <c r="L8" s="227">
        <f>+N8+M8</f>
        <v>100000</v>
      </c>
      <c r="M8" s="227"/>
      <c r="N8" s="228">
        <v>100000</v>
      </c>
      <c r="O8" s="229">
        <f>+Q8</f>
        <v>100000</v>
      </c>
      <c r="P8" s="221"/>
      <c r="Q8" s="230">
        <v>100000</v>
      </c>
      <c r="R8" s="231"/>
      <c r="S8" s="232" t="str">
        <f>+K8</f>
        <v xml:space="preserve">101-       </v>
      </c>
      <c r="T8" s="152"/>
      <c r="U8" s="35"/>
      <c r="V8" s="35"/>
      <c r="W8" s="35"/>
      <c r="X8" s="35"/>
      <c r="Y8" s="35"/>
      <c r="Z8" s="5"/>
      <c r="AA8" s="5"/>
      <c r="AB8" s="35"/>
      <c r="AC8" s="42"/>
      <c r="AD8" s="42"/>
      <c r="AE8" s="42"/>
      <c r="AF8" s="42"/>
      <c r="AG8" s="42"/>
      <c r="AH8" s="42"/>
      <c r="AI8" s="42"/>
      <c r="AJ8" s="14"/>
      <c r="AK8" s="35"/>
      <c r="AL8" s="35"/>
      <c r="AM8" s="35"/>
      <c r="AN8" s="35"/>
      <c r="AO8" s="35"/>
      <c r="AP8" s="35"/>
      <c r="AQ8" s="35"/>
      <c r="AR8" s="35"/>
      <c r="AS8" s="36"/>
      <c r="AT8" s="36"/>
      <c r="AU8" s="36"/>
      <c r="AV8" s="36"/>
      <c r="AW8" s="36"/>
      <c r="AX8" s="36"/>
      <c r="AY8" s="36"/>
      <c r="AZ8" s="36"/>
      <c r="BA8" s="14"/>
      <c r="BB8" s="5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</row>
    <row r="9" spans="2:146" hidden="1">
      <c r="B9" s="233" t="s">
        <v>289</v>
      </c>
      <c r="C9" s="233" t="s">
        <v>159</v>
      </c>
      <c r="D9" s="220">
        <v>0</v>
      </c>
      <c r="E9" s="221">
        <v>0</v>
      </c>
      <c r="F9" s="222">
        <f t="shared" ref="F9:F72" si="0">+D9+E9</f>
        <v>0</v>
      </c>
      <c r="G9" s="228"/>
      <c r="H9" s="221"/>
      <c r="I9" s="224">
        <f t="shared" ref="I9:I72" si="1">+G9+H9</f>
        <v>0</v>
      </c>
      <c r="J9" s="225"/>
      <c r="K9" s="226" t="str">
        <f t="shared" ref="K9:K76" si="2">+B9</f>
        <v>104-105</v>
      </c>
      <c r="L9" s="227">
        <f t="shared" ref="L9:L72" si="3">+N9+M9</f>
        <v>0</v>
      </c>
      <c r="M9" s="227"/>
      <c r="N9" s="228"/>
      <c r="O9" s="229">
        <f t="shared" ref="O9:O72" si="4">+Q9</f>
        <v>0</v>
      </c>
      <c r="P9" s="221"/>
      <c r="Q9" s="221">
        <v>0</v>
      </c>
      <c r="R9" s="231"/>
      <c r="S9" s="232" t="str">
        <f>+K9</f>
        <v>104-105</v>
      </c>
      <c r="T9" s="152"/>
      <c r="U9" s="35"/>
      <c r="V9" s="35"/>
      <c r="W9" s="35"/>
      <c r="X9" s="35"/>
      <c r="Y9" s="35"/>
      <c r="Z9" s="5"/>
      <c r="AA9" s="5"/>
      <c r="AB9" s="35"/>
      <c r="AC9" s="42"/>
      <c r="AD9" s="42"/>
      <c r="AE9" s="42"/>
      <c r="AF9" s="42"/>
      <c r="AG9" s="42"/>
      <c r="AH9" s="42"/>
      <c r="AI9" s="42"/>
      <c r="AJ9" s="14"/>
      <c r="AK9" s="35"/>
      <c r="AL9" s="35"/>
      <c r="AM9" s="35"/>
      <c r="AN9" s="35"/>
      <c r="AO9" s="35"/>
      <c r="AP9" s="35"/>
      <c r="AQ9" s="35"/>
      <c r="AR9" s="35"/>
      <c r="AS9" s="36"/>
      <c r="AT9" s="36"/>
      <c r="AU9" s="36"/>
      <c r="AV9" s="36"/>
      <c r="AW9" s="36"/>
      <c r="AX9" s="36"/>
      <c r="AY9" s="36"/>
      <c r="AZ9" s="36"/>
      <c r="BA9" s="14"/>
      <c r="BB9" s="5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</row>
    <row r="10" spans="2:146" hidden="1">
      <c r="B10" s="233">
        <v>105</v>
      </c>
      <c r="C10" s="233" t="s">
        <v>292</v>
      </c>
      <c r="D10" s="220">
        <v>0</v>
      </c>
      <c r="E10" s="221">
        <v>0</v>
      </c>
      <c r="F10" s="222">
        <f t="shared" si="0"/>
        <v>0</v>
      </c>
      <c r="G10" s="228"/>
      <c r="H10" s="221"/>
      <c r="I10" s="224">
        <f t="shared" si="1"/>
        <v>0</v>
      </c>
      <c r="J10" s="225"/>
      <c r="K10" s="226">
        <f t="shared" si="2"/>
        <v>105</v>
      </c>
      <c r="L10" s="227">
        <f t="shared" si="3"/>
        <v>0</v>
      </c>
      <c r="M10" s="227"/>
      <c r="N10" s="234"/>
      <c r="O10" s="229">
        <f t="shared" si="4"/>
        <v>0</v>
      </c>
      <c r="P10" s="235"/>
      <c r="Q10" s="221">
        <v>0</v>
      </c>
      <c r="R10" s="231"/>
      <c r="S10" s="232"/>
      <c r="T10" s="152"/>
      <c r="U10" s="35"/>
      <c r="V10" s="35"/>
      <c r="W10" s="35"/>
      <c r="X10" s="35"/>
      <c r="Y10" s="35"/>
      <c r="Z10" s="5"/>
      <c r="AA10" s="5"/>
      <c r="AB10" s="35"/>
      <c r="AC10" s="42"/>
      <c r="AD10" s="42"/>
      <c r="AE10" s="42"/>
      <c r="AF10" s="42"/>
      <c r="AG10" s="42"/>
      <c r="AH10" s="42"/>
      <c r="AI10" s="42"/>
      <c r="AJ10" s="14"/>
      <c r="AK10" s="35"/>
      <c r="AL10" s="35"/>
      <c r="AM10" s="35"/>
      <c r="AN10" s="35"/>
      <c r="AO10" s="35"/>
      <c r="AP10" s="35"/>
      <c r="AQ10" s="35"/>
      <c r="AR10" s="35"/>
      <c r="AS10" s="36"/>
      <c r="AT10" s="36"/>
      <c r="AU10" s="36"/>
      <c r="AV10" s="36"/>
      <c r="AW10" s="36"/>
      <c r="AX10" s="36"/>
      <c r="AY10" s="36"/>
      <c r="AZ10" s="36"/>
      <c r="BA10" s="14"/>
      <c r="BB10" s="5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</row>
    <row r="11" spans="2:146" hidden="1">
      <c r="B11" s="233" t="s">
        <v>290</v>
      </c>
      <c r="C11" s="233" t="s">
        <v>293</v>
      </c>
      <c r="D11" s="220">
        <v>0</v>
      </c>
      <c r="E11" s="221">
        <v>0</v>
      </c>
      <c r="F11" s="222">
        <f t="shared" si="0"/>
        <v>0</v>
      </c>
      <c r="G11" s="228"/>
      <c r="H11" s="221"/>
      <c r="I11" s="224">
        <f t="shared" si="1"/>
        <v>0</v>
      </c>
      <c r="J11" s="225"/>
      <c r="K11" s="226" t="str">
        <f t="shared" si="2"/>
        <v>1061-</v>
      </c>
      <c r="L11" s="227">
        <f t="shared" si="3"/>
        <v>10000</v>
      </c>
      <c r="M11" s="227"/>
      <c r="N11" s="228">
        <v>10000</v>
      </c>
      <c r="O11" s="229">
        <f t="shared" si="4"/>
        <v>10000</v>
      </c>
      <c r="P11" s="235"/>
      <c r="Q11" s="230">
        <v>10000</v>
      </c>
      <c r="R11" s="231"/>
      <c r="S11" s="232" t="str">
        <f t="shared" ref="S11:S29" si="5">+K11</f>
        <v>1061-</v>
      </c>
      <c r="T11" s="152"/>
      <c r="U11" s="35"/>
      <c r="V11" s="35"/>
      <c r="W11" s="35"/>
      <c r="X11" s="35"/>
      <c r="Y11" s="35"/>
      <c r="Z11" s="5"/>
      <c r="AA11" s="5"/>
      <c r="AB11" s="35"/>
      <c r="AC11" s="42"/>
      <c r="AD11" s="42"/>
      <c r="AE11" s="42"/>
      <c r="AF11" s="42"/>
      <c r="AG11" s="42"/>
      <c r="AH11" s="42"/>
      <c r="AI11" s="42"/>
      <c r="AJ11" s="14"/>
      <c r="AK11" s="35"/>
      <c r="AL11" s="35"/>
      <c r="AM11" s="35"/>
      <c r="AN11" s="35"/>
      <c r="AO11" s="35"/>
      <c r="AP11" s="35"/>
      <c r="AQ11" s="35"/>
      <c r="AR11" s="35"/>
      <c r="AS11" s="36"/>
      <c r="AT11" s="36"/>
      <c r="AU11" s="36"/>
      <c r="AV11" s="36"/>
      <c r="AW11" s="36"/>
      <c r="AX11" s="36"/>
      <c r="AY11" s="36"/>
      <c r="AZ11" s="36"/>
      <c r="BA11" s="14"/>
      <c r="BB11" s="5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</row>
    <row r="12" spans="2:146" hidden="1">
      <c r="B12" s="233" t="s">
        <v>75</v>
      </c>
      <c r="C12" s="233" t="s">
        <v>294</v>
      </c>
      <c r="D12" s="220">
        <v>0</v>
      </c>
      <c r="E12" s="221">
        <v>0</v>
      </c>
      <c r="F12" s="222">
        <f t="shared" si="0"/>
        <v>0</v>
      </c>
      <c r="G12" s="228"/>
      <c r="H12" s="221"/>
      <c r="I12" s="224">
        <f t="shared" si="1"/>
        <v>0</v>
      </c>
      <c r="J12" s="225"/>
      <c r="K12" s="226" t="str">
        <f t="shared" si="2"/>
        <v>1068-</v>
      </c>
      <c r="L12" s="227">
        <f t="shared" si="3"/>
        <v>13892173</v>
      </c>
      <c r="M12" s="227"/>
      <c r="N12" s="234">
        <v>13892173</v>
      </c>
      <c r="O12" s="229">
        <f t="shared" si="4"/>
        <v>11748140</v>
      </c>
      <c r="P12" s="235"/>
      <c r="Q12" s="221">
        <v>11748140</v>
      </c>
      <c r="R12" s="231"/>
      <c r="S12" s="232" t="str">
        <f t="shared" si="5"/>
        <v>1068-</v>
      </c>
      <c r="T12" s="152"/>
      <c r="U12" s="35"/>
      <c r="V12" s="35"/>
      <c r="W12" s="35"/>
      <c r="X12" s="35"/>
      <c r="Y12" s="35"/>
      <c r="Z12" s="5"/>
      <c r="AA12" s="5"/>
      <c r="AB12" s="35"/>
      <c r="AC12" s="42"/>
      <c r="AD12" s="42"/>
      <c r="AE12" s="42"/>
      <c r="AF12" s="42"/>
      <c r="AG12" s="42"/>
      <c r="AH12" s="42"/>
      <c r="AI12" s="42"/>
      <c r="AJ12" s="14"/>
      <c r="AK12" s="35"/>
      <c r="AL12" s="35"/>
      <c r="AM12" s="35"/>
      <c r="AN12" s="35"/>
      <c r="AO12" s="35"/>
      <c r="AP12" s="35"/>
      <c r="AQ12" s="35"/>
      <c r="AR12" s="35"/>
      <c r="AS12" s="36"/>
      <c r="AT12" s="36"/>
      <c r="AU12" s="36"/>
      <c r="AV12" s="36"/>
      <c r="AW12" s="36"/>
      <c r="AX12" s="36"/>
      <c r="AY12" s="36"/>
      <c r="AZ12" s="36"/>
      <c r="BA12" s="14"/>
      <c r="BB12" s="5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</row>
    <row r="13" spans="2:146" hidden="1">
      <c r="B13" s="233" t="s">
        <v>76</v>
      </c>
      <c r="C13" s="233" t="s">
        <v>295</v>
      </c>
      <c r="D13" s="220">
        <v>0</v>
      </c>
      <c r="E13" s="221">
        <v>0</v>
      </c>
      <c r="F13" s="222">
        <f t="shared" si="0"/>
        <v>0</v>
      </c>
      <c r="G13" s="228"/>
      <c r="H13" s="221"/>
      <c r="I13" s="224">
        <f t="shared" si="1"/>
        <v>0</v>
      </c>
      <c r="J13" s="225"/>
      <c r="K13" s="236" t="str">
        <f t="shared" si="2"/>
        <v>107-</v>
      </c>
      <c r="L13" s="237">
        <f t="shared" si="3"/>
        <v>0</v>
      </c>
      <c r="M13" s="237"/>
      <c r="N13" s="234"/>
      <c r="O13" s="229">
        <f t="shared" si="4"/>
        <v>0</v>
      </c>
      <c r="P13" s="235"/>
      <c r="Q13" s="221">
        <v>0</v>
      </c>
      <c r="R13" s="231"/>
      <c r="S13" s="232" t="str">
        <f t="shared" si="5"/>
        <v>107-</v>
      </c>
      <c r="T13" s="191"/>
      <c r="U13" s="143">
        <f>+Q12+Q14</f>
        <v>14192173</v>
      </c>
      <c r="V13" s="35"/>
      <c r="W13" s="35"/>
      <c r="X13" s="35"/>
      <c r="Y13" s="35"/>
      <c r="Z13" s="5"/>
      <c r="AA13" s="5"/>
      <c r="AB13" s="35"/>
      <c r="AC13" s="42"/>
      <c r="AD13" s="42"/>
      <c r="AE13" s="42"/>
      <c r="AF13" s="42"/>
      <c r="AG13" s="42"/>
      <c r="AH13" s="42"/>
      <c r="AI13" s="42"/>
      <c r="AJ13" s="14"/>
      <c r="AK13" s="35"/>
      <c r="AL13" s="35"/>
      <c r="AM13" s="35"/>
      <c r="AN13" s="35"/>
      <c r="AO13" s="35"/>
      <c r="AP13" s="35"/>
      <c r="AQ13" s="35"/>
      <c r="AR13" s="35"/>
      <c r="AS13" s="36"/>
      <c r="AT13" s="36"/>
      <c r="AU13" s="36"/>
      <c r="AV13" s="36"/>
      <c r="AW13" s="36"/>
      <c r="AX13" s="36"/>
      <c r="AY13" s="36"/>
      <c r="AZ13" s="36"/>
      <c r="BA13" s="14"/>
      <c r="BB13" s="5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</row>
    <row r="14" spans="2:146" hidden="1">
      <c r="B14" s="233" t="s">
        <v>77</v>
      </c>
      <c r="C14" s="233" t="s">
        <v>296</v>
      </c>
      <c r="D14" s="220">
        <v>0</v>
      </c>
      <c r="E14" s="221">
        <v>0</v>
      </c>
      <c r="F14" s="222">
        <f t="shared" si="0"/>
        <v>0</v>
      </c>
      <c r="G14" s="228"/>
      <c r="H14" s="221"/>
      <c r="I14" s="224">
        <f t="shared" si="1"/>
        <v>0</v>
      </c>
      <c r="J14" s="225"/>
      <c r="K14" s="236" t="str">
        <f t="shared" si="2"/>
        <v>121-</v>
      </c>
      <c r="L14" s="237">
        <f t="shared" si="3"/>
        <v>1854064</v>
      </c>
      <c r="M14" s="238">
        <f>H154-M58-M154</f>
        <v>0</v>
      </c>
      <c r="N14" s="239">
        <v>1854064</v>
      </c>
      <c r="O14" s="229">
        <f t="shared" si="4"/>
        <v>2444033</v>
      </c>
      <c r="P14" s="240"/>
      <c r="Q14" s="241">
        <v>2444033</v>
      </c>
      <c r="R14" s="231"/>
      <c r="S14" s="232" t="str">
        <f t="shared" si="5"/>
        <v>121-</v>
      </c>
      <c r="T14" s="152"/>
      <c r="U14" s="35"/>
      <c r="V14" s="35"/>
      <c r="W14" s="35"/>
      <c r="X14" s="35"/>
      <c r="Y14" s="35"/>
      <c r="Z14" s="35"/>
      <c r="AA14" s="5"/>
      <c r="AB14" s="35"/>
      <c r="AC14" s="42"/>
      <c r="AD14" s="42"/>
      <c r="AE14" s="42"/>
      <c r="AF14" s="42"/>
      <c r="AG14" s="42"/>
      <c r="AH14" s="42"/>
      <c r="AI14" s="42"/>
      <c r="AJ14" s="14"/>
      <c r="AK14" s="35"/>
      <c r="AL14" s="35"/>
      <c r="AM14" s="35"/>
      <c r="AN14" s="35"/>
      <c r="AO14" s="35"/>
      <c r="AP14" s="35"/>
      <c r="AQ14" s="35"/>
      <c r="AR14" s="35"/>
      <c r="AS14" s="36"/>
      <c r="AT14" s="36"/>
      <c r="AU14" s="36"/>
      <c r="AV14" s="36"/>
      <c r="AW14" s="36"/>
      <c r="AX14" s="36"/>
      <c r="AY14" s="36"/>
      <c r="AZ14" s="36"/>
      <c r="BA14" s="14"/>
      <c r="BB14" s="5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</row>
    <row r="15" spans="2:146" hidden="1">
      <c r="B15" s="233" t="s">
        <v>79</v>
      </c>
      <c r="C15" s="233" t="s">
        <v>297</v>
      </c>
      <c r="D15" s="220">
        <v>0</v>
      </c>
      <c r="E15" s="221"/>
      <c r="F15" s="222">
        <f t="shared" si="0"/>
        <v>0</v>
      </c>
      <c r="G15" s="228"/>
      <c r="H15" s="221"/>
      <c r="I15" s="224">
        <f t="shared" si="1"/>
        <v>0</v>
      </c>
      <c r="J15" s="225"/>
      <c r="K15" s="226" t="str">
        <f t="shared" si="2"/>
        <v>129-</v>
      </c>
      <c r="L15" s="227">
        <f t="shared" si="3"/>
        <v>0</v>
      </c>
      <c r="M15" s="227"/>
      <c r="N15" s="228"/>
      <c r="O15" s="229">
        <f t="shared" si="4"/>
        <v>0</v>
      </c>
      <c r="P15" s="221"/>
      <c r="Q15" s="221">
        <v>0</v>
      </c>
      <c r="R15" s="231"/>
      <c r="S15" s="232" t="str">
        <f t="shared" si="5"/>
        <v>129-</v>
      </c>
      <c r="T15" s="152"/>
      <c r="U15" s="35"/>
      <c r="V15" s="35"/>
      <c r="W15" s="35"/>
      <c r="X15" s="35"/>
      <c r="Y15" s="35"/>
      <c r="Z15" s="35"/>
      <c r="AA15" s="5"/>
      <c r="AB15" s="35"/>
      <c r="AC15" s="42"/>
      <c r="AD15" s="42"/>
      <c r="AE15" s="42"/>
      <c r="AF15" s="42"/>
      <c r="AG15" s="42"/>
      <c r="AH15" s="42"/>
      <c r="AI15" s="42"/>
      <c r="AJ15" s="14"/>
      <c r="AK15" s="35"/>
      <c r="AL15" s="35"/>
      <c r="AM15" s="35"/>
      <c r="AN15" s="35"/>
      <c r="AO15" s="35"/>
      <c r="AP15" s="35"/>
      <c r="AQ15" s="35"/>
      <c r="AR15" s="35"/>
      <c r="AS15" s="36"/>
      <c r="AT15" s="36"/>
      <c r="AU15" s="36"/>
      <c r="AV15" s="36"/>
      <c r="AW15" s="36"/>
      <c r="AX15" s="36"/>
      <c r="AY15" s="36"/>
      <c r="AZ15" s="36"/>
      <c r="BA15" s="14"/>
      <c r="BB15" s="5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</row>
    <row r="16" spans="2:146" hidden="1">
      <c r="B16" s="233" t="s">
        <v>78</v>
      </c>
      <c r="C16" s="233" t="s">
        <v>298</v>
      </c>
      <c r="D16" s="220">
        <v>0</v>
      </c>
      <c r="E16" s="221">
        <v>0</v>
      </c>
      <c r="F16" s="222">
        <f t="shared" si="0"/>
        <v>0</v>
      </c>
      <c r="G16" s="228"/>
      <c r="H16" s="221"/>
      <c r="I16" s="224">
        <f t="shared" si="1"/>
        <v>0</v>
      </c>
      <c r="J16" s="225"/>
      <c r="K16" s="226" t="str">
        <f t="shared" si="2"/>
        <v>131-138</v>
      </c>
      <c r="L16" s="227">
        <f t="shared" si="3"/>
        <v>0</v>
      </c>
      <c r="M16" s="227"/>
      <c r="N16" s="228"/>
      <c r="O16" s="229">
        <f t="shared" si="4"/>
        <v>0</v>
      </c>
      <c r="P16" s="221"/>
      <c r="Q16" s="221">
        <v>0</v>
      </c>
      <c r="R16" s="231"/>
      <c r="S16" s="232" t="str">
        <f t="shared" si="5"/>
        <v>131-138</v>
      </c>
      <c r="T16" s="152"/>
      <c r="U16" s="35"/>
      <c r="V16" s="35"/>
      <c r="W16" s="35"/>
      <c r="X16" s="35"/>
      <c r="Y16" s="35"/>
      <c r="Z16" s="35"/>
      <c r="AA16" s="5"/>
      <c r="AB16" s="35"/>
      <c r="AC16" s="42"/>
      <c r="AD16" s="42"/>
      <c r="AE16" s="42"/>
      <c r="AF16" s="42"/>
      <c r="AG16" s="42"/>
      <c r="AH16" s="42"/>
      <c r="AI16" s="42"/>
      <c r="AJ16" s="14"/>
      <c r="AK16" s="35"/>
      <c r="AL16" s="35"/>
      <c r="AM16" s="35"/>
      <c r="AN16" s="35"/>
      <c r="AO16" s="35"/>
      <c r="AP16" s="35"/>
      <c r="AQ16" s="35"/>
      <c r="AR16" s="35"/>
      <c r="AS16" s="36"/>
      <c r="AT16" s="36"/>
      <c r="AU16" s="36"/>
      <c r="AV16" s="36"/>
      <c r="AW16" s="36"/>
      <c r="AX16" s="36"/>
      <c r="AY16" s="36"/>
      <c r="AZ16" s="36"/>
      <c r="BA16" s="14"/>
      <c r="BB16" s="5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</row>
    <row r="17" spans="2:146" hidden="1">
      <c r="B17" s="233" t="s">
        <v>80</v>
      </c>
      <c r="C17" s="233" t="s">
        <v>299</v>
      </c>
      <c r="D17" s="220">
        <v>0</v>
      </c>
      <c r="E17" s="221">
        <v>0</v>
      </c>
      <c r="F17" s="222">
        <f t="shared" si="0"/>
        <v>0</v>
      </c>
      <c r="G17" s="228"/>
      <c r="H17" s="221"/>
      <c r="I17" s="224">
        <f t="shared" si="1"/>
        <v>0</v>
      </c>
      <c r="J17" s="225"/>
      <c r="K17" s="226" t="str">
        <f t="shared" si="2"/>
        <v>151-</v>
      </c>
      <c r="L17" s="227">
        <f t="shared" si="3"/>
        <v>0</v>
      </c>
      <c r="M17" s="227"/>
      <c r="N17" s="228"/>
      <c r="O17" s="229">
        <f t="shared" si="4"/>
        <v>0</v>
      </c>
      <c r="P17" s="221"/>
      <c r="Q17" s="221">
        <v>0</v>
      </c>
      <c r="R17" s="231"/>
      <c r="S17" s="232" t="str">
        <f t="shared" si="5"/>
        <v>151-</v>
      </c>
      <c r="T17" s="152"/>
      <c r="U17" s="35"/>
      <c r="V17" s="35"/>
      <c r="W17" s="35"/>
      <c r="X17" s="35"/>
      <c r="Y17" s="35"/>
      <c r="Z17" s="35"/>
      <c r="AA17" s="5"/>
      <c r="AB17" s="35"/>
      <c r="AC17" s="42"/>
      <c r="AD17" s="42"/>
      <c r="AE17" s="42"/>
      <c r="AF17" s="42"/>
      <c r="AG17" s="42"/>
      <c r="AH17" s="42"/>
      <c r="AI17" s="42"/>
      <c r="AJ17" s="14"/>
      <c r="AK17" s="35"/>
      <c r="AL17" s="35"/>
      <c r="AM17" s="35"/>
      <c r="AN17" s="35"/>
      <c r="AO17" s="35"/>
      <c r="AP17" s="35"/>
      <c r="AQ17" s="35"/>
      <c r="AR17" s="35"/>
      <c r="AS17" s="36"/>
      <c r="AT17" s="36"/>
      <c r="AU17" s="36"/>
      <c r="AV17" s="36"/>
      <c r="AW17" s="36"/>
      <c r="AX17" s="36"/>
      <c r="AY17" s="36"/>
      <c r="AZ17" s="36"/>
      <c r="BA17" s="14"/>
      <c r="BB17" s="5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</row>
    <row r="18" spans="2:146" hidden="1">
      <c r="B18" s="233" t="s">
        <v>81</v>
      </c>
      <c r="C18" s="233" t="s">
        <v>300</v>
      </c>
      <c r="D18" s="220">
        <v>0</v>
      </c>
      <c r="E18" s="221">
        <v>0</v>
      </c>
      <c r="F18" s="222">
        <f t="shared" si="0"/>
        <v>0</v>
      </c>
      <c r="G18" s="228"/>
      <c r="H18" s="221"/>
      <c r="I18" s="224">
        <f t="shared" si="1"/>
        <v>0</v>
      </c>
      <c r="J18" s="225"/>
      <c r="K18" s="226" t="str">
        <f t="shared" si="2"/>
        <v>157-158</v>
      </c>
      <c r="L18" s="227">
        <f t="shared" si="3"/>
        <v>0</v>
      </c>
      <c r="M18" s="227"/>
      <c r="N18" s="228"/>
      <c r="O18" s="229">
        <f t="shared" si="4"/>
        <v>0</v>
      </c>
      <c r="P18" s="221"/>
      <c r="Q18" s="221">
        <v>0</v>
      </c>
      <c r="R18" s="231"/>
      <c r="S18" s="232" t="str">
        <f t="shared" si="5"/>
        <v>157-158</v>
      </c>
      <c r="T18" s="152"/>
      <c r="U18" s="35"/>
      <c r="V18" s="35"/>
      <c r="W18" s="35"/>
      <c r="X18" s="35"/>
      <c r="Y18" s="35"/>
      <c r="Z18" s="35"/>
      <c r="AA18" s="5"/>
      <c r="AB18" s="35"/>
      <c r="AC18" s="42"/>
      <c r="AD18" s="42"/>
      <c r="AE18" s="42"/>
      <c r="AF18" s="42"/>
      <c r="AG18" s="42"/>
      <c r="AH18" s="42"/>
      <c r="AI18" s="42"/>
      <c r="AJ18" s="14"/>
      <c r="AK18" s="35"/>
      <c r="AL18" s="35"/>
      <c r="AM18" s="35"/>
      <c r="AN18" s="35"/>
      <c r="AO18" s="35"/>
      <c r="AP18" s="35"/>
      <c r="AQ18" s="35"/>
      <c r="AR18" s="35"/>
      <c r="AS18" s="36"/>
      <c r="AT18" s="36"/>
      <c r="AU18" s="36"/>
      <c r="AV18" s="36"/>
      <c r="AW18" s="36"/>
      <c r="AX18" s="36"/>
      <c r="AY18" s="36"/>
      <c r="AZ18" s="36"/>
      <c r="BA18" s="14"/>
      <c r="BB18" s="5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</row>
    <row r="19" spans="2:146" hidden="1">
      <c r="B19" s="233" t="s">
        <v>343</v>
      </c>
      <c r="C19" s="233" t="s">
        <v>344</v>
      </c>
      <c r="D19" s="220">
        <v>0</v>
      </c>
      <c r="E19" s="221">
        <v>0</v>
      </c>
      <c r="F19" s="222">
        <f t="shared" si="0"/>
        <v>0</v>
      </c>
      <c r="G19" s="242"/>
      <c r="H19" s="221"/>
      <c r="I19" s="224">
        <f t="shared" si="1"/>
        <v>0</v>
      </c>
      <c r="J19" s="225"/>
      <c r="K19" s="226" t="str">
        <f>+B19</f>
        <v>161-         468</v>
      </c>
      <c r="L19" s="227">
        <f t="shared" si="3"/>
        <v>923192</v>
      </c>
      <c r="M19" s="237"/>
      <c r="N19" s="247">
        <v>923192</v>
      </c>
      <c r="O19" s="229">
        <f t="shared" si="4"/>
        <v>1823592</v>
      </c>
      <c r="P19" s="221"/>
      <c r="Q19" s="221">
        <v>1823592</v>
      </c>
      <c r="R19" s="231"/>
      <c r="S19" s="232" t="str">
        <f t="shared" si="5"/>
        <v>161-         468</v>
      </c>
      <c r="T19" s="152"/>
      <c r="U19" s="35"/>
      <c r="V19" s="35"/>
      <c r="W19" s="35"/>
      <c r="X19" s="35"/>
      <c r="Y19" s="35"/>
      <c r="Z19" s="35"/>
      <c r="AA19" s="5"/>
      <c r="AB19" s="35"/>
      <c r="AC19" s="42"/>
      <c r="AD19" s="42"/>
      <c r="AE19" s="42"/>
      <c r="AF19" s="42"/>
      <c r="AG19" s="42"/>
      <c r="AH19" s="42"/>
      <c r="AI19" s="42"/>
      <c r="AJ19" s="14"/>
      <c r="AK19" s="35"/>
      <c r="AL19" s="35"/>
      <c r="AM19" s="35"/>
      <c r="AN19" s="35"/>
      <c r="AO19" s="35"/>
      <c r="AP19" s="35"/>
      <c r="AQ19" s="35"/>
      <c r="AR19" s="35"/>
      <c r="AS19" s="36"/>
      <c r="AT19" s="36"/>
      <c r="AU19" s="36"/>
      <c r="AV19" s="36"/>
      <c r="AW19" s="36"/>
      <c r="AX19" s="36"/>
      <c r="AY19" s="36"/>
      <c r="AZ19" s="36"/>
      <c r="BA19" s="14"/>
      <c r="BB19" s="5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</row>
    <row r="20" spans="2:146" hidden="1">
      <c r="B20" s="233" t="s">
        <v>82</v>
      </c>
      <c r="C20" s="233" t="s">
        <v>345</v>
      </c>
      <c r="D20" s="220">
        <v>0</v>
      </c>
      <c r="E20" s="221">
        <v>0</v>
      </c>
      <c r="F20" s="222">
        <f t="shared" si="0"/>
        <v>0</v>
      </c>
      <c r="G20" s="242"/>
      <c r="H20" s="221"/>
      <c r="I20" s="224">
        <f t="shared" si="1"/>
        <v>0</v>
      </c>
      <c r="J20" s="225"/>
      <c r="K20" s="226" t="str">
        <f t="shared" si="2"/>
        <v>161-1</v>
      </c>
      <c r="L20" s="227">
        <f t="shared" si="3"/>
        <v>0</v>
      </c>
      <c r="M20" s="227"/>
      <c r="N20" s="243"/>
      <c r="O20" s="229">
        <f t="shared" si="4"/>
        <v>0</v>
      </c>
      <c r="P20" s="221"/>
      <c r="Q20" s="221">
        <v>0</v>
      </c>
      <c r="R20" s="231"/>
      <c r="S20" s="232" t="str">
        <f t="shared" si="5"/>
        <v>161-1</v>
      </c>
      <c r="T20" s="152"/>
      <c r="U20" s="35"/>
      <c r="V20" s="35"/>
      <c r="W20" s="35"/>
      <c r="X20" s="35"/>
      <c r="Y20" s="35"/>
      <c r="Z20" s="35"/>
      <c r="AA20" s="5"/>
      <c r="AB20" s="35"/>
      <c r="AC20" s="42"/>
      <c r="AD20" s="42"/>
      <c r="AE20" s="42"/>
      <c r="AF20" s="42"/>
      <c r="AG20" s="42"/>
      <c r="AH20" s="42"/>
      <c r="AI20" s="42"/>
      <c r="AJ20" s="14"/>
      <c r="AK20" s="35"/>
      <c r="AL20" s="35"/>
      <c r="AM20" s="35"/>
      <c r="AN20" s="35"/>
      <c r="AO20" s="35"/>
      <c r="AP20" s="35"/>
      <c r="AQ20" s="35"/>
      <c r="AR20" s="35"/>
      <c r="AS20" s="36"/>
      <c r="AT20" s="36"/>
      <c r="AU20" s="36"/>
      <c r="AV20" s="36"/>
      <c r="AW20" s="36"/>
      <c r="AX20" s="36"/>
      <c r="AY20" s="36"/>
      <c r="AZ20" s="36"/>
      <c r="BA20" s="14"/>
      <c r="BB20" s="5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</row>
    <row r="21" spans="2:146" hidden="1">
      <c r="B21" s="233" t="s">
        <v>83</v>
      </c>
      <c r="C21" s="233" t="s">
        <v>301</v>
      </c>
      <c r="D21" s="220">
        <v>0</v>
      </c>
      <c r="E21" s="221"/>
      <c r="F21" s="222">
        <f t="shared" si="0"/>
        <v>0</v>
      </c>
      <c r="G21" s="242"/>
      <c r="H21" s="221"/>
      <c r="I21" s="224">
        <f t="shared" si="1"/>
        <v>0</v>
      </c>
      <c r="J21" s="225"/>
      <c r="K21" s="226" t="str">
        <f t="shared" si="2"/>
        <v>20-</v>
      </c>
      <c r="L21" s="227">
        <f t="shared" si="3"/>
        <v>0</v>
      </c>
      <c r="M21" s="227"/>
      <c r="N21" s="242"/>
      <c r="O21" s="229">
        <f t="shared" si="4"/>
        <v>0</v>
      </c>
      <c r="P21" s="221"/>
      <c r="Q21" s="221">
        <v>0</v>
      </c>
      <c r="R21" s="231"/>
      <c r="S21" s="232" t="str">
        <f t="shared" si="5"/>
        <v>20-</v>
      </c>
      <c r="T21" s="152"/>
      <c r="U21" s="35"/>
      <c r="V21" s="35"/>
      <c r="W21" s="35"/>
      <c r="X21" s="35"/>
      <c r="Y21" s="35"/>
      <c r="Z21" s="35"/>
      <c r="AA21" s="5"/>
      <c r="AB21" s="35"/>
      <c r="AC21" s="42"/>
      <c r="AD21" s="42"/>
      <c r="AE21" s="42"/>
      <c r="AF21" s="42"/>
      <c r="AG21" s="42"/>
      <c r="AH21" s="42"/>
      <c r="AI21" s="42"/>
      <c r="AJ21" s="14"/>
      <c r="AK21" s="35"/>
      <c r="AL21" s="35"/>
      <c r="AM21" s="35"/>
      <c r="AN21" s="35"/>
      <c r="AO21" s="35"/>
      <c r="AP21" s="35"/>
      <c r="AQ21" s="35"/>
      <c r="AR21" s="35"/>
      <c r="AS21" s="36"/>
      <c r="AT21" s="36"/>
      <c r="AU21" s="36"/>
      <c r="AV21" s="36"/>
      <c r="AW21" s="36"/>
      <c r="AX21" s="36"/>
      <c r="AY21" s="36"/>
      <c r="AZ21" s="36"/>
      <c r="BA21" s="14"/>
      <c r="BB21" s="5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</row>
    <row r="22" spans="2:146" hidden="1">
      <c r="B22" s="233" t="s">
        <v>84</v>
      </c>
      <c r="C22" s="233" t="s">
        <v>257</v>
      </c>
      <c r="D22" s="220">
        <v>0</v>
      </c>
      <c r="E22" s="221"/>
      <c r="F22" s="222">
        <f t="shared" si="0"/>
        <v>0</v>
      </c>
      <c r="G22" s="366"/>
      <c r="H22" s="221"/>
      <c r="I22" s="224">
        <f t="shared" si="1"/>
        <v>0</v>
      </c>
      <c r="J22" s="225"/>
      <c r="K22" s="226" t="str">
        <f t="shared" si="2"/>
        <v>211-</v>
      </c>
      <c r="L22" s="227">
        <f t="shared" si="3"/>
        <v>0</v>
      </c>
      <c r="M22" s="227"/>
      <c r="N22" s="242"/>
      <c r="O22" s="229">
        <f t="shared" si="4"/>
        <v>0</v>
      </c>
      <c r="P22" s="221"/>
      <c r="Q22" s="221">
        <v>0</v>
      </c>
      <c r="R22" s="231"/>
      <c r="S22" s="232" t="str">
        <f t="shared" si="5"/>
        <v>211-</v>
      </c>
      <c r="T22" s="152"/>
      <c r="U22" s="35"/>
      <c r="V22" s="35"/>
      <c r="W22" s="35"/>
      <c r="X22" s="35"/>
      <c r="Y22" s="35"/>
      <c r="Z22" s="35"/>
      <c r="AA22" s="5"/>
      <c r="AB22" s="35"/>
      <c r="AC22" s="42"/>
      <c r="AD22" s="42"/>
      <c r="AE22" s="42"/>
      <c r="AF22" s="42"/>
      <c r="AG22" s="42"/>
      <c r="AH22" s="42"/>
      <c r="AI22" s="42"/>
      <c r="AJ22" s="14"/>
      <c r="AK22" s="35"/>
      <c r="AL22" s="35"/>
      <c r="AM22" s="35"/>
      <c r="AN22" s="35"/>
      <c r="AO22" s="35"/>
      <c r="AP22" s="35"/>
      <c r="AQ22" s="35"/>
      <c r="AR22" s="35"/>
      <c r="AS22" s="36"/>
      <c r="AT22" s="36"/>
      <c r="AU22" s="36"/>
      <c r="AV22" s="36"/>
      <c r="AW22" s="36"/>
      <c r="AX22" s="36"/>
      <c r="AY22" s="36"/>
      <c r="AZ22" s="36"/>
      <c r="BA22" s="14"/>
      <c r="BB22" s="5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</row>
    <row r="23" spans="2:146" hidden="1">
      <c r="B23" s="233" t="s">
        <v>87</v>
      </c>
      <c r="C23" s="233" t="s">
        <v>58</v>
      </c>
      <c r="D23" s="220">
        <v>13000000</v>
      </c>
      <c r="E23" s="221"/>
      <c r="F23" s="222">
        <f t="shared" si="0"/>
        <v>13000000</v>
      </c>
      <c r="G23" s="366">
        <v>13000000</v>
      </c>
      <c r="H23" s="221"/>
      <c r="I23" s="224">
        <f t="shared" si="1"/>
        <v>13000000</v>
      </c>
      <c r="J23" s="225"/>
      <c r="K23" s="226" t="str">
        <f t="shared" si="2"/>
        <v>212-</v>
      </c>
      <c r="L23" s="227">
        <f t="shared" si="3"/>
        <v>0</v>
      </c>
      <c r="M23" s="227"/>
      <c r="N23" s="242"/>
      <c r="O23" s="229">
        <f t="shared" si="4"/>
        <v>0</v>
      </c>
      <c r="P23" s="221"/>
      <c r="Q23" s="221">
        <v>0</v>
      </c>
      <c r="R23" s="231"/>
      <c r="S23" s="232" t="str">
        <f t="shared" si="5"/>
        <v>212-</v>
      </c>
      <c r="T23" s="152"/>
      <c r="U23" s="35"/>
      <c r="V23" s="35"/>
      <c r="W23" s="35"/>
      <c r="X23" s="35"/>
      <c r="Y23" s="35"/>
      <c r="Z23" s="35"/>
      <c r="AA23" s="5"/>
      <c r="AB23" s="35"/>
      <c r="AC23" s="42"/>
      <c r="AD23" s="42"/>
      <c r="AE23" s="42"/>
      <c r="AF23" s="42"/>
      <c r="AG23" s="42"/>
      <c r="AH23" s="42"/>
      <c r="AI23" s="42"/>
      <c r="AJ23" s="14"/>
      <c r="AK23" s="35"/>
      <c r="AL23" s="35"/>
      <c r="AM23" s="35"/>
      <c r="AN23" s="35"/>
      <c r="AO23" s="35"/>
      <c r="AP23" s="35"/>
      <c r="AQ23" s="35"/>
      <c r="AR23" s="35"/>
      <c r="AS23" s="36"/>
      <c r="AT23" s="36"/>
      <c r="AU23" s="36"/>
      <c r="AV23" s="36"/>
      <c r="AW23" s="36"/>
      <c r="AX23" s="36"/>
      <c r="AY23" s="36"/>
      <c r="AZ23" s="36"/>
      <c r="BA23" s="14"/>
      <c r="BB23" s="5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</row>
    <row r="24" spans="2:146" hidden="1">
      <c r="B24" s="233" t="s">
        <v>88</v>
      </c>
      <c r="C24" s="233" t="s">
        <v>302</v>
      </c>
      <c r="D24" s="220">
        <v>6861675</v>
      </c>
      <c r="E24" s="221"/>
      <c r="F24" s="222">
        <f t="shared" si="0"/>
        <v>6861675</v>
      </c>
      <c r="G24" s="367">
        <v>5411675</v>
      </c>
      <c r="H24" s="221">
        <v>0</v>
      </c>
      <c r="I24" s="224">
        <f t="shared" si="1"/>
        <v>5411675</v>
      </c>
      <c r="J24" s="225"/>
      <c r="K24" s="226" t="str">
        <f t="shared" si="2"/>
        <v>213-</v>
      </c>
      <c r="L24" s="227">
        <f t="shared" si="3"/>
        <v>0</v>
      </c>
      <c r="M24" s="227"/>
      <c r="N24" s="242"/>
      <c r="O24" s="229">
        <f t="shared" si="4"/>
        <v>0</v>
      </c>
      <c r="P24" s="221"/>
      <c r="Q24" s="221">
        <v>0</v>
      </c>
      <c r="R24" s="231"/>
      <c r="S24" s="232" t="str">
        <f t="shared" si="5"/>
        <v>213-</v>
      </c>
      <c r="T24" s="152"/>
      <c r="U24" s="35"/>
      <c r="V24" s="35"/>
      <c r="W24" s="35"/>
      <c r="X24" s="35"/>
      <c r="Y24" s="35"/>
      <c r="Z24" s="35"/>
      <c r="AA24" s="5"/>
      <c r="AB24" s="35"/>
      <c r="AC24" s="42"/>
      <c r="AD24" s="42"/>
      <c r="AE24" s="42"/>
      <c r="AF24" s="42"/>
      <c r="AG24" s="42"/>
      <c r="AH24" s="42"/>
      <c r="AI24" s="42"/>
      <c r="AJ24" s="14"/>
      <c r="AK24" s="35"/>
      <c r="AL24" s="35"/>
      <c r="AM24" s="35"/>
      <c r="AN24" s="35"/>
      <c r="AO24" s="35"/>
      <c r="AP24" s="35"/>
      <c r="AQ24" s="35"/>
      <c r="AR24" s="35"/>
      <c r="AS24" s="36"/>
      <c r="AT24" s="36"/>
      <c r="AU24" s="36"/>
      <c r="AV24" s="36"/>
      <c r="AW24" s="36"/>
      <c r="AX24" s="36"/>
      <c r="AY24" s="36"/>
      <c r="AZ24" s="36"/>
      <c r="BA24" s="14"/>
      <c r="BB24" s="5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</row>
    <row r="25" spans="2:146" hidden="1">
      <c r="B25" s="233" t="s">
        <v>89</v>
      </c>
      <c r="C25" s="233" t="s">
        <v>303</v>
      </c>
      <c r="D25" s="220">
        <v>1500000</v>
      </c>
      <c r="E25" s="221"/>
      <c r="F25" s="222">
        <f t="shared" si="0"/>
        <v>1500000</v>
      </c>
      <c r="G25" s="366">
        <v>1500000</v>
      </c>
      <c r="H25" s="221"/>
      <c r="I25" s="224">
        <f t="shared" si="1"/>
        <v>1500000</v>
      </c>
      <c r="J25" s="225"/>
      <c r="K25" s="226" t="str">
        <f t="shared" si="2"/>
        <v>215-</v>
      </c>
      <c r="L25" s="227">
        <f t="shared" si="3"/>
        <v>0</v>
      </c>
      <c r="M25" s="227"/>
      <c r="N25" s="242"/>
      <c r="O25" s="229">
        <f t="shared" si="4"/>
        <v>0</v>
      </c>
      <c r="P25" s="221"/>
      <c r="Q25" s="221">
        <v>0</v>
      </c>
      <c r="R25" s="231"/>
      <c r="S25" s="232" t="str">
        <f t="shared" si="5"/>
        <v>215-</v>
      </c>
      <c r="T25" s="152"/>
      <c r="U25" s="35"/>
      <c r="V25" s="35"/>
      <c r="W25" s="35"/>
      <c r="X25" s="35"/>
      <c r="Y25" s="35"/>
      <c r="Z25" s="35"/>
      <c r="AA25" s="5"/>
      <c r="AB25" s="35"/>
      <c r="AC25" s="42"/>
      <c r="AD25" s="42"/>
      <c r="AE25" s="42"/>
      <c r="AF25" s="42"/>
      <c r="AG25" s="42"/>
      <c r="AH25" s="42"/>
      <c r="AI25" s="42"/>
      <c r="AJ25" s="14"/>
      <c r="AK25" s="35"/>
      <c r="AL25" s="35"/>
      <c r="AM25" s="35"/>
      <c r="AN25" s="35"/>
      <c r="AO25" s="35"/>
      <c r="AP25" s="35"/>
      <c r="AQ25" s="35"/>
      <c r="AR25" s="35"/>
      <c r="AS25" s="36"/>
      <c r="AT25" s="36"/>
      <c r="AU25" s="36"/>
      <c r="AV25" s="36"/>
      <c r="AW25" s="36"/>
      <c r="AX25" s="36"/>
      <c r="AY25" s="36"/>
      <c r="AZ25" s="36"/>
      <c r="BA25" s="14"/>
      <c r="BB25" s="5"/>
      <c r="BC25" s="136"/>
      <c r="BD25" s="136"/>
      <c r="BE25" s="136"/>
      <c r="BF25" s="136"/>
      <c r="BG25" s="136"/>
      <c r="BH25" s="136"/>
      <c r="BI25" s="136"/>
      <c r="BJ25" s="136"/>
      <c r="BK25" s="136"/>
      <c r="BL25" s="136"/>
      <c r="BM25" s="136"/>
      <c r="BN25" s="136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</row>
    <row r="26" spans="2:146" hidden="1">
      <c r="B26" s="233" t="s">
        <v>90</v>
      </c>
      <c r="C26" s="233" t="s">
        <v>304</v>
      </c>
      <c r="D26" s="220">
        <v>1267978</v>
      </c>
      <c r="E26" s="221"/>
      <c r="F26" s="222">
        <f t="shared" si="0"/>
        <v>1267978</v>
      </c>
      <c r="G26" s="366">
        <v>1309227</v>
      </c>
      <c r="H26" s="221"/>
      <c r="I26" s="224">
        <f t="shared" si="1"/>
        <v>1309227</v>
      </c>
      <c r="J26" s="225"/>
      <c r="K26" s="226" t="str">
        <f t="shared" si="2"/>
        <v>218-</v>
      </c>
      <c r="L26" s="227">
        <f t="shared" si="3"/>
        <v>0</v>
      </c>
      <c r="M26" s="227"/>
      <c r="N26" s="242"/>
      <c r="O26" s="229">
        <f t="shared" si="4"/>
        <v>0</v>
      </c>
      <c r="P26" s="221"/>
      <c r="Q26" s="221">
        <v>0</v>
      </c>
      <c r="R26" s="231"/>
      <c r="S26" s="232" t="str">
        <f t="shared" si="5"/>
        <v>218-</v>
      </c>
      <c r="T26" s="151"/>
      <c r="U26" s="35"/>
      <c r="V26" s="35"/>
      <c r="W26" s="35"/>
      <c r="X26" s="35"/>
      <c r="Y26" s="35"/>
      <c r="Z26" s="35"/>
      <c r="AA26" s="5"/>
      <c r="AB26" s="35"/>
      <c r="AC26" s="42"/>
      <c r="AD26" s="42"/>
      <c r="AE26" s="42"/>
      <c r="AF26" s="42"/>
      <c r="AG26" s="42"/>
      <c r="AH26" s="42"/>
      <c r="AI26" s="42"/>
      <c r="AJ26" s="14"/>
      <c r="AK26" s="35"/>
      <c r="AL26" s="35"/>
      <c r="AM26" s="35"/>
      <c r="AN26" s="35"/>
      <c r="AO26" s="35"/>
      <c r="AP26" s="35"/>
      <c r="AQ26" s="35"/>
      <c r="AR26" s="35"/>
      <c r="AS26" s="36"/>
      <c r="AT26" s="36"/>
      <c r="AU26" s="36"/>
      <c r="AV26" s="36"/>
      <c r="AW26" s="36"/>
      <c r="AX26" s="36"/>
      <c r="AY26" s="36"/>
      <c r="AZ26" s="36"/>
      <c r="BA26" s="14"/>
      <c r="BB26" s="5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6"/>
      <c r="BN26" s="136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</row>
    <row r="27" spans="2:146" hidden="1">
      <c r="B27" s="233" t="s">
        <v>92</v>
      </c>
      <c r="C27" s="233" t="s">
        <v>198</v>
      </c>
      <c r="D27" s="220">
        <v>0</v>
      </c>
      <c r="E27" s="221"/>
      <c r="F27" s="222">
        <f t="shared" si="0"/>
        <v>0</v>
      </c>
      <c r="G27" s="366"/>
      <c r="H27" s="221"/>
      <c r="I27" s="224">
        <f t="shared" si="1"/>
        <v>0</v>
      </c>
      <c r="J27" s="225"/>
      <c r="K27" s="226" t="str">
        <f t="shared" si="2"/>
        <v>232-</v>
      </c>
      <c r="L27" s="227">
        <f t="shared" si="3"/>
        <v>0</v>
      </c>
      <c r="M27" s="227"/>
      <c r="N27" s="242"/>
      <c r="O27" s="229">
        <f t="shared" si="4"/>
        <v>0</v>
      </c>
      <c r="P27" s="221"/>
      <c r="Q27" s="221">
        <v>0</v>
      </c>
      <c r="R27" s="231"/>
      <c r="S27" s="232" t="str">
        <f t="shared" si="5"/>
        <v>232-</v>
      </c>
      <c r="T27" s="152"/>
      <c r="U27" s="35"/>
      <c r="V27" s="35"/>
      <c r="W27" s="35"/>
      <c r="X27" s="35"/>
      <c r="Y27" s="35"/>
      <c r="Z27" s="35"/>
      <c r="AA27" s="5"/>
      <c r="AB27" s="35"/>
      <c r="AC27" s="42"/>
      <c r="AD27" s="42"/>
      <c r="AE27" s="42"/>
      <c r="AF27" s="42"/>
      <c r="AG27" s="42"/>
      <c r="AH27" s="42"/>
      <c r="AI27" s="42"/>
      <c r="AJ27" s="14"/>
      <c r="AK27" s="35"/>
      <c r="AL27" s="35"/>
      <c r="AM27" s="35"/>
      <c r="AN27" s="35"/>
      <c r="AO27" s="35"/>
      <c r="AP27" s="35"/>
      <c r="AQ27" s="35"/>
      <c r="AR27" s="35"/>
      <c r="AS27" s="36"/>
      <c r="AT27" s="36"/>
      <c r="AU27" s="36"/>
      <c r="AV27" s="36"/>
      <c r="AW27" s="36"/>
      <c r="AX27" s="36"/>
      <c r="AY27" s="36"/>
      <c r="AZ27" s="36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</row>
    <row r="28" spans="2:146" hidden="1">
      <c r="B28" s="233" t="s">
        <v>93</v>
      </c>
      <c r="C28" s="233" t="s">
        <v>305</v>
      </c>
      <c r="D28" s="220">
        <v>0</v>
      </c>
      <c r="E28" s="221"/>
      <c r="F28" s="222">
        <f t="shared" si="0"/>
        <v>0</v>
      </c>
      <c r="G28" s="242"/>
      <c r="H28" s="221"/>
      <c r="I28" s="224">
        <f t="shared" si="1"/>
        <v>0</v>
      </c>
      <c r="J28" s="225"/>
      <c r="K28" s="226" t="str">
        <f t="shared" si="2"/>
        <v>280-</v>
      </c>
      <c r="L28" s="227">
        <f t="shared" si="3"/>
        <v>0</v>
      </c>
      <c r="M28" s="227"/>
      <c r="N28" s="242"/>
      <c r="O28" s="229">
        <f t="shared" si="4"/>
        <v>0</v>
      </c>
      <c r="P28" s="221"/>
      <c r="Q28" s="221">
        <v>0</v>
      </c>
      <c r="R28" s="231"/>
      <c r="S28" s="232" t="str">
        <f t="shared" si="5"/>
        <v>280-</v>
      </c>
      <c r="T28" s="152"/>
      <c r="U28" s="35"/>
      <c r="V28" s="35"/>
      <c r="W28" s="35"/>
      <c r="X28" s="35"/>
      <c r="Y28" s="35"/>
      <c r="Z28" s="35"/>
      <c r="AA28" s="5"/>
      <c r="AB28" s="35"/>
      <c r="AC28" s="42"/>
      <c r="AD28" s="42"/>
      <c r="AE28" s="42"/>
      <c r="AF28" s="42"/>
      <c r="AG28" s="42"/>
      <c r="AH28" s="42"/>
      <c r="AI28" s="42"/>
      <c r="AJ28" s="14"/>
      <c r="AK28" s="35"/>
      <c r="AL28" s="35"/>
      <c r="AM28" s="35"/>
      <c r="AN28" s="35"/>
      <c r="AO28" s="35"/>
      <c r="AP28" s="35"/>
      <c r="AQ28" s="35"/>
      <c r="AR28" s="35"/>
      <c r="AS28" s="36"/>
      <c r="AT28" s="36"/>
      <c r="AU28" s="36"/>
      <c r="AV28" s="36"/>
      <c r="AW28" s="36"/>
      <c r="AX28" s="36"/>
      <c r="AY28" s="36"/>
      <c r="AZ28" s="36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</row>
    <row r="29" spans="2:146" hidden="1">
      <c r="B29" s="233">
        <v>2812</v>
      </c>
      <c r="C29" s="233" t="s">
        <v>323</v>
      </c>
      <c r="D29" s="220">
        <v>0</v>
      </c>
      <c r="E29" s="221"/>
      <c r="F29" s="222">
        <f t="shared" si="0"/>
        <v>0</v>
      </c>
      <c r="G29" s="242"/>
      <c r="H29" s="221"/>
      <c r="I29" s="224">
        <f t="shared" si="1"/>
        <v>0</v>
      </c>
      <c r="J29" s="225"/>
      <c r="K29" s="226">
        <f t="shared" si="2"/>
        <v>2812</v>
      </c>
      <c r="L29" s="227">
        <f t="shared" si="3"/>
        <v>2143901</v>
      </c>
      <c r="M29" s="227"/>
      <c r="N29" s="323">
        <v>2143901</v>
      </c>
      <c r="O29" s="229">
        <f t="shared" si="4"/>
        <v>1922350</v>
      </c>
      <c r="P29" s="221"/>
      <c r="Q29" s="221">
        <v>1922350</v>
      </c>
      <c r="R29" s="231"/>
      <c r="S29" s="232">
        <f t="shared" si="5"/>
        <v>2812</v>
      </c>
      <c r="T29" s="152"/>
      <c r="U29" s="35"/>
      <c r="V29" s="35"/>
      <c r="W29" s="35"/>
      <c r="X29" s="35"/>
      <c r="Y29" s="35"/>
      <c r="Z29" s="35"/>
      <c r="AA29" s="5"/>
      <c r="AB29" s="35"/>
      <c r="AC29" s="42"/>
      <c r="AD29" s="42"/>
      <c r="AE29" s="42"/>
      <c r="AF29" s="42"/>
      <c r="AG29" s="42"/>
      <c r="AH29" s="42"/>
      <c r="AI29" s="42"/>
      <c r="AJ29" s="14"/>
      <c r="AK29" s="35"/>
      <c r="AL29" s="35"/>
      <c r="AM29" s="35"/>
      <c r="AN29" s="35"/>
      <c r="AO29" s="35"/>
      <c r="AP29" s="35"/>
      <c r="AQ29" s="35"/>
      <c r="AR29" s="35"/>
      <c r="AS29" s="36"/>
      <c r="AT29" s="36"/>
      <c r="AU29" s="36"/>
      <c r="AV29" s="36"/>
      <c r="AW29" s="36"/>
      <c r="AX29" s="36"/>
      <c r="AY29" s="36"/>
      <c r="AZ29" s="36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</row>
    <row r="30" spans="2:146" hidden="1">
      <c r="B30" s="233">
        <v>2813</v>
      </c>
      <c r="C30" s="233" t="s">
        <v>306</v>
      </c>
      <c r="D30" s="220">
        <v>0</v>
      </c>
      <c r="E30" s="221"/>
      <c r="F30" s="222">
        <f t="shared" si="0"/>
        <v>0</v>
      </c>
      <c r="G30" s="242"/>
      <c r="H30" s="221"/>
      <c r="I30" s="224">
        <f t="shared" si="1"/>
        <v>0</v>
      </c>
      <c r="J30" s="225"/>
      <c r="K30" s="226">
        <f t="shared" si="2"/>
        <v>2813</v>
      </c>
      <c r="L30" s="227">
        <f t="shared" si="3"/>
        <v>1194994</v>
      </c>
      <c r="M30" s="227">
        <v>0</v>
      </c>
      <c r="N30" s="323">
        <v>1194994</v>
      </c>
      <c r="O30" s="229">
        <f t="shared" si="4"/>
        <v>2450411</v>
      </c>
      <c r="P30" s="221"/>
      <c r="Q30" s="221">
        <v>2450411</v>
      </c>
      <c r="R30" s="231"/>
      <c r="S30" s="232"/>
      <c r="T30" s="152"/>
      <c r="U30" s="35"/>
      <c r="V30" s="35"/>
      <c r="W30" s="35"/>
      <c r="X30" s="35"/>
      <c r="Y30" s="35"/>
      <c r="Z30" s="35"/>
      <c r="AA30" s="5"/>
      <c r="AB30" s="35"/>
      <c r="AC30" s="42"/>
      <c r="AD30" s="42"/>
      <c r="AE30" s="42"/>
      <c r="AF30" s="42"/>
      <c r="AG30" s="42"/>
      <c r="AH30" s="42"/>
      <c r="AI30" s="42"/>
      <c r="AJ30" s="14"/>
      <c r="AK30" s="35"/>
      <c r="AL30" s="35"/>
      <c r="AM30" s="35"/>
      <c r="AN30" s="35"/>
      <c r="AO30" s="35"/>
      <c r="AP30" s="35"/>
      <c r="AQ30" s="35"/>
      <c r="AR30" s="35"/>
      <c r="AS30" s="36"/>
      <c r="AT30" s="36"/>
      <c r="AU30" s="36"/>
      <c r="AV30" s="36"/>
      <c r="AW30" s="36"/>
      <c r="AX30" s="36"/>
      <c r="AY30" s="36"/>
      <c r="AZ30" s="36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</row>
    <row r="31" spans="2:146" hidden="1">
      <c r="B31" s="233">
        <v>2815</v>
      </c>
      <c r="C31" s="233" t="s">
        <v>307</v>
      </c>
      <c r="D31" s="220">
        <v>0</v>
      </c>
      <c r="E31" s="221"/>
      <c r="F31" s="222">
        <f t="shared" si="0"/>
        <v>0</v>
      </c>
      <c r="G31" s="242"/>
      <c r="H31" s="221"/>
      <c r="I31" s="224">
        <f t="shared" si="1"/>
        <v>0</v>
      </c>
      <c r="J31" s="225"/>
      <c r="K31" s="226">
        <f t="shared" si="2"/>
        <v>2815</v>
      </c>
      <c r="L31" s="227">
        <f t="shared" si="3"/>
        <v>533869</v>
      </c>
      <c r="M31" s="227"/>
      <c r="N31" s="323">
        <v>533869</v>
      </c>
      <c r="O31" s="229">
        <f t="shared" si="4"/>
        <v>493613</v>
      </c>
      <c r="P31" s="221"/>
      <c r="Q31" s="221">
        <v>493613</v>
      </c>
      <c r="R31" s="231"/>
      <c r="S31" s="232"/>
      <c r="T31" s="152"/>
      <c r="U31" s="35"/>
      <c r="V31" s="35"/>
      <c r="W31" s="35"/>
      <c r="X31" s="35"/>
      <c r="Y31" s="35"/>
      <c r="Z31" s="35"/>
      <c r="AA31" s="5"/>
      <c r="AB31" s="35"/>
      <c r="AC31" s="42"/>
      <c r="AD31" s="42"/>
      <c r="AE31" s="42"/>
      <c r="AF31" s="42"/>
      <c r="AG31" s="42"/>
      <c r="AH31" s="42"/>
      <c r="AI31" s="42"/>
      <c r="AJ31" s="14"/>
      <c r="AK31" s="35"/>
      <c r="AL31" s="35"/>
      <c r="AM31" s="35"/>
      <c r="AN31" s="35"/>
      <c r="AO31" s="35"/>
      <c r="AP31" s="35"/>
      <c r="AQ31" s="35"/>
      <c r="AR31" s="35"/>
      <c r="AS31" s="36"/>
      <c r="AT31" s="36"/>
      <c r="AU31" s="36"/>
      <c r="AV31" s="36"/>
      <c r="AW31" s="36"/>
      <c r="AX31" s="36"/>
      <c r="AY31" s="36"/>
      <c r="AZ31" s="36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</row>
    <row r="32" spans="2:146" hidden="1">
      <c r="B32" s="233">
        <v>2818</v>
      </c>
      <c r="C32" s="233" t="s">
        <v>308</v>
      </c>
      <c r="D32" s="220">
        <v>0</v>
      </c>
      <c r="E32" s="221"/>
      <c r="F32" s="222">
        <f t="shared" si="0"/>
        <v>0</v>
      </c>
      <c r="G32" s="242"/>
      <c r="H32" s="221"/>
      <c r="I32" s="224">
        <f t="shared" si="1"/>
        <v>0</v>
      </c>
      <c r="J32" s="225"/>
      <c r="K32" s="226">
        <f t="shared" si="2"/>
        <v>2818</v>
      </c>
      <c r="L32" s="227">
        <f t="shared" si="3"/>
        <v>755766</v>
      </c>
      <c r="M32" s="227"/>
      <c r="N32" s="323">
        <v>755766</v>
      </c>
      <c r="O32" s="229">
        <f t="shared" si="4"/>
        <v>571279</v>
      </c>
      <c r="P32" s="221"/>
      <c r="Q32" s="221">
        <v>571279</v>
      </c>
      <c r="R32" s="231"/>
      <c r="S32" s="232"/>
      <c r="T32" s="152"/>
      <c r="U32" s="35"/>
      <c r="V32" s="35"/>
      <c r="W32" s="35"/>
      <c r="X32" s="35"/>
      <c r="Y32" s="35"/>
      <c r="Z32" s="35"/>
      <c r="AA32" s="5"/>
      <c r="AB32" s="35"/>
      <c r="AC32" s="42"/>
      <c r="AD32" s="42"/>
      <c r="AE32" s="42"/>
      <c r="AF32" s="42"/>
      <c r="AG32" s="42"/>
      <c r="AH32" s="42"/>
      <c r="AI32" s="42"/>
      <c r="AJ32" s="14"/>
      <c r="AK32" s="35"/>
      <c r="AL32" s="35"/>
      <c r="AM32" s="35"/>
      <c r="AN32" s="35"/>
      <c r="AO32" s="35"/>
      <c r="AP32" s="35"/>
      <c r="AQ32" s="35"/>
      <c r="AR32" s="35"/>
      <c r="AS32" s="36"/>
      <c r="AT32" s="36"/>
      <c r="AU32" s="36"/>
      <c r="AV32" s="36"/>
      <c r="AW32" s="36"/>
      <c r="AX32" s="36"/>
      <c r="AY32" s="36"/>
      <c r="AZ32" s="36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</row>
    <row r="33" spans="2:146" hidden="1">
      <c r="B33" s="233" t="s">
        <v>94</v>
      </c>
      <c r="C33" s="233" t="s">
        <v>309</v>
      </c>
      <c r="D33" s="220">
        <v>7417496</v>
      </c>
      <c r="E33" s="221"/>
      <c r="F33" s="222">
        <f t="shared" si="0"/>
        <v>7417496</v>
      </c>
      <c r="G33" s="366">
        <v>11639989</v>
      </c>
      <c r="H33" s="221"/>
      <c r="I33" s="224">
        <f t="shared" si="1"/>
        <v>11639989</v>
      </c>
      <c r="J33" s="225"/>
      <c r="K33" s="226" t="str">
        <f t="shared" si="2"/>
        <v>311-</v>
      </c>
      <c r="L33" s="227">
        <f t="shared" si="3"/>
        <v>0</v>
      </c>
      <c r="M33" s="227"/>
      <c r="N33" s="242"/>
      <c r="O33" s="229">
        <f t="shared" si="4"/>
        <v>0</v>
      </c>
      <c r="P33" s="221"/>
      <c r="Q33" s="221">
        <v>0</v>
      </c>
      <c r="R33" s="231"/>
      <c r="S33" s="232" t="str">
        <f>+K33</f>
        <v>311-</v>
      </c>
      <c r="T33" s="152"/>
      <c r="U33" s="35"/>
      <c r="V33" s="35"/>
      <c r="W33" s="35"/>
      <c r="X33" s="35"/>
      <c r="Y33" s="35"/>
      <c r="Z33" s="35"/>
      <c r="AA33" s="5"/>
      <c r="AB33" s="35"/>
      <c r="AC33" s="42"/>
      <c r="AD33" s="42"/>
      <c r="AE33" s="42"/>
      <c r="AF33" s="42"/>
      <c r="AG33" s="42"/>
      <c r="AH33" s="42"/>
      <c r="AI33" s="42"/>
      <c r="AJ33" s="14"/>
      <c r="AK33" s="35"/>
      <c r="AL33" s="35"/>
      <c r="AM33" s="35"/>
      <c r="AN33" s="35"/>
      <c r="AO33" s="35"/>
      <c r="AP33" s="35"/>
      <c r="AQ33" s="35"/>
      <c r="AR33" s="35"/>
      <c r="AS33" s="36"/>
      <c r="AT33" s="36"/>
      <c r="AU33" s="36"/>
      <c r="AV33" s="36"/>
      <c r="AW33" s="36"/>
      <c r="AX33" s="36"/>
      <c r="AY33" s="36"/>
      <c r="AZ33" s="36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</row>
    <row r="34" spans="2:146" hidden="1">
      <c r="B34" s="233">
        <v>3123</v>
      </c>
      <c r="C34" s="233" t="s">
        <v>73</v>
      </c>
      <c r="D34" s="220">
        <v>0</v>
      </c>
      <c r="E34" s="221"/>
      <c r="F34" s="222">
        <f t="shared" si="0"/>
        <v>0</v>
      </c>
      <c r="G34" s="242"/>
      <c r="H34" s="221"/>
      <c r="I34" s="224">
        <f t="shared" si="1"/>
        <v>0</v>
      </c>
      <c r="J34" s="225"/>
      <c r="K34" s="226">
        <f t="shared" si="2"/>
        <v>3123</v>
      </c>
      <c r="L34" s="227">
        <f t="shared" si="3"/>
        <v>0</v>
      </c>
      <c r="M34" s="227"/>
      <c r="N34" s="242"/>
      <c r="O34" s="229">
        <f t="shared" si="4"/>
        <v>0</v>
      </c>
      <c r="P34" s="221"/>
      <c r="Q34" s="221">
        <v>0</v>
      </c>
      <c r="R34" s="231"/>
      <c r="S34" s="232"/>
      <c r="T34" s="152"/>
      <c r="U34" s="35"/>
      <c r="V34" s="35"/>
      <c r="W34" s="35"/>
      <c r="X34" s="35"/>
      <c r="Y34" s="35"/>
      <c r="Z34" s="35"/>
      <c r="AA34" s="5"/>
      <c r="AB34" s="35"/>
      <c r="AC34" s="42"/>
      <c r="AD34" s="42"/>
      <c r="AE34" s="42"/>
      <c r="AF34" s="42"/>
      <c r="AG34" s="42"/>
      <c r="AH34" s="42"/>
      <c r="AI34" s="42"/>
      <c r="AJ34" s="14"/>
      <c r="AK34" s="35"/>
      <c r="AL34" s="35"/>
      <c r="AM34" s="35"/>
      <c r="AN34" s="35"/>
      <c r="AO34" s="35"/>
      <c r="AP34" s="35"/>
      <c r="AQ34" s="35"/>
      <c r="AR34" s="35"/>
      <c r="AS34" s="36"/>
      <c r="AT34" s="36"/>
      <c r="AU34" s="36"/>
      <c r="AV34" s="36"/>
      <c r="AW34" s="36"/>
      <c r="AX34" s="36"/>
      <c r="AY34" s="36"/>
      <c r="AZ34" s="36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</row>
    <row r="35" spans="2:146" hidden="1">
      <c r="B35" s="233">
        <v>3124</v>
      </c>
      <c r="C35" s="233" t="s">
        <v>310</v>
      </c>
      <c r="D35" s="220">
        <v>0</v>
      </c>
      <c r="E35" s="221"/>
      <c r="F35" s="222">
        <f t="shared" si="0"/>
        <v>0</v>
      </c>
      <c r="G35" s="242"/>
      <c r="H35" s="221"/>
      <c r="I35" s="224">
        <f t="shared" si="1"/>
        <v>0</v>
      </c>
      <c r="J35" s="225"/>
      <c r="K35" s="226">
        <f t="shared" si="2"/>
        <v>3124</v>
      </c>
      <c r="L35" s="227">
        <f t="shared" si="3"/>
        <v>0</v>
      </c>
      <c r="M35" s="227"/>
      <c r="N35" s="242"/>
      <c r="O35" s="229">
        <f t="shared" si="4"/>
        <v>0</v>
      </c>
      <c r="P35" s="221"/>
      <c r="Q35" s="221">
        <v>0</v>
      </c>
      <c r="R35" s="231"/>
      <c r="S35" s="232"/>
      <c r="T35" s="152"/>
      <c r="U35" s="35"/>
      <c r="V35" s="35"/>
      <c r="W35" s="35"/>
      <c r="X35" s="35"/>
      <c r="Y35" s="35"/>
      <c r="Z35" s="35"/>
      <c r="AA35" s="5"/>
      <c r="AB35" s="35"/>
      <c r="AC35" s="42"/>
      <c r="AD35" s="42"/>
      <c r="AE35" s="42"/>
      <c r="AF35" s="42"/>
      <c r="AG35" s="42"/>
      <c r="AH35" s="42"/>
      <c r="AI35" s="42"/>
      <c r="AJ35" s="14"/>
      <c r="AK35" s="35"/>
      <c r="AL35" s="35"/>
      <c r="AM35" s="35"/>
      <c r="AN35" s="35"/>
      <c r="AO35" s="35"/>
      <c r="AP35" s="35"/>
      <c r="AQ35" s="35"/>
      <c r="AR35" s="35"/>
      <c r="AS35" s="36"/>
      <c r="AT35" s="36"/>
      <c r="AU35" s="36"/>
      <c r="AV35" s="36"/>
      <c r="AW35" s="36"/>
      <c r="AX35" s="36"/>
      <c r="AY35" s="36"/>
      <c r="AZ35" s="36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</row>
    <row r="36" spans="2:146" hidden="1">
      <c r="B36" s="233">
        <v>3125</v>
      </c>
      <c r="C36" s="233" t="s">
        <v>311</v>
      </c>
      <c r="D36" s="220">
        <v>0</v>
      </c>
      <c r="E36" s="221"/>
      <c r="F36" s="222">
        <f t="shared" si="0"/>
        <v>0</v>
      </c>
      <c r="G36" s="242"/>
      <c r="H36" s="221"/>
      <c r="I36" s="224">
        <f t="shared" si="1"/>
        <v>0</v>
      </c>
      <c r="J36" s="225"/>
      <c r="K36" s="226">
        <f t="shared" si="2"/>
        <v>3125</v>
      </c>
      <c r="L36" s="227">
        <f t="shared" si="3"/>
        <v>0</v>
      </c>
      <c r="M36" s="227"/>
      <c r="N36" s="242"/>
      <c r="O36" s="229">
        <f t="shared" si="4"/>
        <v>0</v>
      </c>
      <c r="P36" s="221"/>
      <c r="Q36" s="221">
        <v>0</v>
      </c>
      <c r="R36" s="231"/>
      <c r="S36" s="232"/>
      <c r="T36" s="152"/>
      <c r="U36" s="35"/>
      <c r="V36" s="35"/>
      <c r="W36" s="35"/>
      <c r="X36" s="35"/>
      <c r="Y36" s="35"/>
      <c r="Z36" s="35"/>
      <c r="AA36" s="5"/>
      <c r="AB36" s="35"/>
      <c r="AC36" s="42"/>
      <c r="AD36" s="42"/>
      <c r="AE36" s="42"/>
      <c r="AF36" s="42"/>
      <c r="AG36" s="42"/>
      <c r="AH36" s="42"/>
      <c r="AI36" s="42"/>
      <c r="AJ36" s="14"/>
      <c r="AK36" s="35"/>
      <c r="AL36" s="35"/>
      <c r="AM36" s="35"/>
      <c r="AN36" s="35"/>
      <c r="AO36" s="35"/>
      <c r="AP36" s="35"/>
      <c r="AQ36" s="35"/>
      <c r="AR36" s="35"/>
      <c r="AS36" s="36"/>
      <c r="AT36" s="36"/>
      <c r="AU36" s="36"/>
      <c r="AV36" s="36"/>
      <c r="AW36" s="36"/>
      <c r="AX36" s="36"/>
      <c r="AY36" s="36"/>
      <c r="AZ36" s="36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</row>
    <row r="37" spans="2:146" hidden="1">
      <c r="B37" s="233">
        <v>3126</v>
      </c>
      <c r="C37" s="233" t="s">
        <v>312</v>
      </c>
      <c r="D37" s="220">
        <v>0</v>
      </c>
      <c r="E37" s="221"/>
      <c r="F37" s="222">
        <f t="shared" si="0"/>
        <v>0</v>
      </c>
      <c r="G37" s="242"/>
      <c r="H37" s="221"/>
      <c r="I37" s="224">
        <f t="shared" si="1"/>
        <v>0</v>
      </c>
      <c r="J37" s="225"/>
      <c r="K37" s="226">
        <f t="shared" si="2"/>
        <v>3126</v>
      </c>
      <c r="L37" s="227">
        <f t="shared" si="3"/>
        <v>0</v>
      </c>
      <c r="M37" s="227"/>
      <c r="N37" s="242"/>
      <c r="O37" s="229">
        <f t="shared" si="4"/>
        <v>0</v>
      </c>
      <c r="P37" s="221"/>
      <c r="Q37" s="221">
        <v>0</v>
      </c>
      <c r="R37" s="231"/>
      <c r="S37" s="232"/>
      <c r="T37" s="152"/>
      <c r="U37" s="35"/>
      <c r="V37" s="35"/>
      <c r="W37" s="35"/>
      <c r="X37" s="35"/>
      <c r="Y37" s="35"/>
      <c r="Z37" s="35"/>
      <c r="AA37" s="5"/>
      <c r="AB37" s="35"/>
      <c r="AC37" s="42"/>
      <c r="AD37" s="42"/>
      <c r="AE37" s="42"/>
      <c r="AF37" s="42"/>
      <c r="AG37" s="42"/>
      <c r="AH37" s="42"/>
      <c r="AI37" s="42"/>
      <c r="AJ37" s="14"/>
      <c r="AK37" s="35"/>
      <c r="AL37" s="35"/>
      <c r="AM37" s="35"/>
      <c r="AN37" s="35"/>
      <c r="AO37" s="35"/>
      <c r="AP37" s="35"/>
      <c r="AQ37" s="35"/>
      <c r="AR37" s="35"/>
      <c r="AS37" s="36"/>
      <c r="AT37" s="36"/>
      <c r="AU37" s="36"/>
      <c r="AV37" s="36"/>
      <c r="AW37" s="36"/>
      <c r="AX37" s="36"/>
      <c r="AY37" s="36"/>
      <c r="AZ37" s="36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</row>
    <row r="38" spans="2:146" hidden="1">
      <c r="B38" s="233">
        <v>3127</v>
      </c>
      <c r="C38" s="233" t="s">
        <v>313</v>
      </c>
      <c r="D38" s="220">
        <v>0</v>
      </c>
      <c r="E38" s="221"/>
      <c r="F38" s="222">
        <f t="shared" si="0"/>
        <v>0</v>
      </c>
      <c r="G38" s="242"/>
      <c r="H38" s="221"/>
      <c r="I38" s="224">
        <f t="shared" si="1"/>
        <v>0</v>
      </c>
      <c r="J38" s="225"/>
      <c r="K38" s="226">
        <f t="shared" si="2"/>
        <v>3127</v>
      </c>
      <c r="L38" s="227">
        <f t="shared" si="3"/>
        <v>0</v>
      </c>
      <c r="M38" s="227"/>
      <c r="N38" s="242"/>
      <c r="O38" s="229">
        <f t="shared" si="4"/>
        <v>0</v>
      </c>
      <c r="P38" s="221"/>
      <c r="Q38" s="221">
        <v>0</v>
      </c>
      <c r="R38" s="231"/>
      <c r="S38" s="232"/>
      <c r="T38" s="152"/>
      <c r="U38" s="35"/>
      <c r="V38" s="35"/>
      <c r="W38" s="35"/>
      <c r="X38" s="35"/>
      <c r="Y38" s="35"/>
      <c r="Z38" s="35"/>
      <c r="AA38" s="5"/>
      <c r="AB38" s="35"/>
      <c r="AC38" s="42"/>
      <c r="AD38" s="42"/>
      <c r="AE38" s="42"/>
      <c r="AF38" s="42"/>
      <c r="AG38" s="42"/>
      <c r="AH38" s="42"/>
      <c r="AI38" s="42"/>
      <c r="AJ38" s="14"/>
      <c r="AK38" s="35"/>
      <c r="AL38" s="35"/>
      <c r="AM38" s="35"/>
      <c r="AN38" s="35"/>
      <c r="AO38" s="35"/>
      <c r="AP38" s="35"/>
      <c r="AQ38" s="35"/>
      <c r="AR38" s="35"/>
      <c r="AS38" s="36"/>
      <c r="AT38" s="36"/>
      <c r="AU38" s="36"/>
      <c r="AV38" s="36"/>
      <c r="AW38" s="36"/>
      <c r="AX38" s="36"/>
      <c r="AY38" s="36"/>
      <c r="AZ38" s="36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</row>
    <row r="39" spans="2:146" hidden="1">
      <c r="B39" s="233" t="s">
        <v>95</v>
      </c>
      <c r="C39" s="233" t="s">
        <v>314</v>
      </c>
      <c r="D39" s="220">
        <v>0</v>
      </c>
      <c r="E39" s="221"/>
      <c r="F39" s="222">
        <f t="shared" si="0"/>
        <v>0</v>
      </c>
      <c r="G39" s="249"/>
      <c r="H39" s="221"/>
      <c r="I39" s="224">
        <f t="shared" si="1"/>
        <v>0</v>
      </c>
      <c r="J39" s="225"/>
      <c r="K39" s="226" t="str">
        <f t="shared" si="2"/>
        <v>327-</v>
      </c>
      <c r="L39" s="227">
        <f t="shared" si="3"/>
        <v>0</v>
      </c>
      <c r="M39" s="227"/>
      <c r="N39" s="242"/>
      <c r="O39" s="229">
        <f t="shared" si="4"/>
        <v>0</v>
      </c>
      <c r="P39" s="221"/>
      <c r="Q39" s="221">
        <v>0</v>
      </c>
      <c r="R39" s="231"/>
      <c r="S39" s="232" t="str">
        <f>+K39</f>
        <v>327-</v>
      </c>
      <c r="T39" s="152"/>
      <c r="U39" s="35"/>
      <c r="V39" s="35"/>
      <c r="W39" s="35"/>
      <c r="X39" s="35"/>
      <c r="Y39" s="35"/>
      <c r="Z39" s="35"/>
      <c r="AA39" s="5"/>
      <c r="AB39" s="35"/>
      <c r="AC39" s="42"/>
      <c r="AD39" s="42"/>
      <c r="AE39" s="42"/>
      <c r="AF39" s="42"/>
      <c r="AG39" s="42"/>
      <c r="AH39" s="42"/>
      <c r="AI39" s="42"/>
      <c r="AJ39" s="14"/>
      <c r="AK39" s="35"/>
      <c r="AL39" s="35"/>
      <c r="AM39" s="35"/>
      <c r="AN39" s="35"/>
      <c r="AO39" s="35"/>
      <c r="AP39" s="35"/>
      <c r="AQ39" s="35"/>
      <c r="AR39" s="35"/>
      <c r="AS39" s="36"/>
      <c r="AT39" s="36"/>
      <c r="AU39" s="36"/>
      <c r="AV39" s="36"/>
      <c r="AW39" s="36"/>
      <c r="AX39" s="36"/>
      <c r="AY39" s="36"/>
      <c r="AZ39" s="36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</row>
    <row r="40" spans="2:146" hidden="1">
      <c r="B40" s="233">
        <v>329</v>
      </c>
      <c r="C40" s="233" t="s">
        <v>317</v>
      </c>
      <c r="D40" s="220">
        <v>0</v>
      </c>
      <c r="E40" s="221"/>
      <c r="F40" s="222">
        <f t="shared" si="0"/>
        <v>0</v>
      </c>
      <c r="G40" s="249"/>
      <c r="H40" s="221"/>
      <c r="I40" s="224">
        <f t="shared" si="1"/>
        <v>0</v>
      </c>
      <c r="J40" s="225"/>
      <c r="K40" s="226">
        <f t="shared" si="2"/>
        <v>329</v>
      </c>
      <c r="L40" s="244">
        <f t="shared" si="3"/>
        <v>0</v>
      </c>
      <c r="M40" s="227"/>
      <c r="N40" s="242"/>
      <c r="O40" s="229">
        <f t="shared" si="4"/>
        <v>0</v>
      </c>
      <c r="P40" s="221"/>
      <c r="Q40" s="221">
        <v>0</v>
      </c>
      <c r="R40" s="231"/>
      <c r="S40" s="232"/>
      <c r="T40" s="152"/>
      <c r="U40" s="143">
        <f>+G39-N40</f>
        <v>0</v>
      </c>
      <c r="V40" s="35"/>
      <c r="W40" s="35"/>
      <c r="X40" s="35"/>
      <c r="Y40" s="35"/>
      <c r="Z40" s="35"/>
      <c r="AA40" s="5"/>
      <c r="AB40" s="35"/>
      <c r="AC40" s="42"/>
      <c r="AD40" s="42"/>
      <c r="AE40" s="42"/>
      <c r="AF40" s="42"/>
      <c r="AG40" s="42"/>
      <c r="AH40" s="42"/>
      <c r="AI40" s="42"/>
      <c r="AJ40" s="14"/>
      <c r="AK40" s="35"/>
      <c r="AL40" s="35"/>
      <c r="AM40" s="35"/>
      <c r="AN40" s="35"/>
      <c r="AO40" s="35"/>
      <c r="AP40" s="35"/>
      <c r="AQ40" s="35"/>
      <c r="AR40" s="35"/>
      <c r="AS40" s="36"/>
      <c r="AT40" s="36"/>
      <c r="AU40" s="36"/>
      <c r="AV40" s="36"/>
      <c r="AW40" s="36"/>
      <c r="AX40" s="36"/>
      <c r="AY40" s="36"/>
      <c r="AZ40" s="36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</row>
    <row r="41" spans="2:146" hidden="1">
      <c r="B41" s="233">
        <v>33</v>
      </c>
      <c r="C41" s="233" t="s">
        <v>240</v>
      </c>
      <c r="D41" s="220">
        <v>0</v>
      </c>
      <c r="E41" s="221"/>
      <c r="F41" s="222">
        <f t="shared" si="0"/>
        <v>0</v>
      </c>
      <c r="G41" s="249"/>
      <c r="H41" s="221"/>
      <c r="I41" s="224">
        <f t="shared" si="1"/>
        <v>0</v>
      </c>
      <c r="J41" s="225"/>
      <c r="K41" s="226">
        <f t="shared" si="2"/>
        <v>33</v>
      </c>
      <c r="L41" s="227">
        <f t="shared" si="3"/>
        <v>0</v>
      </c>
      <c r="M41" s="227"/>
      <c r="N41" s="242"/>
      <c r="O41" s="229">
        <f t="shared" si="4"/>
        <v>0</v>
      </c>
      <c r="P41" s="221"/>
      <c r="Q41" s="221">
        <v>0</v>
      </c>
      <c r="R41" s="231"/>
      <c r="S41" s="232"/>
      <c r="T41" s="152"/>
      <c r="U41" s="35"/>
      <c r="V41" s="35"/>
      <c r="W41" s="35"/>
      <c r="X41" s="35"/>
      <c r="Y41" s="35"/>
      <c r="Z41" s="35"/>
      <c r="AA41" s="5"/>
      <c r="AB41" s="35"/>
      <c r="AC41" s="42"/>
      <c r="AD41" s="42"/>
      <c r="AE41" s="42"/>
      <c r="AF41" s="42"/>
      <c r="AG41" s="42"/>
      <c r="AH41" s="42"/>
      <c r="AI41" s="42"/>
      <c r="AJ41" s="14"/>
      <c r="AK41" s="35"/>
      <c r="AL41" s="35"/>
      <c r="AM41" s="35"/>
      <c r="AN41" s="35"/>
      <c r="AO41" s="35"/>
      <c r="AP41" s="35"/>
      <c r="AQ41" s="35"/>
      <c r="AR41" s="35"/>
      <c r="AS41" s="36"/>
      <c r="AT41" s="36"/>
      <c r="AU41" s="36"/>
      <c r="AV41" s="36"/>
      <c r="AW41" s="36"/>
      <c r="AX41" s="36"/>
      <c r="AY41" s="36"/>
      <c r="AZ41" s="36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</row>
    <row r="42" spans="2:146" hidden="1">
      <c r="B42" s="233">
        <v>34</v>
      </c>
      <c r="C42" s="233" t="s">
        <v>315</v>
      </c>
      <c r="D42" s="220">
        <v>2876332</v>
      </c>
      <c r="E42" s="221"/>
      <c r="F42" s="222">
        <f t="shared" si="0"/>
        <v>2876332</v>
      </c>
      <c r="G42" s="366">
        <v>2876332</v>
      </c>
      <c r="H42" s="221"/>
      <c r="I42" s="224">
        <f t="shared" si="1"/>
        <v>2876332</v>
      </c>
      <c r="J42" s="225"/>
      <c r="K42" s="226">
        <f t="shared" si="2"/>
        <v>34</v>
      </c>
      <c r="L42" s="227">
        <f t="shared" si="3"/>
        <v>0</v>
      </c>
      <c r="M42" s="227"/>
      <c r="N42" s="242"/>
      <c r="O42" s="229">
        <f t="shared" si="4"/>
        <v>0</v>
      </c>
      <c r="P42" s="221"/>
      <c r="Q42" s="221">
        <v>0</v>
      </c>
      <c r="R42" s="231"/>
      <c r="S42" s="232">
        <f>+K42</f>
        <v>34</v>
      </c>
      <c r="T42" s="152"/>
      <c r="U42" s="35"/>
      <c r="V42" s="35"/>
      <c r="W42" s="35"/>
      <c r="X42" s="35"/>
      <c r="Y42" s="35"/>
      <c r="Z42" s="35"/>
      <c r="AA42" s="5"/>
      <c r="AB42" s="35"/>
      <c r="AC42" s="42"/>
      <c r="AD42" s="42"/>
      <c r="AE42" s="42"/>
      <c r="AF42" s="42"/>
      <c r="AG42" s="42"/>
      <c r="AH42" s="42"/>
      <c r="AI42" s="42"/>
      <c r="AJ42" s="14"/>
      <c r="AK42" s="35"/>
      <c r="AL42" s="35"/>
      <c r="AM42" s="35"/>
      <c r="AN42" s="35"/>
      <c r="AO42" s="35"/>
      <c r="AP42" s="35"/>
      <c r="AQ42" s="35"/>
      <c r="AR42" s="35"/>
      <c r="AS42" s="36"/>
      <c r="AT42" s="36"/>
      <c r="AU42" s="36"/>
      <c r="AV42" s="36"/>
      <c r="AW42" s="36"/>
      <c r="AX42" s="36"/>
      <c r="AY42" s="36"/>
      <c r="AZ42" s="36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</row>
    <row r="43" spans="2:146" hidden="1">
      <c r="B43" s="233" t="s">
        <v>412</v>
      </c>
      <c r="C43" s="233" t="s">
        <v>316</v>
      </c>
      <c r="D43" s="220">
        <v>7905069</v>
      </c>
      <c r="E43" s="221"/>
      <c r="F43" s="222">
        <f t="shared" si="0"/>
        <v>7905069</v>
      </c>
      <c r="G43" s="366">
        <f>7626682+133130</f>
        <v>7759812</v>
      </c>
      <c r="H43" s="221"/>
      <c r="I43" s="224">
        <f t="shared" si="1"/>
        <v>7759812</v>
      </c>
      <c r="J43" s="225"/>
      <c r="K43" s="226" t="str">
        <f t="shared" si="2"/>
        <v>305-</v>
      </c>
      <c r="L43" s="227">
        <f t="shared" si="3"/>
        <v>0</v>
      </c>
      <c r="M43" s="227"/>
      <c r="N43" s="242"/>
      <c r="O43" s="229">
        <f t="shared" si="4"/>
        <v>0</v>
      </c>
      <c r="P43" s="221"/>
      <c r="Q43" s="221">
        <v>0</v>
      </c>
      <c r="R43" s="231"/>
      <c r="S43" s="232" t="str">
        <f>+K43</f>
        <v>305-</v>
      </c>
      <c r="T43" s="152"/>
      <c r="U43" s="35"/>
      <c r="V43" s="35"/>
      <c r="W43" s="35"/>
      <c r="X43" s="35"/>
      <c r="Y43" s="35"/>
      <c r="Z43" s="35"/>
      <c r="AA43" s="5"/>
      <c r="AB43" s="35"/>
      <c r="AC43" s="42"/>
      <c r="AD43" s="42"/>
      <c r="AE43" s="42"/>
      <c r="AF43" s="42"/>
      <c r="AG43" s="42"/>
      <c r="AH43" s="42"/>
      <c r="AI43" s="42"/>
      <c r="AJ43" s="14"/>
      <c r="AK43" s="35"/>
      <c r="AL43" s="35"/>
      <c r="AM43" s="35"/>
      <c r="AN43" s="35"/>
      <c r="AO43" s="35"/>
      <c r="AP43" s="35"/>
      <c r="AQ43" s="35"/>
      <c r="AR43" s="35"/>
      <c r="AS43" s="36"/>
      <c r="AT43" s="36"/>
      <c r="AU43" s="36"/>
      <c r="AV43" s="36"/>
      <c r="AW43" s="36"/>
      <c r="AX43" s="36"/>
      <c r="AY43" s="36"/>
      <c r="AZ43" s="36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</row>
    <row r="44" spans="2:146" hidden="1">
      <c r="B44" s="233">
        <v>39</v>
      </c>
      <c r="C44" s="233" t="s">
        <v>318</v>
      </c>
      <c r="D44" s="220">
        <v>0</v>
      </c>
      <c r="E44" s="221"/>
      <c r="F44" s="222">
        <f t="shared" si="0"/>
        <v>0</v>
      </c>
      <c r="G44" s="249"/>
      <c r="H44" s="221"/>
      <c r="I44" s="224">
        <f t="shared" si="1"/>
        <v>0</v>
      </c>
      <c r="J44" s="225"/>
      <c r="K44" s="226">
        <f t="shared" si="2"/>
        <v>39</v>
      </c>
      <c r="L44" s="227">
        <f t="shared" si="3"/>
        <v>0</v>
      </c>
      <c r="M44" s="227"/>
      <c r="N44" s="242"/>
      <c r="O44" s="229">
        <f t="shared" si="4"/>
        <v>0</v>
      </c>
      <c r="P44" s="221"/>
      <c r="Q44" s="221">
        <v>0</v>
      </c>
      <c r="R44" s="231"/>
      <c r="S44" s="232">
        <f>+K44</f>
        <v>39</v>
      </c>
      <c r="T44" s="152"/>
      <c r="U44" s="35"/>
      <c r="V44" s="35"/>
      <c r="W44" s="35"/>
      <c r="X44" s="35"/>
      <c r="Y44" s="35"/>
      <c r="Z44" s="35"/>
      <c r="AA44" s="5"/>
      <c r="AB44" s="35"/>
      <c r="AC44" s="42"/>
      <c r="AD44" s="42"/>
      <c r="AE44" s="42"/>
      <c r="AF44" s="42"/>
      <c r="AG44" s="42"/>
      <c r="AH44" s="42"/>
      <c r="AI44" s="42"/>
      <c r="AJ44" s="14"/>
      <c r="AK44" s="35"/>
      <c r="AL44" s="35"/>
      <c r="AM44" s="35"/>
      <c r="AN44" s="35"/>
      <c r="AO44" s="35"/>
      <c r="AP44" s="35"/>
      <c r="AQ44" s="35"/>
      <c r="AR44" s="35"/>
      <c r="AS44" s="36"/>
      <c r="AT44" s="36"/>
      <c r="AU44" s="36"/>
      <c r="AV44" s="36"/>
      <c r="AW44" s="36"/>
      <c r="AX44" s="36"/>
      <c r="AY44" s="36"/>
      <c r="AZ44" s="36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</row>
    <row r="45" spans="2:146" hidden="1">
      <c r="B45" s="233">
        <v>371</v>
      </c>
      <c r="C45" s="233" t="s">
        <v>16</v>
      </c>
      <c r="D45" s="220">
        <v>0</v>
      </c>
      <c r="E45" s="221"/>
      <c r="F45" s="222">
        <f t="shared" si="0"/>
        <v>0</v>
      </c>
      <c r="G45" s="249"/>
      <c r="H45" s="221"/>
      <c r="I45" s="224">
        <f t="shared" si="1"/>
        <v>0</v>
      </c>
      <c r="J45" s="225"/>
      <c r="K45" s="226">
        <f t="shared" si="2"/>
        <v>371</v>
      </c>
      <c r="L45" s="227">
        <f t="shared" si="3"/>
        <v>0</v>
      </c>
      <c r="M45" s="227"/>
      <c r="N45" s="242"/>
      <c r="O45" s="229">
        <f t="shared" si="4"/>
        <v>0</v>
      </c>
      <c r="P45" s="221"/>
      <c r="Q45" s="221">
        <v>0</v>
      </c>
      <c r="R45" s="231"/>
      <c r="S45" s="232"/>
      <c r="T45" s="152"/>
      <c r="U45" s="35"/>
      <c r="V45" s="35"/>
      <c r="W45" s="35"/>
      <c r="X45" s="35"/>
      <c r="Y45" s="35"/>
      <c r="Z45" s="35"/>
      <c r="AA45" s="5"/>
      <c r="AB45" s="35"/>
      <c r="AC45" s="42"/>
      <c r="AD45" s="42"/>
      <c r="AE45" s="42"/>
      <c r="AF45" s="42"/>
      <c r="AG45" s="42"/>
      <c r="AH45" s="42"/>
      <c r="AI45" s="42"/>
      <c r="AJ45" s="14"/>
      <c r="AK45" s="35"/>
      <c r="AL45" s="35"/>
      <c r="AM45" s="35"/>
      <c r="AN45" s="35"/>
      <c r="AO45" s="35"/>
      <c r="AP45" s="35"/>
      <c r="AQ45" s="35"/>
      <c r="AR45" s="35"/>
      <c r="AS45" s="36"/>
      <c r="AT45" s="36"/>
      <c r="AU45" s="36"/>
      <c r="AV45" s="36"/>
      <c r="AW45" s="36"/>
      <c r="AX45" s="36"/>
      <c r="AY45" s="36"/>
      <c r="AZ45" s="36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</row>
    <row r="46" spans="2:146" hidden="1">
      <c r="B46" s="233" t="s">
        <v>31</v>
      </c>
      <c r="C46" s="233" t="s">
        <v>319</v>
      </c>
      <c r="D46" s="220">
        <v>0</v>
      </c>
      <c r="E46" s="221"/>
      <c r="F46" s="222">
        <f t="shared" si="0"/>
        <v>0</v>
      </c>
      <c r="G46" s="280"/>
      <c r="H46" s="245"/>
      <c r="I46" s="224">
        <f t="shared" si="1"/>
        <v>0</v>
      </c>
      <c r="J46" s="225"/>
      <c r="K46" s="226" t="str">
        <f t="shared" si="2"/>
        <v>401-404</v>
      </c>
      <c r="L46" s="227">
        <f t="shared" si="3"/>
        <v>21902391</v>
      </c>
      <c r="M46" s="227"/>
      <c r="N46" s="323">
        <v>21902391</v>
      </c>
      <c r="O46" s="229">
        <f t="shared" si="4"/>
        <v>18846904</v>
      </c>
      <c r="P46" s="221"/>
      <c r="Q46" s="221">
        <v>18846904</v>
      </c>
      <c r="R46" s="231">
        <f>+D46-Q46</f>
        <v>-18846904</v>
      </c>
      <c r="S46" s="232" t="str">
        <f>+K46</f>
        <v>401-404</v>
      </c>
      <c r="T46" s="152"/>
      <c r="U46" s="35"/>
      <c r="V46" s="35"/>
      <c r="W46" s="35"/>
      <c r="X46" s="35"/>
      <c r="Y46" s="35"/>
      <c r="Z46" s="35"/>
      <c r="AA46" s="5"/>
      <c r="AB46" s="35"/>
      <c r="AC46" s="42"/>
      <c r="AD46" s="42"/>
      <c r="AE46" s="42"/>
      <c r="AF46" s="42"/>
      <c r="AG46" s="42"/>
      <c r="AH46" s="42"/>
      <c r="AI46" s="42"/>
      <c r="AJ46" s="14"/>
      <c r="AK46" s="35"/>
      <c r="AL46" s="35"/>
      <c r="AM46" s="35"/>
      <c r="AN46" s="35"/>
      <c r="AO46" s="35"/>
      <c r="AP46" s="35"/>
      <c r="AQ46" s="35"/>
      <c r="AR46" s="35"/>
      <c r="AS46" s="36"/>
      <c r="AT46" s="36"/>
      <c r="AU46" s="36"/>
      <c r="AV46" s="36"/>
      <c r="AW46" s="36"/>
      <c r="AX46" s="36"/>
      <c r="AY46" s="36"/>
      <c r="AZ46" s="36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</row>
    <row r="47" spans="2:146" hidden="1">
      <c r="B47" s="233">
        <v>404</v>
      </c>
      <c r="C47" s="233" t="s">
        <v>320</v>
      </c>
      <c r="D47" s="220">
        <v>0</v>
      </c>
      <c r="E47" s="221"/>
      <c r="F47" s="222">
        <f t="shared" si="0"/>
        <v>0</v>
      </c>
      <c r="G47" s="249"/>
      <c r="H47" s="221"/>
      <c r="I47" s="224">
        <f t="shared" si="1"/>
        <v>0</v>
      </c>
      <c r="J47" s="225"/>
      <c r="K47" s="226">
        <f t="shared" si="2"/>
        <v>404</v>
      </c>
      <c r="L47" s="227">
        <f t="shared" si="3"/>
        <v>0</v>
      </c>
      <c r="M47" s="227"/>
      <c r="N47" s="242"/>
      <c r="O47" s="229">
        <f t="shared" si="4"/>
        <v>0</v>
      </c>
      <c r="P47" s="221"/>
      <c r="Q47" s="221">
        <v>0</v>
      </c>
      <c r="R47" s="231"/>
      <c r="S47" s="232"/>
      <c r="T47" s="152"/>
      <c r="U47" s="35"/>
      <c r="V47" s="35"/>
      <c r="W47" s="35"/>
      <c r="X47" s="35"/>
      <c r="Y47" s="35"/>
      <c r="Z47" s="35"/>
      <c r="AA47" s="5"/>
      <c r="AB47" s="35"/>
      <c r="AC47" s="42"/>
      <c r="AD47" s="42"/>
      <c r="AE47" s="42"/>
      <c r="AF47" s="42"/>
      <c r="AG47" s="42"/>
      <c r="AH47" s="42"/>
      <c r="AI47" s="42"/>
      <c r="AJ47" s="14"/>
      <c r="AK47" s="35"/>
      <c r="AL47" s="35"/>
      <c r="AM47" s="35"/>
      <c r="AN47" s="35"/>
      <c r="AO47" s="35"/>
      <c r="AP47" s="35"/>
      <c r="AQ47" s="35"/>
      <c r="AR47" s="35"/>
      <c r="AS47" s="36"/>
      <c r="AT47" s="36"/>
      <c r="AU47" s="36"/>
      <c r="AV47" s="36"/>
      <c r="AW47" s="36"/>
      <c r="AX47" s="36"/>
      <c r="AY47" s="36"/>
      <c r="AZ47" s="36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</row>
    <row r="48" spans="2:146" hidden="1">
      <c r="B48" s="233" t="s">
        <v>32</v>
      </c>
      <c r="C48" s="233" t="s">
        <v>14</v>
      </c>
      <c r="D48" s="220">
        <v>0</v>
      </c>
      <c r="E48" s="221"/>
      <c r="F48" s="222">
        <f t="shared" si="0"/>
        <v>0</v>
      </c>
      <c r="G48" s="366">
        <v>0</v>
      </c>
      <c r="H48" s="221"/>
      <c r="I48" s="224">
        <f t="shared" si="1"/>
        <v>0</v>
      </c>
      <c r="J48" s="225"/>
      <c r="K48" s="226" t="str">
        <f t="shared" si="2"/>
        <v>408-409</v>
      </c>
      <c r="L48" s="227">
        <f t="shared" si="3"/>
        <v>0</v>
      </c>
      <c r="M48" s="227"/>
      <c r="N48" s="242"/>
      <c r="O48" s="229">
        <f t="shared" si="4"/>
        <v>0</v>
      </c>
      <c r="P48" s="221"/>
      <c r="Q48" s="221">
        <v>0</v>
      </c>
      <c r="R48" s="231"/>
      <c r="S48" s="232" t="str">
        <f>+K48</f>
        <v>408-409</v>
      </c>
      <c r="T48" s="152"/>
      <c r="U48" s="35"/>
      <c r="V48" s="35"/>
      <c r="W48" s="35"/>
      <c r="X48" s="35"/>
      <c r="Y48" s="35"/>
      <c r="Z48" s="35"/>
      <c r="AA48" s="5"/>
      <c r="AB48" s="35"/>
      <c r="AC48" s="42"/>
      <c r="AD48" s="42"/>
      <c r="AE48" s="42"/>
      <c r="AF48" s="42"/>
      <c r="AG48" s="42"/>
      <c r="AH48" s="42"/>
      <c r="AI48" s="42"/>
      <c r="AJ48" s="14"/>
      <c r="AK48" s="35"/>
      <c r="AL48" s="35"/>
      <c r="AM48" s="35"/>
      <c r="AN48" s="35"/>
      <c r="AO48" s="35"/>
      <c r="AP48" s="35"/>
      <c r="AQ48" s="35"/>
      <c r="AR48" s="35"/>
      <c r="AS48" s="36"/>
      <c r="AT48" s="36"/>
      <c r="AU48" s="36"/>
      <c r="AV48" s="36"/>
      <c r="AW48" s="36"/>
      <c r="AX48" s="36"/>
      <c r="AY48" s="36"/>
      <c r="AZ48" s="36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</row>
    <row r="49" spans="2:146" hidden="1">
      <c r="B49" s="233" t="s">
        <v>9</v>
      </c>
      <c r="C49" s="233" t="s">
        <v>321</v>
      </c>
      <c r="D49" s="220">
        <v>976199</v>
      </c>
      <c r="E49" s="221"/>
      <c r="F49" s="222">
        <f t="shared" si="0"/>
        <v>976199</v>
      </c>
      <c r="G49" s="366">
        <v>2301790</v>
      </c>
      <c r="H49" s="221"/>
      <c r="I49" s="224">
        <f t="shared" si="1"/>
        <v>2301790</v>
      </c>
      <c r="J49" s="225"/>
      <c r="K49" s="226" t="str">
        <f t="shared" si="2"/>
        <v>411-</v>
      </c>
      <c r="L49" s="227">
        <f t="shared" si="3"/>
        <v>0</v>
      </c>
      <c r="M49" s="227"/>
      <c r="N49" s="242"/>
      <c r="O49" s="229">
        <f t="shared" si="4"/>
        <v>0</v>
      </c>
      <c r="P49" s="221"/>
      <c r="Q49" s="221">
        <v>0</v>
      </c>
      <c r="R49" s="231">
        <f>+Q46+Q49</f>
        <v>18846904</v>
      </c>
      <c r="S49" s="232" t="str">
        <f>+K49</f>
        <v>411-</v>
      </c>
      <c r="T49" s="152"/>
      <c r="U49" s="35"/>
      <c r="V49" s="35"/>
      <c r="W49" s="35"/>
      <c r="X49" s="35"/>
      <c r="Y49" s="35"/>
      <c r="Z49" s="35"/>
      <c r="AA49" s="5"/>
      <c r="AB49" s="35"/>
      <c r="AC49" s="42"/>
      <c r="AD49" s="42"/>
      <c r="AE49" s="42"/>
      <c r="AF49" s="42"/>
      <c r="AG49" s="42"/>
      <c r="AH49" s="42"/>
      <c r="AI49" s="42"/>
      <c r="AJ49" s="14"/>
      <c r="AK49" s="35"/>
      <c r="AL49" s="35"/>
      <c r="AM49" s="35"/>
      <c r="AN49" s="35"/>
      <c r="AO49" s="35"/>
      <c r="AP49" s="35"/>
      <c r="AQ49" s="35"/>
      <c r="AR49" s="35"/>
      <c r="AS49" s="36"/>
      <c r="AT49" s="36"/>
      <c r="AU49" s="36"/>
      <c r="AV49" s="36"/>
      <c r="AW49" s="36"/>
      <c r="AX49" s="36"/>
      <c r="AY49" s="36"/>
      <c r="AZ49" s="36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</row>
    <row r="50" spans="2:146" hidden="1">
      <c r="B50" s="233" t="s">
        <v>280</v>
      </c>
      <c r="C50" s="233" t="s">
        <v>322</v>
      </c>
      <c r="D50" s="220">
        <v>0</v>
      </c>
      <c r="E50" s="221"/>
      <c r="F50" s="222">
        <f t="shared" si="0"/>
        <v>0</v>
      </c>
      <c r="G50" s="249"/>
      <c r="H50" s="221"/>
      <c r="I50" s="224">
        <f t="shared" si="1"/>
        <v>0</v>
      </c>
      <c r="J50" s="225"/>
      <c r="K50" s="226" t="str">
        <f t="shared" si="2"/>
        <v>418-419</v>
      </c>
      <c r="L50" s="227">
        <f t="shared" si="3"/>
        <v>0</v>
      </c>
      <c r="M50" s="227"/>
      <c r="N50" s="242"/>
      <c r="O50" s="229">
        <f t="shared" si="4"/>
        <v>0</v>
      </c>
      <c r="P50" s="221"/>
      <c r="Q50" s="221">
        <v>0</v>
      </c>
      <c r="R50" s="231">
        <v>31917566</v>
      </c>
      <c r="S50" s="232" t="str">
        <f>+K50</f>
        <v>418-419</v>
      </c>
      <c r="T50" s="152"/>
      <c r="U50" s="35"/>
      <c r="V50" s="35"/>
      <c r="W50" s="35"/>
      <c r="X50" s="17"/>
      <c r="Y50" s="35"/>
      <c r="Z50" s="35"/>
      <c r="AA50" s="5"/>
      <c r="AB50" s="35"/>
      <c r="AC50" s="42"/>
      <c r="AD50" s="42"/>
      <c r="AE50" s="42"/>
      <c r="AF50" s="42"/>
      <c r="AG50" s="42"/>
      <c r="AH50" s="42"/>
      <c r="AI50" s="42"/>
      <c r="AJ50" s="14"/>
      <c r="AK50" s="35"/>
      <c r="AL50" s="35"/>
      <c r="AM50" s="35"/>
      <c r="AN50" s="35"/>
      <c r="AO50" s="35"/>
      <c r="AP50" s="35"/>
      <c r="AQ50" s="35"/>
      <c r="AR50" s="35"/>
      <c r="AS50" s="36"/>
      <c r="AT50" s="36"/>
      <c r="AU50" s="36"/>
      <c r="AV50" s="36"/>
      <c r="AW50" s="36"/>
      <c r="AX50" s="36"/>
      <c r="AY50" s="36"/>
      <c r="AZ50" s="36"/>
      <c r="BA50" s="14"/>
      <c r="BB50" s="6"/>
      <c r="BC50" s="6"/>
      <c r="BD50" s="6"/>
      <c r="BE50" s="7"/>
      <c r="BF50" s="7"/>
      <c r="BG50" s="7"/>
      <c r="BH50" s="7"/>
      <c r="BI50" s="7"/>
      <c r="BJ50" s="7"/>
      <c r="BK50" s="6"/>
      <c r="BL50" s="6"/>
      <c r="BM50" s="6"/>
      <c r="BN50" s="6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</row>
    <row r="51" spans="2:146" hidden="1">
      <c r="B51" s="233">
        <v>418</v>
      </c>
      <c r="C51" s="233" t="s">
        <v>15</v>
      </c>
      <c r="D51" s="220">
        <v>0</v>
      </c>
      <c r="E51" s="221"/>
      <c r="F51" s="222">
        <f t="shared" si="0"/>
        <v>0</v>
      </c>
      <c r="G51" s="242">
        <v>0</v>
      </c>
      <c r="H51" s="221"/>
      <c r="I51" s="224">
        <f t="shared" si="1"/>
        <v>0</v>
      </c>
      <c r="J51" s="225"/>
      <c r="K51" s="226">
        <f t="shared" si="2"/>
        <v>418</v>
      </c>
      <c r="L51" s="227">
        <f t="shared" si="3"/>
        <v>0</v>
      </c>
      <c r="M51" s="227"/>
      <c r="N51" s="242"/>
      <c r="O51" s="229">
        <f t="shared" si="4"/>
        <v>0</v>
      </c>
      <c r="P51" s="221"/>
      <c r="Q51" s="221">
        <v>0</v>
      </c>
      <c r="R51" s="231">
        <f>+R49-R50</f>
        <v>-13070662</v>
      </c>
      <c r="S51" s="232"/>
      <c r="T51" s="152"/>
      <c r="U51" s="35"/>
      <c r="V51" s="35"/>
      <c r="W51" s="35"/>
      <c r="X51" s="17"/>
      <c r="Y51" s="35"/>
      <c r="Z51" s="35"/>
      <c r="AA51" s="5"/>
      <c r="AB51" s="35"/>
      <c r="AC51" s="42"/>
      <c r="AD51" s="42"/>
      <c r="AE51" s="42"/>
      <c r="AF51" s="42"/>
      <c r="AG51" s="42"/>
      <c r="AH51" s="42"/>
      <c r="AI51" s="42"/>
      <c r="AJ51" s="14"/>
      <c r="AK51" s="35"/>
      <c r="AL51" s="35"/>
      <c r="AM51" s="35"/>
      <c r="AN51" s="35"/>
      <c r="AO51" s="35"/>
      <c r="AP51" s="35"/>
      <c r="AQ51" s="35"/>
      <c r="AR51" s="35"/>
      <c r="AS51" s="36"/>
      <c r="AT51" s="36"/>
      <c r="AU51" s="36"/>
      <c r="AV51" s="36"/>
      <c r="AW51" s="36"/>
      <c r="AX51" s="36"/>
      <c r="AY51" s="36"/>
      <c r="AZ51" s="36"/>
      <c r="BA51" s="14"/>
      <c r="BB51" s="6"/>
      <c r="BC51" s="6"/>
      <c r="BD51" s="6"/>
      <c r="BE51" s="7"/>
      <c r="BF51" s="7"/>
      <c r="BG51" s="7"/>
      <c r="BH51" s="7"/>
      <c r="BI51" s="7"/>
      <c r="BJ51" s="7"/>
      <c r="BK51" s="6"/>
      <c r="BL51" s="6"/>
      <c r="BM51" s="6"/>
      <c r="BN51" s="6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</row>
    <row r="52" spans="2:146" hidden="1">
      <c r="B52" s="233" t="s">
        <v>6</v>
      </c>
      <c r="C52" s="233" t="s">
        <v>324</v>
      </c>
      <c r="D52" s="220">
        <v>0</v>
      </c>
      <c r="E52" s="221"/>
      <c r="F52" s="222">
        <f t="shared" si="0"/>
        <v>0</v>
      </c>
      <c r="G52" s="366">
        <v>0</v>
      </c>
      <c r="H52" s="221"/>
      <c r="I52" s="224">
        <f t="shared" si="1"/>
        <v>0</v>
      </c>
      <c r="J52" s="225"/>
      <c r="K52" s="226" t="str">
        <f t="shared" si="2"/>
        <v>421-</v>
      </c>
      <c r="L52" s="227">
        <f t="shared" si="3"/>
        <v>0</v>
      </c>
      <c r="M52" s="227"/>
      <c r="N52" s="252">
        <v>0</v>
      </c>
      <c r="O52" s="229">
        <f t="shared" si="4"/>
        <v>117775</v>
      </c>
      <c r="P52" s="221"/>
      <c r="Q52" s="221">
        <v>117775</v>
      </c>
      <c r="R52" s="231"/>
      <c r="S52" s="232" t="str">
        <f>+K52</f>
        <v>421-</v>
      </c>
      <c r="T52" s="152"/>
      <c r="U52" s="35"/>
      <c r="V52" s="35"/>
      <c r="W52" s="35"/>
      <c r="X52" s="35"/>
      <c r="Y52" s="35"/>
      <c r="Z52" s="35"/>
      <c r="AA52" s="5"/>
      <c r="AB52" s="35"/>
      <c r="AC52" s="42"/>
      <c r="AD52" s="42"/>
      <c r="AE52" s="42"/>
      <c r="AF52" s="42"/>
      <c r="AG52" s="42"/>
      <c r="AH52" s="42"/>
      <c r="AI52" s="42"/>
      <c r="AJ52" s="14"/>
      <c r="AK52" s="35"/>
      <c r="AL52" s="35"/>
      <c r="AM52" s="35"/>
      <c r="AN52" s="35"/>
      <c r="AO52" s="35"/>
      <c r="AP52" s="35"/>
      <c r="AQ52" s="35"/>
      <c r="AR52" s="35"/>
      <c r="AS52" s="36"/>
      <c r="AT52" s="36"/>
      <c r="AU52" s="36"/>
      <c r="AV52" s="36"/>
      <c r="AW52" s="36"/>
      <c r="AX52" s="36"/>
      <c r="AY52" s="36"/>
      <c r="AZ52" s="36"/>
      <c r="BA52" s="14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</row>
    <row r="53" spans="2:146" hidden="1">
      <c r="B53" s="233">
        <v>423</v>
      </c>
      <c r="C53" s="233" t="s">
        <v>206</v>
      </c>
      <c r="D53" s="220">
        <v>0</v>
      </c>
      <c r="E53" s="221"/>
      <c r="F53" s="222">
        <f t="shared" si="0"/>
        <v>0</v>
      </c>
      <c r="G53" s="242">
        <v>51760</v>
      </c>
      <c r="H53" s="221"/>
      <c r="I53" s="224">
        <f t="shared" si="1"/>
        <v>51760</v>
      </c>
      <c r="J53" s="225"/>
      <c r="K53" s="226">
        <f t="shared" si="2"/>
        <v>423</v>
      </c>
      <c r="L53" s="227">
        <f t="shared" si="3"/>
        <v>0</v>
      </c>
      <c r="M53" s="227"/>
      <c r="N53" s="242"/>
      <c r="O53" s="229">
        <f t="shared" si="4"/>
        <v>0</v>
      </c>
      <c r="P53" s="221"/>
      <c r="Q53" s="221">
        <v>0</v>
      </c>
      <c r="R53" s="231"/>
      <c r="S53" s="232"/>
      <c r="T53" s="152"/>
      <c r="U53" s="35"/>
      <c r="V53" s="35"/>
      <c r="W53" s="35"/>
      <c r="X53" s="35"/>
      <c r="Y53" s="35"/>
      <c r="Z53" s="35"/>
      <c r="AA53" s="5"/>
      <c r="AB53" s="35"/>
      <c r="AC53" s="42"/>
      <c r="AD53" s="42"/>
      <c r="AE53" s="42"/>
      <c r="AF53" s="42"/>
      <c r="AG53" s="42"/>
      <c r="AH53" s="42"/>
      <c r="AI53" s="42"/>
      <c r="AJ53" s="14"/>
      <c r="AK53" s="35"/>
      <c r="AL53" s="35"/>
      <c r="AM53" s="35"/>
      <c r="AN53" s="35"/>
      <c r="AO53" s="35"/>
      <c r="AP53" s="35"/>
      <c r="AQ53" s="35"/>
      <c r="AR53" s="35"/>
      <c r="AS53" s="36"/>
      <c r="AT53" s="36"/>
      <c r="AU53" s="36"/>
      <c r="AV53" s="36"/>
      <c r="AW53" s="36"/>
      <c r="AX53" s="36"/>
      <c r="AY53" s="36"/>
      <c r="AZ53" s="36"/>
      <c r="BA53" s="14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</row>
    <row r="54" spans="2:146" hidden="1">
      <c r="B54" s="233" t="s">
        <v>7</v>
      </c>
      <c r="C54" s="233" t="s">
        <v>152</v>
      </c>
      <c r="D54" s="220">
        <v>4960782</v>
      </c>
      <c r="E54" s="221"/>
      <c r="F54" s="222">
        <f t="shared" si="0"/>
        <v>4960782</v>
      </c>
      <c r="G54" s="366">
        <v>4960782</v>
      </c>
      <c r="H54" s="221"/>
      <c r="I54" s="224">
        <f t="shared" si="1"/>
        <v>4960782</v>
      </c>
      <c r="J54" s="225"/>
      <c r="K54" s="226" t="str">
        <f t="shared" si="2"/>
        <v>427-</v>
      </c>
      <c r="L54" s="227">
        <f t="shared" si="3"/>
        <v>0</v>
      </c>
      <c r="M54" s="227"/>
      <c r="N54" s="242"/>
      <c r="O54" s="229">
        <f t="shared" si="4"/>
        <v>0</v>
      </c>
      <c r="P54" s="221"/>
      <c r="Q54" s="221">
        <v>0</v>
      </c>
      <c r="R54" s="231"/>
      <c r="S54" s="232" t="str">
        <f>+K54</f>
        <v>427-</v>
      </c>
      <c r="T54" s="152"/>
      <c r="U54" s="35"/>
      <c r="V54" s="35"/>
      <c r="W54" s="35"/>
      <c r="X54" s="35"/>
      <c r="Y54" s="35"/>
      <c r="Z54" s="35"/>
      <c r="AA54" s="5"/>
      <c r="AB54" s="35"/>
      <c r="AC54" s="42"/>
      <c r="AD54" s="42"/>
      <c r="AE54" s="42"/>
      <c r="AF54" s="42"/>
      <c r="AG54" s="42"/>
      <c r="AH54" s="42"/>
      <c r="AI54" s="42"/>
      <c r="AJ54" s="14"/>
      <c r="AK54" s="35"/>
      <c r="AL54" s="35"/>
      <c r="AM54" s="35"/>
      <c r="AN54" s="35"/>
      <c r="AO54" s="35"/>
      <c r="AP54" s="35"/>
      <c r="AQ54" s="35"/>
      <c r="AR54" s="35"/>
      <c r="AS54" s="36"/>
      <c r="AT54" s="36"/>
      <c r="AU54" s="36"/>
      <c r="AV54" s="36"/>
      <c r="AW54" s="36"/>
      <c r="AX54" s="36"/>
      <c r="AY54" s="36"/>
      <c r="AZ54" s="36"/>
      <c r="BA54" s="14"/>
      <c r="BB54" s="7"/>
      <c r="BC54" s="6"/>
      <c r="BD54" s="6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</row>
    <row r="55" spans="2:146" hidden="1">
      <c r="B55" s="233" t="s">
        <v>195</v>
      </c>
      <c r="C55" s="233" t="s">
        <v>325</v>
      </c>
      <c r="D55" s="220">
        <v>0</v>
      </c>
      <c r="E55" s="221"/>
      <c r="F55" s="222">
        <f t="shared" si="0"/>
        <v>0</v>
      </c>
      <c r="G55" s="242"/>
      <c r="H55" s="221"/>
      <c r="I55" s="224">
        <f t="shared" si="1"/>
        <v>0</v>
      </c>
      <c r="J55" s="225"/>
      <c r="K55" s="226" t="str">
        <f t="shared" si="2"/>
        <v>431-438</v>
      </c>
      <c r="L55" s="227">
        <f t="shared" si="3"/>
        <v>148566</v>
      </c>
      <c r="M55" s="227"/>
      <c r="N55" s="323">
        <v>148566</v>
      </c>
      <c r="O55" s="229">
        <f t="shared" si="4"/>
        <v>96675</v>
      </c>
      <c r="P55" s="221"/>
      <c r="Q55" s="221">
        <v>96675</v>
      </c>
      <c r="R55" s="231"/>
      <c r="S55" s="232" t="str">
        <f>+K55</f>
        <v>431-438</v>
      </c>
      <c r="T55" s="152"/>
      <c r="U55" s="145">
        <v>914913</v>
      </c>
      <c r="V55" s="143">
        <f>+Q55+U55</f>
        <v>1011588</v>
      </c>
      <c r="W55" s="143">
        <f>+V55-L55</f>
        <v>863022</v>
      </c>
      <c r="X55" s="35"/>
      <c r="Y55" s="35"/>
      <c r="Z55" s="35"/>
      <c r="AA55" s="5"/>
      <c r="AB55" s="35"/>
      <c r="AC55" s="42"/>
      <c r="AD55" s="42"/>
      <c r="AE55" s="42"/>
      <c r="AF55" s="42"/>
      <c r="AG55" s="42"/>
      <c r="AH55" s="42"/>
      <c r="AI55" s="42"/>
      <c r="AJ55" s="14"/>
      <c r="AK55" s="35"/>
      <c r="AL55" s="35"/>
      <c r="AM55" s="35"/>
      <c r="AN55" s="35"/>
      <c r="AO55" s="35"/>
      <c r="AP55" s="35"/>
      <c r="AQ55" s="35"/>
      <c r="AR55" s="35"/>
      <c r="AS55" s="36"/>
      <c r="AT55" s="36"/>
      <c r="AU55" s="36"/>
      <c r="AV55" s="36"/>
      <c r="AW55" s="36"/>
      <c r="AX55" s="36"/>
      <c r="AY55" s="36"/>
      <c r="AZ55" s="36"/>
      <c r="BA55" s="14"/>
      <c r="BB55" s="7"/>
      <c r="BC55" s="6"/>
      <c r="BD55" s="6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</row>
    <row r="56" spans="2:146" hidden="1">
      <c r="B56" s="233">
        <v>441</v>
      </c>
      <c r="C56" s="233" t="s">
        <v>207</v>
      </c>
      <c r="D56" s="220">
        <v>0</v>
      </c>
      <c r="E56" s="221"/>
      <c r="F56" s="222">
        <f t="shared" si="0"/>
        <v>0</v>
      </c>
      <c r="G56" s="242"/>
      <c r="H56" s="221"/>
      <c r="I56" s="224">
        <f t="shared" si="1"/>
        <v>0</v>
      </c>
      <c r="J56" s="225"/>
      <c r="K56" s="226">
        <f t="shared" si="2"/>
        <v>441</v>
      </c>
      <c r="L56" s="227">
        <f t="shared" si="3"/>
        <v>0</v>
      </c>
      <c r="M56" s="227"/>
      <c r="N56" s="242"/>
      <c r="O56" s="229">
        <f t="shared" si="4"/>
        <v>0</v>
      </c>
      <c r="P56" s="221"/>
      <c r="Q56" s="221">
        <v>0</v>
      </c>
      <c r="R56" s="231"/>
      <c r="S56" s="232"/>
      <c r="T56" s="152"/>
      <c r="U56" s="35"/>
      <c r="V56" s="35"/>
      <c r="W56" s="35"/>
      <c r="X56" s="35"/>
      <c r="Y56" s="35"/>
      <c r="Z56" s="35"/>
      <c r="AA56" s="5"/>
      <c r="AB56" s="35"/>
      <c r="AC56" s="42"/>
      <c r="AD56" s="42"/>
      <c r="AE56" s="42"/>
      <c r="AF56" s="42"/>
      <c r="AG56" s="42"/>
      <c r="AH56" s="42"/>
      <c r="AI56" s="42"/>
      <c r="AJ56" s="14"/>
      <c r="AK56" s="35"/>
      <c r="AL56" s="35"/>
      <c r="AM56" s="35"/>
      <c r="AN56" s="35"/>
      <c r="AO56" s="35"/>
      <c r="AP56" s="35"/>
      <c r="AQ56" s="35"/>
      <c r="AR56" s="35"/>
      <c r="AS56" s="36"/>
      <c r="AT56" s="36"/>
      <c r="AU56" s="36"/>
      <c r="AV56" s="36"/>
      <c r="AW56" s="36"/>
      <c r="AX56" s="36"/>
      <c r="AY56" s="36"/>
      <c r="AZ56" s="36"/>
      <c r="BA56" s="14"/>
      <c r="BB56" s="7"/>
      <c r="BC56" s="6"/>
      <c r="BD56" s="6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</row>
    <row r="57" spans="2:146" hidden="1">
      <c r="B57" s="233">
        <v>443</v>
      </c>
      <c r="C57" s="233" t="s">
        <v>12</v>
      </c>
      <c r="D57" s="220">
        <v>0</v>
      </c>
      <c r="E57" s="221"/>
      <c r="F57" s="222">
        <f t="shared" si="0"/>
        <v>0</v>
      </c>
      <c r="G57" s="242"/>
      <c r="H57" s="221"/>
      <c r="I57" s="224">
        <f t="shared" si="1"/>
        <v>0</v>
      </c>
      <c r="J57" s="225"/>
      <c r="K57" s="226">
        <f t="shared" si="2"/>
        <v>443</v>
      </c>
      <c r="L57" s="227">
        <f t="shared" si="3"/>
        <v>0</v>
      </c>
      <c r="M57" s="227"/>
      <c r="N57" s="242"/>
      <c r="O57" s="229">
        <f t="shared" si="4"/>
        <v>0</v>
      </c>
      <c r="P57" s="221"/>
      <c r="Q57" s="221">
        <v>0</v>
      </c>
      <c r="R57" s="231"/>
      <c r="S57" s="232"/>
      <c r="T57" s="152"/>
      <c r="U57" s="35"/>
      <c r="V57" s="35"/>
      <c r="W57" s="35"/>
      <c r="X57" s="35"/>
      <c r="Y57" s="35"/>
      <c r="Z57" s="35"/>
      <c r="AA57" s="5"/>
      <c r="AB57" s="35"/>
      <c r="AC57" s="42"/>
      <c r="AD57" s="42"/>
      <c r="AE57" s="42"/>
      <c r="AF57" s="42"/>
      <c r="AG57" s="42"/>
      <c r="AH57" s="42"/>
      <c r="AI57" s="42"/>
      <c r="AJ57" s="14"/>
      <c r="AK57" s="35"/>
      <c r="AL57" s="35"/>
      <c r="AM57" s="35"/>
      <c r="AN57" s="35"/>
      <c r="AO57" s="35"/>
      <c r="AP57" s="35"/>
      <c r="AQ57" s="35"/>
      <c r="AR57" s="35"/>
      <c r="AS57" s="137"/>
      <c r="AT57" s="137"/>
      <c r="AU57" s="137"/>
      <c r="AV57" s="137"/>
      <c r="AW57" s="36"/>
      <c r="AX57" s="36"/>
      <c r="AY57" s="36"/>
      <c r="AZ57" s="36"/>
      <c r="BA57" s="14"/>
      <c r="BB57" s="7"/>
      <c r="BC57" s="6"/>
      <c r="BD57" s="6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</row>
    <row r="58" spans="2:146" hidden="1">
      <c r="B58" s="233" t="s">
        <v>196</v>
      </c>
      <c r="C58" s="233" t="s">
        <v>57</v>
      </c>
      <c r="D58" s="220">
        <v>0</v>
      </c>
      <c r="E58" s="221"/>
      <c r="F58" s="222">
        <f t="shared" si="0"/>
        <v>0</v>
      </c>
      <c r="G58" s="249"/>
      <c r="H58" s="221"/>
      <c r="I58" s="224">
        <f>+G58+H58</f>
        <v>0</v>
      </c>
      <c r="J58" s="225"/>
      <c r="K58" s="226" t="str">
        <f t="shared" si="2"/>
        <v>444-</v>
      </c>
      <c r="L58" s="227">
        <f t="shared" si="3"/>
        <v>428108</v>
      </c>
      <c r="M58" s="246">
        <f>M153*0.1</f>
        <v>0</v>
      </c>
      <c r="N58" s="323">
        <v>428108</v>
      </c>
      <c r="O58" s="229">
        <f t="shared" si="4"/>
        <v>357943</v>
      </c>
      <c r="P58" s="221"/>
      <c r="Q58" s="245">
        <v>357943</v>
      </c>
      <c r="R58" s="231"/>
      <c r="S58" s="232" t="str">
        <f>+K58</f>
        <v>444-</v>
      </c>
      <c r="T58" s="152"/>
      <c r="U58" s="150">
        <f>+(G154+G123+G121)*0.1</f>
        <v>245093.80000000002</v>
      </c>
      <c r="V58" s="35"/>
      <c r="W58" s="35">
        <v>205420</v>
      </c>
      <c r="X58" s="143">
        <f>+U58-W58</f>
        <v>39673.800000000017</v>
      </c>
      <c r="Y58" s="35"/>
      <c r="Z58" s="35"/>
      <c r="AA58" s="5"/>
      <c r="AB58" s="35"/>
      <c r="AC58" s="42"/>
      <c r="AD58" s="42"/>
      <c r="AE58" s="42"/>
      <c r="AF58" s="42"/>
      <c r="AG58" s="42"/>
      <c r="AH58" s="42"/>
      <c r="AI58" s="42"/>
      <c r="AJ58" s="14"/>
      <c r="AK58" s="35"/>
      <c r="AL58" s="35"/>
      <c r="AM58" s="35"/>
      <c r="AN58" s="35"/>
      <c r="AO58" s="35"/>
      <c r="AP58" s="35"/>
      <c r="AQ58" s="35"/>
      <c r="AR58" s="35"/>
      <c r="AS58" s="36"/>
      <c r="AT58" s="36"/>
      <c r="AU58" s="36"/>
      <c r="AV58" s="36"/>
      <c r="AW58" s="36"/>
      <c r="AX58" s="36"/>
      <c r="AY58" s="36"/>
      <c r="AZ58" s="36"/>
      <c r="BA58" s="14"/>
      <c r="BB58" s="7"/>
      <c r="BC58" s="6"/>
      <c r="BD58" s="6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</row>
    <row r="59" spans="2:146" hidden="1">
      <c r="B59" s="233" t="s">
        <v>11</v>
      </c>
      <c r="C59" s="233" t="s">
        <v>326</v>
      </c>
      <c r="D59" s="220">
        <v>0</v>
      </c>
      <c r="E59" s="221"/>
      <c r="F59" s="222">
        <f t="shared" si="0"/>
        <v>0</v>
      </c>
      <c r="G59" s="242"/>
      <c r="H59" s="221"/>
      <c r="I59" s="224">
        <f t="shared" si="1"/>
        <v>0</v>
      </c>
      <c r="J59" s="225"/>
      <c r="K59" s="226" t="str">
        <f t="shared" si="2"/>
        <v>445-</v>
      </c>
      <c r="L59" s="227">
        <f t="shared" si="3"/>
        <v>579619</v>
      </c>
      <c r="M59" s="227"/>
      <c r="N59" s="323">
        <v>579619</v>
      </c>
      <c r="O59" s="229">
        <f t="shared" si="4"/>
        <v>347106</v>
      </c>
      <c r="P59" s="221"/>
      <c r="Q59" s="221">
        <v>347106</v>
      </c>
      <c r="R59" s="231"/>
      <c r="S59" s="232" t="str">
        <f>+K59</f>
        <v>445-</v>
      </c>
      <c r="T59" s="152"/>
      <c r="U59" s="143">
        <f>+(I154+I123+I121-M154)*0.1</f>
        <v>245093.80000000002</v>
      </c>
      <c r="V59" s="35"/>
      <c r="W59" s="35"/>
      <c r="X59" s="35"/>
      <c r="Y59" s="35"/>
      <c r="Z59" s="35"/>
      <c r="AA59" s="5"/>
      <c r="AB59" s="35"/>
      <c r="AC59" s="42"/>
      <c r="AD59" s="42"/>
      <c r="AE59" s="42"/>
      <c r="AF59" s="42"/>
      <c r="AG59" s="42"/>
      <c r="AH59" s="42"/>
      <c r="AI59" s="42"/>
      <c r="AJ59" s="14"/>
      <c r="AK59" s="35"/>
      <c r="AL59" s="35"/>
      <c r="AM59" s="35"/>
      <c r="AN59" s="35"/>
      <c r="AO59" s="35"/>
      <c r="AP59" s="35"/>
      <c r="AQ59" s="35"/>
      <c r="AR59" s="35"/>
      <c r="AS59" s="36"/>
      <c r="AT59" s="36"/>
      <c r="AU59" s="36"/>
      <c r="AV59" s="36"/>
      <c r="AW59" s="36"/>
      <c r="AX59" s="36"/>
      <c r="AY59" s="36"/>
      <c r="AZ59" s="36"/>
      <c r="BA59" s="14"/>
      <c r="BB59" s="7"/>
      <c r="BC59" s="6"/>
      <c r="BD59" s="6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</row>
    <row r="60" spans="2:146" hidden="1">
      <c r="B60" s="233">
        <v>442</v>
      </c>
      <c r="C60" s="233" t="s">
        <v>327</v>
      </c>
      <c r="D60" s="220">
        <v>0</v>
      </c>
      <c r="E60" s="221"/>
      <c r="F60" s="222">
        <f t="shared" si="0"/>
        <v>0</v>
      </c>
      <c r="G60" s="242"/>
      <c r="H60" s="221"/>
      <c r="I60" s="224">
        <f t="shared" si="1"/>
        <v>0</v>
      </c>
      <c r="J60" s="225"/>
      <c r="K60" s="226">
        <f t="shared" si="2"/>
        <v>442</v>
      </c>
      <c r="L60" s="227">
        <f t="shared" si="3"/>
        <v>6144</v>
      </c>
      <c r="M60" s="227"/>
      <c r="N60" s="323">
        <v>6144</v>
      </c>
      <c r="O60" s="229">
        <f t="shared" si="4"/>
        <v>3500</v>
      </c>
      <c r="P60" s="221"/>
      <c r="Q60" s="221">
        <v>3500</v>
      </c>
      <c r="R60" s="231"/>
      <c r="S60" s="232">
        <f>+K60</f>
        <v>442</v>
      </c>
      <c r="T60" s="152"/>
      <c r="U60" s="35"/>
      <c r="V60" s="35"/>
      <c r="W60" s="35"/>
      <c r="X60" s="35"/>
      <c r="Y60" s="35"/>
      <c r="Z60" s="35"/>
      <c r="AA60" s="5"/>
      <c r="AB60" s="35"/>
      <c r="AC60" s="42"/>
      <c r="AD60" s="42"/>
      <c r="AE60" s="42"/>
      <c r="AF60" s="42"/>
      <c r="AG60" s="42"/>
      <c r="AH60" s="42"/>
      <c r="AI60" s="42"/>
      <c r="AJ60" s="14"/>
      <c r="AK60" s="35"/>
      <c r="AL60" s="35"/>
      <c r="AM60" s="35"/>
      <c r="AN60" s="35"/>
      <c r="AO60" s="35"/>
      <c r="AP60" s="35"/>
      <c r="AQ60" s="35"/>
      <c r="AR60" s="35"/>
      <c r="AS60" s="36"/>
      <c r="AT60" s="36"/>
      <c r="AU60" s="36"/>
      <c r="AV60" s="36"/>
      <c r="AW60" s="36"/>
      <c r="AX60" s="36"/>
      <c r="AY60" s="36"/>
      <c r="AZ60" s="36"/>
      <c r="BA60" s="14"/>
      <c r="BB60" s="135"/>
      <c r="BC60" s="135"/>
      <c r="BD60" s="135"/>
      <c r="BE60" s="136"/>
      <c r="BF60" s="136"/>
      <c r="BG60" s="136"/>
      <c r="BH60" s="136"/>
      <c r="BI60" s="136"/>
      <c r="BJ60" s="136"/>
      <c r="BK60" s="136"/>
      <c r="BL60" s="136"/>
      <c r="BM60" s="136"/>
      <c r="BN60" s="136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</row>
    <row r="61" spans="2:146" hidden="1">
      <c r="B61" s="233" t="s">
        <v>279</v>
      </c>
      <c r="C61" s="233" t="s">
        <v>208</v>
      </c>
      <c r="D61" s="220">
        <v>0</v>
      </c>
      <c r="E61" s="221"/>
      <c r="F61" s="222">
        <f t="shared" si="0"/>
        <v>0</v>
      </c>
      <c r="G61" s="242"/>
      <c r="H61" s="221"/>
      <c r="I61" s="224">
        <f t="shared" si="1"/>
        <v>0</v>
      </c>
      <c r="J61" s="225"/>
      <c r="K61" s="226" t="str">
        <f t="shared" si="2"/>
        <v>442/1</v>
      </c>
      <c r="L61" s="227">
        <f t="shared" si="3"/>
        <v>101805</v>
      </c>
      <c r="M61" s="227"/>
      <c r="N61" s="323">
        <v>101805</v>
      </c>
      <c r="O61" s="229">
        <f t="shared" si="4"/>
        <v>65893</v>
      </c>
      <c r="P61" s="221"/>
      <c r="Q61" s="221">
        <v>65893</v>
      </c>
      <c r="R61" s="231"/>
      <c r="S61" s="232"/>
      <c r="T61" s="152"/>
      <c r="U61" s="35"/>
      <c r="V61" s="35"/>
      <c r="W61" s="35"/>
      <c r="X61" s="35"/>
      <c r="Y61" s="35"/>
      <c r="Z61" s="35"/>
      <c r="AA61" s="5"/>
      <c r="AB61" s="35"/>
      <c r="AC61" s="42"/>
      <c r="AD61" s="42"/>
      <c r="AE61" s="42"/>
      <c r="AF61" s="42"/>
      <c r="AG61" s="42"/>
      <c r="AH61" s="42"/>
      <c r="AI61" s="42"/>
      <c r="AJ61" s="14"/>
      <c r="AK61" s="35"/>
      <c r="AL61" s="35"/>
      <c r="AM61" s="35"/>
      <c r="AN61" s="35"/>
      <c r="AO61" s="35"/>
      <c r="AP61" s="35"/>
      <c r="AQ61" s="35"/>
      <c r="AR61" s="35"/>
      <c r="AS61" s="36"/>
      <c r="AT61" s="36"/>
      <c r="AU61" s="36"/>
      <c r="AV61" s="36"/>
      <c r="AW61" s="36"/>
      <c r="AX61" s="36"/>
      <c r="AY61" s="36"/>
      <c r="AZ61" s="36"/>
      <c r="BA61" s="14"/>
      <c r="BB61" s="135"/>
      <c r="BC61" s="135"/>
      <c r="BD61" s="135"/>
      <c r="BE61" s="136"/>
      <c r="BF61" s="136"/>
      <c r="BG61" s="136"/>
      <c r="BH61" s="136"/>
      <c r="BI61" s="136"/>
      <c r="BJ61" s="136"/>
      <c r="BK61" s="136"/>
      <c r="BL61" s="136"/>
      <c r="BM61" s="136"/>
      <c r="BN61" s="136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</row>
    <row r="62" spans="2:146" hidden="1">
      <c r="B62" s="233"/>
      <c r="C62" s="233" t="s">
        <v>399</v>
      </c>
      <c r="D62" s="220">
        <v>0</v>
      </c>
      <c r="E62" s="221"/>
      <c r="F62" s="222">
        <f t="shared" si="0"/>
        <v>0</v>
      </c>
      <c r="G62" s="242"/>
      <c r="H62" s="221"/>
      <c r="I62" s="224">
        <f t="shared" si="1"/>
        <v>0</v>
      </c>
      <c r="J62" s="225"/>
      <c r="K62" s="226">
        <f t="shared" si="2"/>
        <v>0</v>
      </c>
      <c r="L62" s="227">
        <f t="shared" si="3"/>
        <v>0</v>
      </c>
      <c r="M62" s="227"/>
      <c r="N62" s="242"/>
      <c r="O62" s="229">
        <f t="shared" si="4"/>
        <v>0</v>
      </c>
      <c r="P62" s="221"/>
      <c r="Q62" s="221">
        <v>0</v>
      </c>
      <c r="R62" s="231"/>
      <c r="S62" s="232">
        <f>+K62</f>
        <v>0</v>
      </c>
      <c r="T62" s="152"/>
      <c r="U62" s="35"/>
      <c r="V62" s="35"/>
      <c r="W62" s="35"/>
      <c r="X62" s="35"/>
      <c r="Y62" s="35"/>
      <c r="Z62" s="35"/>
      <c r="AA62" s="5"/>
      <c r="AB62" s="35"/>
      <c r="AC62" s="42"/>
      <c r="AD62" s="42"/>
      <c r="AE62" s="42"/>
      <c r="AF62" s="42"/>
      <c r="AG62" s="42"/>
      <c r="AH62" s="42"/>
      <c r="AI62" s="42"/>
      <c r="AJ62" s="14"/>
      <c r="AK62" s="35"/>
      <c r="AL62" s="35"/>
      <c r="AM62" s="35"/>
      <c r="AN62" s="35"/>
      <c r="AO62" s="35"/>
      <c r="AP62" s="35"/>
      <c r="AQ62" s="35"/>
      <c r="AR62" s="35"/>
      <c r="AS62" s="36"/>
      <c r="AT62" s="36"/>
      <c r="AU62" s="36"/>
      <c r="AV62" s="36"/>
      <c r="AW62" s="36"/>
      <c r="AX62" s="36"/>
      <c r="AY62" s="36"/>
      <c r="AZ62" s="36"/>
      <c r="BA62" s="14"/>
      <c r="BB62" s="135"/>
      <c r="BC62" s="135"/>
      <c r="BD62" s="135"/>
      <c r="BE62" s="136"/>
      <c r="BF62" s="136"/>
      <c r="BG62" s="136"/>
      <c r="BH62" s="136"/>
      <c r="BI62" s="136"/>
      <c r="BJ62" s="136"/>
      <c r="BK62" s="136"/>
      <c r="BL62" s="136"/>
      <c r="BM62" s="136"/>
      <c r="BN62" s="136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</row>
    <row r="63" spans="2:146" hidden="1">
      <c r="B63" s="233"/>
      <c r="C63" s="233" t="s">
        <v>401</v>
      </c>
      <c r="D63" s="220">
        <v>0</v>
      </c>
      <c r="E63" s="221"/>
      <c r="F63" s="222">
        <f t="shared" si="0"/>
        <v>0</v>
      </c>
      <c r="G63" s="242"/>
      <c r="H63" s="221"/>
      <c r="I63" s="224">
        <f t="shared" si="1"/>
        <v>0</v>
      </c>
      <c r="J63" s="225"/>
      <c r="K63" s="226">
        <f t="shared" si="2"/>
        <v>0</v>
      </c>
      <c r="L63" s="227">
        <f t="shared" si="3"/>
        <v>0</v>
      </c>
      <c r="M63" s="227"/>
      <c r="N63" s="242"/>
      <c r="O63" s="229">
        <f t="shared" si="4"/>
        <v>0</v>
      </c>
      <c r="P63" s="221"/>
      <c r="Q63" s="221">
        <v>0</v>
      </c>
      <c r="R63" s="231"/>
      <c r="S63" s="232">
        <f>+K63</f>
        <v>0</v>
      </c>
      <c r="T63" s="152"/>
      <c r="U63" s="35"/>
      <c r="V63" s="35"/>
      <c r="W63" s="35"/>
      <c r="X63" s="35"/>
      <c r="Y63" s="35"/>
      <c r="Z63" s="35"/>
      <c r="AA63" s="5"/>
      <c r="AB63" s="35"/>
      <c r="AC63" s="42"/>
      <c r="AD63" s="42"/>
      <c r="AE63" s="42"/>
      <c r="AF63" s="42"/>
      <c r="AG63" s="42"/>
      <c r="AH63" s="42"/>
      <c r="AI63" s="42"/>
      <c r="AJ63" s="14"/>
      <c r="AK63" s="35"/>
      <c r="AL63" s="35"/>
      <c r="AM63" s="35"/>
      <c r="AN63" s="35"/>
      <c r="AO63" s="35"/>
      <c r="AP63" s="35"/>
      <c r="AQ63" s="35"/>
      <c r="AR63" s="35"/>
      <c r="AS63" s="36"/>
      <c r="AT63" s="36"/>
      <c r="AU63" s="36"/>
      <c r="AV63" s="36"/>
      <c r="AW63" s="36"/>
      <c r="AX63" s="36"/>
      <c r="AY63" s="36"/>
      <c r="AZ63" s="36"/>
      <c r="BA63" s="14"/>
      <c r="BB63" s="135"/>
      <c r="BC63" s="135"/>
      <c r="BD63" s="135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</row>
    <row r="64" spans="2:146" hidden="1">
      <c r="B64" s="233" t="s">
        <v>329</v>
      </c>
      <c r="C64" s="233" t="s">
        <v>328</v>
      </c>
      <c r="D64" s="220">
        <v>0</v>
      </c>
      <c r="E64" s="221"/>
      <c r="F64" s="222">
        <f t="shared" si="0"/>
        <v>0</v>
      </c>
      <c r="G64" s="242"/>
      <c r="H64" s="221"/>
      <c r="I64" s="224">
        <f t="shared" si="1"/>
        <v>0</v>
      </c>
      <c r="J64" s="225"/>
      <c r="K64" s="226" t="str">
        <f t="shared" si="2"/>
        <v>4458; 448</v>
      </c>
      <c r="L64" s="227">
        <f t="shared" si="3"/>
        <v>0</v>
      </c>
      <c r="M64" s="227"/>
      <c r="N64" s="242"/>
      <c r="O64" s="229">
        <f t="shared" si="4"/>
        <v>0</v>
      </c>
      <c r="P64" s="221"/>
      <c r="Q64" s="221">
        <v>0</v>
      </c>
      <c r="R64" s="231"/>
      <c r="S64" s="232" t="str">
        <f>+K64</f>
        <v>4458; 448</v>
      </c>
      <c r="T64" s="152"/>
      <c r="U64" s="35"/>
      <c r="V64" s="35"/>
      <c r="W64" s="35"/>
      <c r="X64" s="35"/>
      <c r="Y64" s="35"/>
      <c r="Z64" s="35"/>
      <c r="AA64" s="5"/>
      <c r="AB64" s="35"/>
      <c r="AC64" s="42"/>
      <c r="AD64" s="42"/>
      <c r="AE64" s="42"/>
      <c r="AF64" s="42"/>
      <c r="AG64" s="42"/>
      <c r="AH64" s="42"/>
      <c r="AI64" s="42"/>
      <c r="AJ64" s="14"/>
      <c r="AK64" s="35"/>
      <c r="AL64" s="35"/>
      <c r="AM64" s="35"/>
      <c r="AN64" s="35"/>
      <c r="AO64" s="35"/>
      <c r="AP64" s="35"/>
      <c r="AQ64" s="35"/>
      <c r="AR64" s="35"/>
      <c r="AS64" s="36"/>
      <c r="AT64" s="36"/>
      <c r="AU64" s="36"/>
      <c r="AV64" s="36"/>
      <c r="AW64" s="36"/>
      <c r="AX64" s="36"/>
      <c r="AY64" s="36"/>
      <c r="AZ64" s="36"/>
      <c r="BA64" s="14"/>
      <c r="BB64" s="135"/>
      <c r="BC64" s="135"/>
      <c r="BD64" s="135"/>
      <c r="BE64" s="136"/>
      <c r="BF64" s="136"/>
      <c r="BG64" s="136"/>
      <c r="BH64" s="136"/>
      <c r="BI64" s="136"/>
      <c r="BJ64" s="136"/>
      <c r="BK64" s="136"/>
      <c r="BL64" s="136"/>
      <c r="BM64" s="136"/>
      <c r="BN64" s="136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</row>
    <row r="65" spans="2:146" hidden="1">
      <c r="B65" s="233">
        <v>455</v>
      </c>
      <c r="C65" s="233" t="s">
        <v>172</v>
      </c>
      <c r="D65" s="220">
        <v>0</v>
      </c>
      <c r="E65" s="221"/>
      <c r="F65" s="222">
        <f t="shared" si="0"/>
        <v>0</v>
      </c>
      <c r="G65" s="242"/>
      <c r="H65" s="221"/>
      <c r="I65" s="224">
        <f t="shared" si="1"/>
        <v>0</v>
      </c>
      <c r="J65" s="225"/>
      <c r="K65" s="226">
        <f t="shared" si="2"/>
        <v>455</v>
      </c>
      <c r="L65" s="227">
        <f t="shared" si="3"/>
        <v>0</v>
      </c>
      <c r="M65" s="227"/>
      <c r="N65" s="248"/>
      <c r="O65" s="229">
        <f t="shared" si="4"/>
        <v>0</v>
      </c>
      <c r="P65" s="221"/>
      <c r="Q65" s="221">
        <v>0</v>
      </c>
      <c r="R65" s="231"/>
      <c r="S65" s="232"/>
      <c r="T65" s="152"/>
      <c r="U65" s="35"/>
      <c r="V65" s="35"/>
      <c r="W65" s="35"/>
      <c r="X65" s="35"/>
      <c r="Y65" s="35"/>
      <c r="Z65" s="35"/>
      <c r="AA65" s="5"/>
      <c r="AB65" s="35"/>
      <c r="AC65" s="42"/>
      <c r="AD65" s="42"/>
      <c r="AE65" s="42"/>
      <c r="AF65" s="42"/>
      <c r="AG65" s="42"/>
      <c r="AH65" s="42"/>
      <c r="AI65" s="42"/>
      <c r="AJ65" s="14"/>
      <c r="AK65" s="35"/>
      <c r="AL65" s="35"/>
      <c r="AM65" s="35"/>
      <c r="AN65" s="35"/>
      <c r="AO65" s="35"/>
      <c r="AP65" s="35"/>
      <c r="AQ65" s="35"/>
      <c r="AR65" s="35"/>
      <c r="AS65" s="36"/>
      <c r="AT65" s="36"/>
      <c r="AU65" s="36"/>
      <c r="AV65" s="36"/>
      <c r="AW65" s="36"/>
      <c r="AX65" s="36"/>
      <c r="AY65" s="36"/>
      <c r="AZ65" s="36"/>
      <c r="BA65" s="14"/>
      <c r="BB65" s="135"/>
      <c r="BC65" s="135"/>
      <c r="BD65" s="135"/>
      <c r="BE65" s="136"/>
      <c r="BF65" s="136"/>
      <c r="BG65" s="136"/>
      <c r="BH65" s="136"/>
      <c r="BI65" s="136"/>
      <c r="BJ65" s="136"/>
      <c r="BK65" s="136"/>
      <c r="BL65" s="136"/>
      <c r="BM65" s="136"/>
      <c r="BN65" s="136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</row>
    <row r="66" spans="2:146" hidden="1">
      <c r="B66" s="233" t="s">
        <v>330</v>
      </c>
      <c r="C66" s="233" t="s">
        <v>331</v>
      </c>
      <c r="D66" s="220">
        <v>0</v>
      </c>
      <c r="E66" s="221"/>
      <c r="F66" s="222">
        <f t="shared" si="0"/>
        <v>0</v>
      </c>
      <c r="G66" s="242"/>
      <c r="H66" s="221"/>
      <c r="I66" s="224">
        <f t="shared" si="1"/>
        <v>0</v>
      </c>
      <c r="J66" s="225"/>
      <c r="K66" s="226" t="str">
        <f t="shared" si="2"/>
        <v>456-       457</v>
      </c>
      <c r="L66" s="227">
        <f t="shared" si="3"/>
        <v>300000</v>
      </c>
      <c r="M66" s="227"/>
      <c r="N66" s="248">
        <v>300000</v>
      </c>
      <c r="O66" s="229">
        <f t="shared" si="4"/>
        <v>0</v>
      </c>
      <c r="P66" s="221"/>
      <c r="Q66" s="221">
        <v>0</v>
      </c>
      <c r="R66" s="231"/>
      <c r="S66" s="232" t="str">
        <f>+K66</f>
        <v>456-       457</v>
      </c>
      <c r="T66" s="152"/>
      <c r="U66" s="35"/>
      <c r="V66" s="35"/>
      <c r="W66" s="35"/>
      <c r="X66" s="35"/>
      <c r="Y66" s="35"/>
      <c r="Z66" s="35"/>
      <c r="AA66" s="35"/>
      <c r="AB66" s="35"/>
      <c r="AC66" s="42"/>
      <c r="AD66" s="42"/>
      <c r="AE66" s="42"/>
      <c r="AF66" s="42"/>
      <c r="AG66" s="42"/>
      <c r="AH66" s="42"/>
      <c r="AI66" s="42"/>
      <c r="AJ66" s="14"/>
      <c r="AK66" s="35"/>
      <c r="AL66" s="35"/>
      <c r="AM66" s="35"/>
      <c r="AN66" s="35"/>
      <c r="AO66" s="35"/>
      <c r="AP66" s="35"/>
      <c r="AQ66" s="35"/>
      <c r="AR66" s="35"/>
      <c r="AS66" s="36"/>
      <c r="AT66" s="36"/>
      <c r="AU66" s="36"/>
      <c r="AV66" s="36"/>
      <c r="AW66" s="36"/>
      <c r="AX66" s="36"/>
      <c r="AY66" s="36"/>
      <c r="AZ66" s="36"/>
      <c r="BA66" s="14"/>
      <c r="BB66" s="135"/>
      <c r="BC66" s="135"/>
      <c r="BD66" s="135"/>
      <c r="BE66" s="136"/>
      <c r="BF66" s="136"/>
      <c r="BG66" s="136"/>
      <c r="BH66" s="136"/>
      <c r="BI66" s="136"/>
      <c r="BJ66" s="136"/>
      <c r="BK66" s="136"/>
      <c r="BL66" s="136"/>
      <c r="BM66" s="136"/>
      <c r="BN66" s="136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</row>
    <row r="67" spans="2:146" hidden="1">
      <c r="B67" s="233">
        <v>461</v>
      </c>
      <c r="C67" s="233" t="s">
        <v>346</v>
      </c>
      <c r="D67" s="220">
        <v>0</v>
      </c>
      <c r="E67" s="221"/>
      <c r="F67" s="222">
        <f t="shared" si="0"/>
        <v>0</v>
      </c>
      <c r="G67" s="242"/>
      <c r="H67" s="221"/>
      <c r="I67" s="224">
        <f t="shared" si="1"/>
        <v>0</v>
      </c>
      <c r="J67" s="225"/>
      <c r="K67" s="226">
        <f t="shared" si="2"/>
        <v>461</v>
      </c>
      <c r="L67" s="227">
        <f t="shared" si="3"/>
        <v>0</v>
      </c>
      <c r="M67" s="227"/>
      <c r="N67" s="248"/>
      <c r="O67" s="229">
        <f t="shared" si="4"/>
        <v>0</v>
      </c>
      <c r="P67" s="221"/>
      <c r="Q67" s="221">
        <v>0</v>
      </c>
      <c r="R67" s="231"/>
      <c r="S67" s="232"/>
      <c r="T67" s="152"/>
      <c r="U67" s="35"/>
      <c r="V67" s="35"/>
      <c r="W67" s="35"/>
      <c r="X67" s="35"/>
      <c r="Y67" s="35"/>
      <c r="Z67" s="35"/>
      <c r="AA67" s="35"/>
      <c r="AB67" s="35"/>
      <c r="AC67" s="42"/>
      <c r="AD67" s="42"/>
      <c r="AE67" s="42"/>
      <c r="AF67" s="42"/>
      <c r="AG67" s="42"/>
      <c r="AH67" s="42"/>
      <c r="AI67" s="42"/>
      <c r="AJ67" s="14"/>
      <c r="AK67" s="35"/>
      <c r="AL67" s="35"/>
      <c r="AM67" s="35"/>
      <c r="AN67" s="35"/>
      <c r="AO67" s="35"/>
      <c r="AP67" s="35"/>
      <c r="AQ67" s="35"/>
      <c r="AR67" s="35"/>
      <c r="AS67" s="36"/>
      <c r="AT67" s="36"/>
      <c r="AU67" s="36"/>
      <c r="AV67" s="36"/>
      <c r="AW67" s="36"/>
      <c r="AX67" s="36"/>
      <c r="AY67" s="36"/>
      <c r="AZ67" s="36"/>
      <c r="BA67" s="14"/>
      <c r="BB67" s="135"/>
      <c r="BC67" s="135"/>
      <c r="BD67" s="135"/>
      <c r="BE67" s="136"/>
      <c r="BF67" s="136"/>
      <c r="BG67" s="136"/>
      <c r="BH67" s="136"/>
      <c r="BI67" s="136"/>
      <c r="BJ67" s="136"/>
      <c r="BK67" s="136"/>
      <c r="BL67" s="136"/>
      <c r="BM67" s="136"/>
      <c r="BN67" s="136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</row>
    <row r="68" spans="2:146" hidden="1">
      <c r="B68" s="233" t="s">
        <v>1</v>
      </c>
      <c r="C68" s="233" t="s">
        <v>209</v>
      </c>
      <c r="D68" s="220">
        <v>0</v>
      </c>
      <c r="E68" s="221"/>
      <c r="F68" s="222">
        <f t="shared" si="0"/>
        <v>0</v>
      </c>
      <c r="G68" s="242"/>
      <c r="H68" s="221"/>
      <c r="I68" s="224">
        <f t="shared" si="1"/>
        <v>0</v>
      </c>
      <c r="J68" s="225"/>
      <c r="K68" s="226" t="str">
        <f t="shared" si="2"/>
        <v>467-</v>
      </c>
      <c r="L68" s="227">
        <f t="shared" si="3"/>
        <v>0</v>
      </c>
      <c r="M68" s="227"/>
      <c r="N68" s="248"/>
      <c r="O68" s="229">
        <f t="shared" si="4"/>
        <v>0</v>
      </c>
      <c r="P68" s="221"/>
      <c r="Q68" s="221">
        <v>0</v>
      </c>
      <c r="R68" s="231"/>
      <c r="S68" s="232" t="str">
        <f>+K68</f>
        <v>467-</v>
      </c>
      <c r="T68" s="151"/>
      <c r="U68" s="35"/>
      <c r="V68" s="35"/>
      <c r="W68" s="35"/>
      <c r="X68" s="35"/>
      <c r="Y68" s="35"/>
      <c r="Z68" s="35"/>
      <c r="AA68" s="35"/>
      <c r="AB68" s="35"/>
      <c r="AC68" s="42"/>
      <c r="AD68" s="42"/>
      <c r="AE68" s="42"/>
      <c r="AF68" s="42"/>
      <c r="AG68" s="42"/>
      <c r="AH68" s="42"/>
      <c r="AI68" s="42"/>
      <c r="AJ68" s="14"/>
      <c r="AK68" s="35"/>
      <c r="AL68" s="35"/>
      <c r="AM68" s="35"/>
      <c r="AN68" s="35"/>
      <c r="AO68" s="35"/>
      <c r="AP68" s="35"/>
      <c r="AQ68" s="35"/>
      <c r="AR68" s="35"/>
      <c r="AS68" s="36"/>
      <c r="AT68" s="36"/>
      <c r="AU68" s="36"/>
      <c r="AV68" s="36"/>
      <c r="AW68" s="36"/>
      <c r="AX68" s="36"/>
      <c r="AY68" s="36"/>
      <c r="AZ68" s="36"/>
      <c r="BA68" s="14"/>
      <c r="BB68" s="135"/>
      <c r="BC68" s="135"/>
      <c r="BD68" s="135"/>
      <c r="BE68" s="136"/>
      <c r="BF68" s="136"/>
      <c r="BG68" s="136"/>
      <c r="BH68" s="136"/>
      <c r="BI68" s="136"/>
      <c r="BJ68" s="136"/>
      <c r="BK68" s="136"/>
      <c r="BL68" s="136"/>
      <c r="BM68" s="136"/>
      <c r="BN68" s="136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</row>
    <row r="69" spans="2:146" hidden="1">
      <c r="B69" s="233" t="s">
        <v>229</v>
      </c>
      <c r="C69" s="233" t="s">
        <v>332</v>
      </c>
      <c r="D69" s="220">
        <v>0</v>
      </c>
      <c r="E69" s="221"/>
      <c r="F69" s="222">
        <f t="shared" si="0"/>
        <v>0</v>
      </c>
      <c r="G69" s="242"/>
      <c r="H69" s="221"/>
      <c r="I69" s="224">
        <f t="shared" si="1"/>
        <v>0</v>
      </c>
      <c r="J69" s="225"/>
      <c r="K69" s="226" t="str">
        <f t="shared" si="2"/>
        <v>476-477</v>
      </c>
      <c r="L69" s="237">
        <f t="shared" si="3"/>
        <v>0</v>
      </c>
      <c r="M69" s="227"/>
      <c r="N69" s="248"/>
      <c r="O69" s="229">
        <f t="shared" si="4"/>
        <v>0</v>
      </c>
      <c r="P69" s="221"/>
      <c r="Q69" s="221">
        <v>0</v>
      </c>
      <c r="R69" s="231"/>
      <c r="S69" s="232" t="str">
        <f>+K69</f>
        <v>476-477</v>
      </c>
      <c r="T69" s="151"/>
      <c r="U69" s="35"/>
      <c r="V69" s="35"/>
      <c r="W69" s="35"/>
      <c r="X69" s="35"/>
      <c r="Y69" s="35"/>
      <c r="Z69" s="35"/>
      <c r="AA69" s="35"/>
      <c r="AB69" s="35"/>
      <c r="AC69" s="42"/>
      <c r="AD69" s="42"/>
      <c r="AE69" s="42"/>
      <c r="AF69" s="42"/>
      <c r="AG69" s="42"/>
      <c r="AH69" s="42"/>
      <c r="AI69" s="42"/>
      <c r="AJ69" s="14"/>
      <c r="AK69" s="35"/>
      <c r="AL69" s="35"/>
      <c r="AM69" s="35"/>
      <c r="AN69" s="35"/>
      <c r="AO69" s="35"/>
      <c r="AP69" s="35"/>
      <c r="AQ69" s="35"/>
      <c r="AR69" s="35"/>
      <c r="AS69" s="36"/>
      <c r="AT69" s="36"/>
      <c r="AU69" s="36"/>
      <c r="AV69" s="36"/>
      <c r="AW69" s="36"/>
      <c r="AX69" s="36"/>
      <c r="AY69" s="36"/>
      <c r="AZ69" s="36"/>
      <c r="BA69" s="14"/>
      <c r="BB69" s="135"/>
      <c r="BC69" s="135"/>
      <c r="BD69" s="135"/>
      <c r="BE69" s="136"/>
      <c r="BF69" s="136"/>
      <c r="BG69" s="136"/>
      <c r="BH69" s="136"/>
      <c r="BI69" s="136"/>
      <c r="BJ69" s="136"/>
      <c r="BK69" s="136"/>
      <c r="BL69" s="136"/>
      <c r="BM69" s="136"/>
      <c r="BN69" s="136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</row>
    <row r="70" spans="2:146" hidden="1">
      <c r="B70" s="233" t="s">
        <v>74</v>
      </c>
      <c r="C70" s="233" t="s">
        <v>0</v>
      </c>
      <c r="D70" s="220">
        <v>0</v>
      </c>
      <c r="E70" s="221"/>
      <c r="F70" s="222">
        <f t="shared" si="0"/>
        <v>0</v>
      </c>
      <c r="G70" s="242"/>
      <c r="H70" s="221"/>
      <c r="I70" s="224">
        <f t="shared" si="1"/>
        <v>0</v>
      </c>
      <c r="J70" s="225"/>
      <c r="K70" s="226" t="str">
        <f t="shared" si="2"/>
        <v>486-</v>
      </c>
      <c r="L70" s="227">
        <f t="shared" si="3"/>
        <v>0</v>
      </c>
      <c r="M70" s="227"/>
      <c r="N70" s="252"/>
      <c r="O70" s="229">
        <f t="shared" si="4"/>
        <v>0</v>
      </c>
      <c r="P70" s="221"/>
      <c r="Q70" s="221">
        <v>0</v>
      </c>
      <c r="R70" s="231"/>
      <c r="S70" s="232"/>
      <c r="T70" s="151"/>
      <c r="U70" s="35"/>
      <c r="V70" s="35"/>
      <c r="W70" s="35"/>
      <c r="X70" s="35"/>
      <c r="Y70" s="35"/>
      <c r="Z70" s="35"/>
      <c r="AA70" s="35"/>
      <c r="AB70" s="35"/>
      <c r="AC70" s="42"/>
      <c r="AD70" s="42"/>
      <c r="AE70" s="42"/>
      <c r="AF70" s="42"/>
      <c r="AG70" s="42"/>
      <c r="AH70" s="42"/>
      <c r="AI70" s="42"/>
      <c r="AJ70" s="14"/>
      <c r="AK70" s="35"/>
      <c r="AL70" s="35"/>
      <c r="AM70" s="35"/>
      <c r="AN70" s="35"/>
      <c r="AO70" s="35"/>
      <c r="AP70" s="35"/>
      <c r="AQ70" s="35"/>
      <c r="AR70" s="35"/>
      <c r="AS70" s="36"/>
      <c r="AT70" s="36"/>
      <c r="AU70" s="36"/>
      <c r="AV70" s="36"/>
      <c r="AW70" s="36"/>
      <c r="AX70" s="36"/>
      <c r="AY70" s="36"/>
      <c r="AZ70" s="36"/>
      <c r="BA70" s="14"/>
      <c r="BB70" s="135"/>
      <c r="BC70" s="135"/>
      <c r="BD70" s="135"/>
      <c r="BE70" s="136"/>
      <c r="BF70" s="136"/>
      <c r="BG70" s="136"/>
      <c r="BH70" s="136"/>
      <c r="BI70" s="136"/>
      <c r="BJ70" s="136"/>
      <c r="BK70" s="136"/>
      <c r="BL70" s="136"/>
      <c r="BM70" s="136"/>
      <c r="BN70" s="136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</row>
    <row r="71" spans="2:146" hidden="1">
      <c r="B71" s="233">
        <v>49</v>
      </c>
      <c r="C71" s="233" t="s">
        <v>13</v>
      </c>
      <c r="D71" s="220">
        <v>0</v>
      </c>
      <c r="E71" s="221"/>
      <c r="F71" s="222">
        <f t="shared" si="0"/>
        <v>0</v>
      </c>
      <c r="G71" s="242"/>
      <c r="H71" s="221"/>
      <c r="I71" s="224">
        <f t="shared" si="1"/>
        <v>0</v>
      </c>
      <c r="J71" s="225"/>
      <c r="K71" s="226">
        <f>+B71</f>
        <v>49</v>
      </c>
      <c r="L71" s="227">
        <f t="shared" si="3"/>
        <v>0</v>
      </c>
      <c r="M71" s="227"/>
      <c r="N71" s="248"/>
      <c r="O71" s="229">
        <f t="shared" si="4"/>
        <v>0</v>
      </c>
      <c r="P71" s="221"/>
      <c r="Q71" s="221">
        <v>0</v>
      </c>
      <c r="R71" s="231"/>
      <c r="S71" s="232"/>
      <c r="T71" s="151"/>
      <c r="U71" s="145">
        <v>1125047337</v>
      </c>
      <c r="V71" s="35"/>
      <c r="W71" s="35"/>
      <c r="X71" s="35"/>
      <c r="Y71" s="35"/>
      <c r="Z71" s="35"/>
      <c r="AA71" s="35"/>
      <c r="AB71" s="35"/>
      <c r="AC71" s="42"/>
      <c r="AD71" s="42"/>
      <c r="AE71" s="42"/>
      <c r="AF71" s="42"/>
      <c r="AG71" s="42"/>
      <c r="AH71" s="42"/>
      <c r="AI71" s="42"/>
      <c r="AJ71" s="14"/>
      <c r="AK71" s="35"/>
      <c r="AL71" s="35"/>
      <c r="AM71" s="35"/>
      <c r="AN71" s="35"/>
      <c r="AO71" s="35"/>
      <c r="AP71" s="35"/>
      <c r="AQ71" s="35"/>
      <c r="AR71" s="35"/>
      <c r="AS71" s="36"/>
      <c r="AT71" s="36"/>
      <c r="AU71" s="36"/>
      <c r="AV71" s="36"/>
      <c r="AW71" s="36"/>
      <c r="AX71" s="36"/>
      <c r="AY71" s="36"/>
      <c r="AZ71" s="36"/>
      <c r="BA71" s="14"/>
      <c r="BB71" s="135"/>
      <c r="BC71" s="135"/>
      <c r="BD71" s="135"/>
      <c r="BE71" s="136"/>
      <c r="BF71" s="136"/>
      <c r="BG71" s="136"/>
      <c r="BH71" s="136"/>
      <c r="BI71" s="136"/>
      <c r="BJ71" s="136"/>
      <c r="BK71" s="136"/>
      <c r="BL71" s="136"/>
      <c r="BM71" s="136"/>
      <c r="BN71" s="136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</row>
    <row r="72" spans="2:146" hidden="1">
      <c r="B72" s="233"/>
      <c r="C72" s="233" t="s">
        <v>151</v>
      </c>
      <c r="D72" s="220">
        <v>0</v>
      </c>
      <c r="E72" s="221"/>
      <c r="F72" s="222">
        <f t="shared" si="0"/>
        <v>0</v>
      </c>
      <c r="G72" s="242"/>
      <c r="H72" s="221"/>
      <c r="I72" s="224">
        <f t="shared" si="1"/>
        <v>0</v>
      </c>
      <c r="J72" s="225"/>
      <c r="K72" s="226">
        <f>+B72</f>
        <v>0</v>
      </c>
      <c r="L72" s="227">
        <f t="shared" si="3"/>
        <v>0</v>
      </c>
      <c r="M72" s="227"/>
      <c r="N72" s="242"/>
      <c r="O72" s="229">
        <f t="shared" si="4"/>
        <v>0</v>
      </c>
      <c r="P72" s="221"/>
      <c r="Q72" s="221">
        <v>0</v>
      </c>
      <c r="R72" s="231"/>
      <c r="S72" s="232"/>
      <c r="T72" s="151"/>
      <c r="U72" s="145"/>
      <c r="V72" s="35"/>
      <c r="W72" s="35"/>
      <c r="X72" s="35"/>
      <c r="Y72" s="35"/>
      <c r="Z72" s="35"/>
      <c r="AA72" s="35"/>
      <c r="AB72" s="35"/>
      <c r="AC72" s="42"/>
      <c r="AD72" s="42"/>
      <c r="AE72" s="42"/>
      <c r="AF72" s="42"/>
      <c r="AG72" s="42"/>
      <c r="AH72" s="42"/>
      <c r="AI72" s="42"/>
      <c r="AJ72" s="14"/>
      <c r="AK72" s="35"/>
      <c r="AL72" s="35"/>
      <c r="AM72" s="35"/>
      <c r="AN72" s="35"/>
      <c r="AO72" s="35"/>
      <c r="AP72" s="35"/>
      <c r="AQ72" s="35"/>
      <c r="AR72" s="35"/>
      <c r="AS72" s="36"/>
      <c r="AT72" s="36"/>
      <c r="AU72" s="36"/>
      <c r="AV72" s="36"/>
      <c r="AW72" s="36"/>
      <c r="AX72" s="36"/>
      <c r="AY72" s="36"/>
      <c r="AZ72" s="36"/>
      <c r="BA72" s="14"/>
      <c r="BB72" s="135"/>
      <c r="BC72" s="135"/>
      <c r="BD72" s="135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</row>
    <row r="73" spans="2:146" hidden="1">
      <c r="B73" s="233" t="s">
        <v>2</v>
      </c>
      <c r="C73" s="233" t="s">
        <v>408</v>
      </c>
      <c r="D73" s="220">
        <v>88437</v>
      </c>
      <c r="E73" s="221"/>
      <c r="F73" s="222">
        <f t="shared" ref="F73:F136" si="6">+D73+E73</f>
        <v>88437</v>
      </c>
      <c r="G73" s="366">
        <f>4482+6037+38+630</f>
        <v>11187</v>
      </c>
      <c r="H73" s="221"/>
      <c r="I73" s="224">
        <f t="shared" ref="I73:I136" si="7">+G73+H73</f>
        <v>11187</v>
      </c>
      <c r="J73" s="225"/>
      <c r="K73" s="226" t="str">
        <f t="shared" si="2"/>
        <v>5121-</v>
      </c>
      <c r="L73" s="227">
        <f t="shared" ref="L73:L136" si="8">+N73+M73</f>
        <v>0</v>
      </c>
      <c r="M73" s="227"/>
      <c r="N73" s="242"/>
      <c r="O73" s="229">
        <f t="shared" ref="O73:O136" si="9">+Q73</f>
        <v>0</v>
      </c>
      <c r="P73" s="221"/>
      <c r="Q73" s="221">
        <v>0</v>
      </c>
      <c r="R73" s="231"/>
      <c r="S73" s="232" t="str">
        <f>+K73</f>
        <v>5121-</v>
      </c>
      <c r="T73" s="151"/>
      <c r="U73" s="35">
        <v>1123059965</v>
      </c>
      <c r="V73" s="35"/>
      <c r="W73" s="35"/>
      <c r="X73" s="35"/>
      <c r="Y73" s="35"/>
      <c r="Z73" s="35"/>
      <c r="AA73" s="35"/>
      <c r="AB73" s="35"/>
      <c r="AC73" s="42"/>
      <c r="AD73" s="42"/>
      <c r="AE73" s="42"/>
      <c r="AF73" s="42"/>
      <c r="AG73" s="42"/>
      <c r="AH73" s="42"/>
      <c r="AI73" s="42"/>
      <c r="AJ73" s="14"/>
      <c r="AK73" s="35"/>
      <c r="AL73" s="35"/>
      <c r="AM73" s="17"/>
      <c r="AN73" s="17"/>
      <c r="AO73" s="17"/>
      <c r="AP73" s="35"/>
      <c r="AQ73" s="35"/>
      <c r="AR73" s="35"/>
      <c r="AS73" s="36"/>
      <c r="AT73" s="36"/>
      <c r="AU73" s="36"/>
      <c r="AV73" s="36"/>
      <c r="AW73" s="36"/>
      <c r="AX73" s="36"/>
      <c r="AY73" s="36"/>
      <c r="AZ73" s="36"/>
      <c r="BA73" s="14"/>
      <c r="BB73" s="135"/>
      <c r="BC73" s="135"/>
      <c r="BD73" s="135"/>
      <c r="BE73" s="136"/>
      <c r="BF73" s="136"/>
      <c r="BG73" s="136"/>
      <c r="BH73" s="136"/>
      <c r="BI73" s="136"/>
      <c r="BJ73" s="136"/>
      <c r="BK73" s="136"/>
      <c r="BL73" s="136"/>
      <c r="BM73" s="136"/>
      <c r="BN73" s="136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</row>
    <row r="74" spans="2:146" hidden="1">
      <c r="B74" s="233" t="s">
        <v>2</v>
      </c>
      <c r="C74" s="233" t="s">
        <v>409</v>
      </c>
      <c r="D74" s="220">
        <v>0</v>
      </c>
      <c r="E74" s="221"/>
      <c r="F74" s="222">
        <f t="shared" si="6"/>
        <v>0</v>
      </c>
      <c r="G74" s="242"/>
      <c r="H74" s="221"/>
      <c r="I74" s="224">
        <f t="shared" si="7"/>
        <v>0</v>
      </c>
      <c r="J74" s="225"/>
      <c r="K74" s="226" t="str">
        <f>+B74</f>
        <v>5121-</v>
      </c>
      <c r="L74" s="227">
        <f t="shared" si="8"/>
        <v>0</v>
      </c>
      <c r="M74" s="227"/>
      <c r="N74" s="242"/>
      <c r="O74" s="229">
        <f t="shared" si="9"/>
        <v>0</v>
      </c>
      <c r="P74" s="221"/>
      <c r="Q74" s="221">
        <v>0</v>
      </c>
      <c r="R74" s="231"/>
      <c r="S74" s="232"/>
      <c r="T74" s="151"/>
      <c r="U74" s="145">
        <f>+U71-U73</f>
        <v>1987372</v>
      </c>
      <c r="V74" s="35"/>
      <c r="W74" s="35"/>
      <c r="X74" s="35"/>
      <c r="Y74" s="35"/>
      <c r="Z74" s="35"/>
      <c r="AA74" s="35"/>
      <c r="AB74" s="35"/>
      <c r="AC74" s="42"/>
      <c r="AD74" s="42"/>
      <c r="AE74" s="42"/>
      <c r="AF74" s="42"/>
      <c r="AG74" s="42"/>
      <c r="AH74" s="42"/>
      <c r="AI74" s="42"/>
      <c r="AJ74" s="14"/>
      <c r="AK74" s="35"/>
      <c r="AL74" s="35"/>
      <c r="AM74" s="17"/>
      <c r="AN74" s="17"/>
      <c r="AO74" s="17"/>
      <c r="AP74" s="35"/>
      <c r="AQ74" s="35"/>
      <c r="AR74" s="35"/>
      <c r="AS74" s="36"/>
      <c r="AT74" s="36"/>
      <c r="AU74" s="36"/>
      <c r="AV74" s="36"/>
      <c r="AW74" s="36"/>
      <c r="AX74" s="36"/>
      <c r="AY74" s="36"/>
      <c r="AZ74" s="36"/>
      <c r="BA74" s="14"/>
      <c r="BB74" s="135"/>
      <c r="BC74" s="135"/>
      <c r="BD74" s="135"/>
      <c r="BE74" s="136"/>
      <c r="BF74" s="136"/>
      <c r="BG74" s="136"/>
      <c r="BH74" s="136"/>
      <c r="BI74" s="136"/>
      <c r="BJ74" s="136"/>
      <c r="BK74" s="136"/>
      <c r="BL74" s="136"/>
      <c r="BM74" s="136"/>
      <c r="BN74" s="136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</row>
    <row r="75" spans="2:146" hidden="1">
      <c r="B75" s="233" t="s">
        <v>2</v>
      </c>
      <c r="C75" s="233" t="s">
        <v>414</v>
      </c>
      <c r="D75" s="220">
        <v>0</v>
      </c>
      <c r="E75" s="221"/>
      <c r="F75" s="222">
        <f t="shared" si="6"/>
        <v>0</v>
      </c>
      <c r="G75" s="242"/>
      <c r="H75" s="221"/>
      <c r="I75" s="224">
        <f t="shared" si="7"/>
        <v>0</v>
      </c>
      <c r="J75" s="225"/>
      <c r="K75" s="226" t="str">
        <f t="shared" si="2"/>
        <v>5121-</v>
      </c>
      <c r="L75" s="227">
        <f t="shared" si="8"/>
        <v>6200000</v>
      </c>
      <c r="M75" s="227"/>
      <c r="N75" s="252">
        <v>6200000</v>
      </c>
      <c r="O75" s="229">
        <f t="shared" si="9"/>
        <v>6200000</v>
      </c>
      <c r="P75" s="221"/>
      <c r="Q75" s="221">
        <v>6200000</v>
      </c>
      <c r="R75" s="231"/>
      <c r="S75" s="232"/>
      <c r="T75" s="151"/>
      <c r="U75" s="35"/>
      <c r="V75" s="35"/>
      <c r="W75" s="35"/>
      <c r="X75" s="35"/>
      <c r="Y75" s="35"/>
      <c r="Z75" s="35"/>
      <c r="AA75" s="35"/>
      <c r="AB75" s="35"/>
      <c r="AC75" s="42"/>
      <c r="AD75" s="42"/>
      <c r="AE75" s="42"/>
      <c r="AF75" s="42"/>
      <c r="AG75" s="42"/>
      <c r="AH75" s="42"/>
      <c r="AI75" s="42"/>
      <c r="AJ75" s="14"/>
      <c r="AK75" s="35"/>
      <c r="AL75" s="35"/>
      <c r="AM75" s="17"/>
      <c r="AN75" s="17"/>
      <c r="AO75" s="17"/>
      <c r="AP75" s="35"/>
      <c r="AQ75" s="35"/>
      <c r="AR75" s="35"/>
      <c r="AS75" s="36"/>
      <c r="AT75" s="36"/>
      <c r="AU75" s="36"/>
      <c r="AV75" s="36"/>
      <c r="AW75" s="36"/>
      <c r="AX75" s="36"/>
      <c r="AY75" s="36"/>
      <c r="AZ75" s="36"/>
      <c r="BA75" s="14"/>
      <c r="BB75" s="135"/>
      <c r="BC75" s="135"/>
      <c r="BD75" s="135"/>
      <c r="BE75" s="136"/>
      <c r="BF75" s="136"/>
      <c r="BG75" s="136"/>
      <c r="BH75" s="136"/>
      <c r="BI75" s="136"/>
      <c r="BJ75" s="136"/>
      <c r="BK75" s="136"/>
      <c r="BL75" s="136"/>
      <c r="BM75" s="136"/>
      <c r="BN75" s="136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</row>
    <row r="76" spans="2:146" hidden="1">
      <c r="B76" s="233" t="s">
        <v>2</v>
      </c>
      <c r="C76" s="233" t="s">
        <v>199</v>
      </c>
      <c r="D76" s="220">
        <v>0</v>
      </c>
      <c r="E76" s="221"/>
      <c r="F76" s="222">
        <f t="shared" si="6"/>
        <v>0</v>
      </c>
      <c r="G76" s="242"/>
      <c r="H76" s="221"/>
      <c r="I76" s="224">
        <f t="shared" si="7"/>
        <v>0</v>
      </c>
      <c r="J76" s="225"/>
      <c r="K76" s="226" t="str">
        <f t="shared" si="2"/>
        <v>5121-</v>
      </c>
      <c r="L76" s="227">
        <f t="shared" si="8"/>
        <v>0</v>
      </c>
      <c r="M76" s="227"/>
      <c r="N76" s="242"/>
      <c r="O76" s="229">
        <f t="shared" si="9"/>
        <v>0</v>
      </c>
      <c r="P76" s="221"/>
      <c r="Q76" s="221">
        <v>0</v>
      </c>
      <c r="R76" s="231"/>
      <c r="S76" s="232"/>
      <c r="T76" s="151"/>
      <c r="U76" s="35"/>
      <c r="V76" s="35"/>
      <c r="W76" s="35"/>
      <c r="X76" s="35"/>
      <c r="Y76" s="35"/>
      <c r="Z76" s="35"/>
      <c r="AA76" s="35"/>
      <c r="AB76" s="35"/>
      <c r="AC76" s="42"/>
      <c r="AD76" s="42"/>
      <c r="AE76" s="42"/>
      <c r="AF76" s="42"/>
      <c r="AG76" s="42"/>
      <c r="AH76" s="42"/>
      <c r="AI76" s="42"/>
      <c r="AJ76" s="14"/>
      <c r="AK76" s="35"/>
      <c r="AL76" s="35"/>
      <c r="AM76" s="17"/>
      <c r="AN76" s="17"/>
      <c r="AO76" s="17"/>
      <c r="AP76" s="35"/>
      <c r="AQ76" s="35"/>
      <c r="AR76" s="35"/>
      <c r="AS76" s="36"/>
      <c r="AT76" s="36"/>
      <c r="AU76" s="36"/>
      <c r="AV76" s="36"/>
      <c r="AW76" s="36"/>
      <c r="AX76" s="36"/>
      <c r="AY76" s="36"/>
      <c r="AZ76" s="36"/>
      <c r="BA76" s="14"/>
      <c r="BB76" s="135"/>
      <c r="BC76" s="135"/>
      <c r="BD76" s="135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</row>
    <row r="77" spans="2:146" hidden="1">
      <c r="B77" s="233" t="s">
        <v>283</v>
      </c>
      <c r="C77" s="233" t="s">
        <v>418</v>
      </c>
      <c r="D77" s="220">
        <v>0</v>
      </c>
      <c r="E77" s="221"/>
      <c r="F77" s="222">
        <f t="shared" si="6"/>
        <v>0</v>
      </c>
      <c r="G77" s="242"/>
      <c r="H77" s="221"/>
      <c r="I77" s="224">
        <f t="shared" si="7"/>
        <v>0</v>
      </c>
      <c r="J77" s="225"/>
      <c r="K77" s="226" t="str">
        <f t="shared" ref="K77:K153" si="10">+B77</f>
        <v>5121/1</v>
      </c>
      <c r="L77" s="227">
        <f t="shared" si="8"/>
        <v>11153</v>
      </c>
      <c r="M77" s="227"/>
      <c r="N77" s="252">
        <v>11153</v>
      </c>
      <c r="O77" s="229">
        <f t="shared" si="9"/>
        <v>4228</v>
      </c>
      <c r="P77" s="221"/>
      <c r="Q77" s="221">
        <v>4228</v>
      </c>
      <c r="R77" s="231"/>
      <c r="S77" s="232" t="str">
        <f>+K77</f>
        <v>5121/1</v>
      </c>
      <c r="T77" s="152"/>
      <c r="U77" s="35"/>
      <c r="V77" s="35"/>
      <c r="W77" s="35"/>
      <c r="X77" s="35"/>
      <c r="Y77" s="35"/>
      <c r="Z77" s="35"/>
      <c r="AA77" s="35"/>
      <c r="AB77" s="35"/>
      <c r="AC77" s="42"/>
      <c r="AD77" s="42"/>
      <c r="AE77" s="42"/>
      <c r="AF77" s="42"/>
      <c r="AG77" s="42"/>
      <c r="AH77" s="42"/>
      <c r="AI77" s="42"/>
      <c r="AJ77" s="14"/>
      <c r="AK77" s="17"/>
      <c r="AL77" s="17"/>
      <c r="AM77" s="17"/>
      <c r="AN77" s="17"/>
      <c r="AO77" s="17"/>
      <c r="AP77" s="35"/>
      <c r="AQ77" s="35"/>
      <c r="AR77" s="35"/>
      <c r="AS77" s="36"/>
      <c r="AT77" s="36"/>
      <c r="AU77" s="36"/>
      <c r="AV77" s="36"/>
      <c r="AW77" s="36"/>
      <c r="AX77" s="36"/>
      <c r="AY77" s="36"/>
      <c r="AZ77" s="36"/>
      <c r="BA77" s="14"/>
      <c r="BB77" s="135"/>
      <c r="BC77" s="135"/>
      <c r="BD77" s="135"/>
      <c r="BE77" s="136"/>
      <c r="BF77" s="136"/>
      <c r="BG77" s="136"/>
      <c r="BH77" s="136"/>
      <c r="BI77" s="136"/>
      <c r="BJ77" s="136"/>
      <c r="BK77" s="136"/>
      <c r="BL77" s="136"/>
      <c r="BM77" s="136"/>
      <c r="BN77" s="136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</row>
    <row r="78" spans="2:146" hidden="1">
      <c r="B78" s="233" t="s">
        <v>333</v>
      </c>
      <c r="C78" s="233" t="s">
        <v>410</v>
      </c>
      <c r="D78" s="220">
        <v>0</v>
      </c>
      <c r="E78" s="221"/>
      <c r="F78" s="222">
        <f t="shared" si="6"/>
        <v>0</v>
      </c>
      <c r="G78" s="242"/>
      <c r="H78" s="221"/>
      <c r="I78" s="224">
        <f t="shared" si="7"/>
        <v>0</v>
      </c>
      <c r="J78" s="225"/>
      <c r="K78" s="226" t="str">
        <f t="shared" si="10"/>
        <v>5121/2</v>
      </c>
      <c r="L78" s="227">
        <f t="shared" si="8"/>
        <v>0</v>
      </c>
      <c r="M78" s="227"/>
      <c r="N78" s="249"/>
      <c r="O78" s="229">
        <f t="shared" si="9"/>
        <v>0</v>
      </c>
      <c r="P78" s="221"/>
      <c r="Q78" s="221">
        <v>0</v>
      </c>
      <c r="R78" s="231"/>
      <c r="S78" s="232"/>
      <c r="T78" s="152"/>
      <c r="U78" s="35"/>
      <c r="V78" s="35"/>
      <c r="W78" s="35"/>
      <c r="X78" s="35"/>
      <c r="Y78" s="35"/>
      <c r="Z78" s="35"/>
      <c r="AA78" s="35"/>
      <c r="AB78" s="35"/>
      <c r="AC78" s="42"/>
      <c r="AD78" s="42"/>
      <c r="AE78" s="42"/>
      <c r="AF78" s="42"/>
      <c r="AG78" s="42"/>
      <c r="AH78" s="42"/>
      <c r="AI78" s="42"/>
      <c r="AJ78" s="14"/>
      <c r="AK78" s="17"/>
      <c r="AL78" s="17"/>
      <c r="AM78" s="17"/>
      <c r="AN78" s="17"/>
      <c r="AO78" s="17"/>
      <c r="AP78" s="35"/>
      <c r="AQ78" s="35"/>
      <c r="AR78" s="35"/>
      <c r="AS78" s="36"/>
      <c r="AT78" s="36"/>
      <c r="AU78" s="36"/>
      <c r="AV78" s="36"/>
      <c r="AW78" s="36"/>
      <c r="AX78" s="36"/>
      <c r="AY78" s="36"/>
      <c r="AZ78" s="36"/>
      <c r="BA78" s="14"/>
      <c r="BB78" s="135"/>
      <c r="BC78" s="135"/>
      <c r="BD78" s="135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</row>
    <row r="79" spans="2:146" hidden="1">
      <c r="B79" s="233" t="s">
        <v>334</v>
      </c>
      <c r="C79" s="233" t="s">
        <v>347</v>
      </c>
      <c r="D79" s="220">
        <v>0</v>
      </c>
      <c r="E79" s="221"/>
      <c r="F79" s="222">
        <f t="shared" si="6"/>
        <v>0</v>
      </c>
      <c r="G79" s="242"/>
      <c r="H79" s="221"/>
      <c r="I79" s="224">
        <f t="shared" si="7"/>
        <v>0</v>
      </c>
      <c r="J79" s="225"/>
      <c r="K79" s="226" t="str">
        <f t="shared" si="10"/>
        <v>5121/3</v>
      </c>
      <c r="L79" s="227">
        <f t="shared" si="8"/>
        <v>0</v>
      </c>
      <c r="M79" s="227"/>
      <c r="N79" s="242"/>
      <c r="O79" s="229">
        <f t="shared" si="9"/>
        <v>0</v>
      </c>
      <c r="P79" s="221"/>
      <c r="Q79" s="221">
        <v>0</v>
      </c>
      <c r="R79" s="231"/>
      <c r="S79" s="232"/>
      <c r="T79" s="152"/>
      <c r="U79" s="35"/>
      <c r="V79" s="35"/>
      <c r="W79" s="35"/>
      <c r="X79" s="35"/>
      <c r="Y79" s="35"/>
      <c r="Z79" s="35"/>
      <c r="AA79" s="35"/>
      <c r="AB79" s="35"/>
      <c r="AC79" s="42"/>
      <c r="AD79" s="42"/>
      <c r="AE79" s="42"/>
      <c r="AF79" s="42"/>
      <c r="AG79" s="42"/>
      <c r="AH79" s="42"/>
      <c r="AI79" s="42"/>
      <c r="AJ79" s="14"/>
      <c r="AK79" s="17"/>
      <c r="AL79" s="17"/>
      <c r="AM79" s="17"/>
      <c r="AN79" s="17"/>
      <c r="AO79" s="17"/>
      <c r="AP79" s="35"/>
      <c r="AQ79" s="35"/>
      <c r="AR79" s="35"/>
      <c r="AS79" s="36"/>
      <c r="AT79" s="36"/>
      <c r="AU79" s="36"/>
      <c r="AV79" s="36"/>
      <c r="AW79" s="36"/>
      <c r="AX79" s="36"/>
      <c r="AY79" s="36"/>
      <c r="AZ79" s="36"/>
      <c r="BA79" s="14"/>
      <c r="BB79" s="135"/>
      <c r="BC79" s="135"/>
      <c r="BD79" s="135"/>
      <c r="BE79" s="136"/>
      <c r="BF79" s="136"/>
      <c r="BG79" s="136"/>
      <c r="BH79" s="136"/>
      <c r="BI79" s="136"/>
      <c r="BJ79" s="136"/>
      <c r="BK79" s="136"/>
      <c r="BL79" s="136"/>
      <c r="BM79" s="136"/>
      <c r="BN79" s="136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</row>
    <row r="80" spans="2:146" hidden="1">
      <c r="B80" s="233" t="s">
        <v>3</v>
      </c>
      <c r="C80" s="233" t="s">
        <v>335</v>
      </c>
      <c r="D80" s="220">
        <v>0</v>
      </c>
      <c r="E80" s="221"/>
      <c r="F80" s="222">
        <f t="shared" si="6"/>
        <v>0</v>
      </c>
      <c r="G80" s="242"/>
      <c r="H80" s="221"/>
      <c r="I80" s="224">
        <f t="shared" si="7"/>
        <v>0</v>
      </c>
      <c r="J80" s="225"/>
      <c r="K80" s="226" t="str">
        <f t="shared" si="10"/>
        <v>5124-</v>
      </c>
      <c r="L80" s="227">
        <f t="shared" si="8"/>
        <v>0</v>
      </c>
      <c r="M80" s="227"/>
      <c r="N80" s="242"/>
      <c r="O80" s="229">
        <f t="shared" si="9"/>
        <v>0</v>
      </c>
      <c r="P80" s="221"/>
      <c r="Q80" s="221">
        <v>0</v>
      </c>
      <c r="R80" s="231"/>
      <c r="S80" s="232" t="str">
        <f>+K80</f>
        <v>5124-</v>
      </c>
      <c r="T80" s="152"/>
      <c r="U80" s="35"/>
      <c r="V80" s="35"/>
      <c r="W80" s="35"/>
      <c r="X80" s="35"/>
      <c r="Y80" s="35"/>
      <c r="Z80" s="35"/>
      <c r="AA80" s="35"/>
      <c r="AB80" s="35"/>
      <c r="AC80" s="42"/>
      <c r="AD80" s="42"/>
      <c r="AE80" s="42"/>
      <c r="AF80" s="42"/>
      <c r="AG80" s="42"/>
      <c r="AH80" s="42"/>
      <c r="AI80" s="42"/>
      <c r="AJ80" s="14"/>
      <c r="AK80" s="17"/>
      <c r="AL80" s="17"/>
      <c r="AM80" s="17"/>
      <c r="AN80" s="17"/>
      <c r="AO80" s="17"/>
      <c r="AP80" s="35"/>
      <c r="AQ80" s="35"/>
      <c r="AR80" s="35"/>
      <c r="AS80" s="36"/>
      <c r="AT80" s="36"/>
      <c r="AU80" s="36"/>
      <c r="AV80" s="36"/>
      <c r="AW80" s="36"/>
      <c r="AX80" s="36"/>
      <c r="AY80" s="36"/>
      <c r="AZ80" s="36"/>
      <c r="BA80" s="14"/>
      <c r="BB80" s="135"/>
      <c r="BC80" s="135"/>
      <c r="BD80" s="135"/>
      <c r="BE80" s="136"/>
      <c r="BF80" s="136"/>
      <c r="BG80" s="136"/>
      <c r="BH80" s="136"/>
      <c r="BI80" s="136"/>
      <c r="BJ80" s="136"/>
      <c r="BK80" s="136"/>
      <c r="BL80" s="136"/>
      <c r="BM80" s="136"/>
      <c r="BN80" s="136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</row>
    <row r="81" spans="1:146" hidden="1">
      <c r="B81" s="233" t="s">
        <v>3</v>
      </c>
      <c r="C81" s="233" t="s">
        <v>336</v>
      </c>
      <c r="D81" s="220">
        <v>0</v>
      </c>
      <c r="E81" s="221"/>
      <c r="F81" s="222">
        <f t="shared" si="6"/>
        <v>0</v>
      </c>
      <c r="G81" s="242"/>
      <c r="H81" s="221"/>
      <c r="I81" s="224">
        <f t="shared" si="7"/>
        <v>0</v>
      </c>
      <c r="J81" s="225"/>
      <c r="K81" s="226" t="str">
        <f t="shared" si="10"/>
        <v>5124-</v>
      </c>
      <c r="L81" s="227">
        <f t="shared" si="8"/>
        <v>0</v>
      </c>
      <c r="M81" s="227"/>
      <c r="N81" s="242"/>
      <c r="O81" s="229">
        <f t="shared" si="9"/>
        <v>0</v>
      </c>
      <c r="P81" s="221"/>
      <c r="Q81" s="221">
        <v>0</v>
      </c>
      <c r="R81" s="231"/>
      <c r="S81" s="232"/>
      <c r="T81" s="152"/>
      <c r="U81" s="35"/>
      <c r="V81" s="35"/>
      <c r="W81" s="35"/>
      <c r="X81" s="35"/>
      <c r="Y81" s="35"/>
      <c r="Z81" s="35"/>
      <c r="AA81" s="35"/>
      <c r="AB81" s="35"/>
      <c r="AC81" s="42"/>
      <c r="AD81" s="42"/>
      <c r="AE81" s="42"/>
      <c r="AF81" s="42"/>
      <c r="AG81" s="42"/>
      <c r="AH81" s="42"/>
      <c r="AI81" s="42"/>
      <c r="AJ81" s="14"/>
      <c r="AK81" s="17"/>
      <c r="AL81" s="17"/>
      <c r="AM81" s="17"/>
      <c r="AN81" s="17"/>
      <c r="AO81" s="17"/>
      <c r="AP81" s="35"/>
      <c r="AQ81" s="35"/>
      <c r="AR81" s="35"/>
      <c r="AS81" s="36"/>
      <c r="AT81" s="36"/>
      <c r="AU81" s="36"/>
      <c r="AV81" s="36"/>
      <c r="AW81" s="36"/>
      <c r="AX81" s="36"/>
      <c r="AY81" s="36"/>
      <c r="AZ81" s="36"/>
      <c r="BA81" s="14"/>
      <c r="BB81" s="135"/>
      <c r="BC81" s="135"/>
      <c r="BD81" s="135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</row>
    <row r="82" spans="1:146" hidden="1">
      <c r="B82" s="233" t="s">
        <v>4</v>
      </c>
      <c r="C82" s="233" t="s">
        <v>337</v>
      </c>
      <c r="D82" s="220">
        <v>749474</v>
      </c>
      <c r="E82" s="221"/>
      <c r="F82" s="222">
        <f t="shared" si="6"/>
        <v>749474</v>
      </c>
      <c r="G82" s="366">
        <v>263191</v>
      </c>
      <c r="H82" s="245"/>
      <c r="I82" s="224">
        <f t="shared" si="7"/>
        <v>263191</v>
      </c>
      <c r="J82" s="225"/>
      <c r="K82" s="226" t="str">
        <f t="shared" si="10"/>
        <v>5311-</v>
      </c>
      <c r="L82" s="227">
        <f t="shared" si="8"/>
        <v>0</v>
      </c>
      <c r="M82" s="227"/>
      <c r="N82" s="242"/>
      <c r="O82" s="229">
        <f t="shared" si="9"/>
        <v>0</v>
      </c>
      <c r="P82" s="221"/>
      <c r="Q82" s="221">
        <v>0</v>
      </c>
      <c r="R82" s="231"/>
      <c r="S82" s="232" t="str">
        <f>+K82</f>
        <v>5311-</v>
      </c>
      <c r="T82" s="152"/>
      <c r="U82" s="35"/>
      <c r="V82" s="35"/>
      <c r="W82" s="35"/>
      <c r="X82" s="35"/>
      <c r="Y82" s="35"/>
      <c r="Z82" s="35"/>
      <c r="AA82" s="35"/>
      <c r="AB82" s="35"/>
      <c r="AC82" s="42"/>
      <c r="AD82" s="42"/>
      <c r="AE82" s="42"/>
      <c r="AF82" s="42"/>
      <c r="AG82" s="42"/>
      <c r="AH82" s="42"/>
      <c r="AI82" s="42"/>
      <c r="AJ82" s="14"/>
      <c r="AK82" s="17"/>
      <c r="AL82" s="138"/>
      <c r="AM82" s="17"/>
      <c r="AN82" s="17"/>
      <c r="AO82" s="17"/>
      <c r="AP82" s="35"/>
      <c r="AQ82" s="35"/>
      <c r="AR82" s="35"/>
      <c r="AS82" s="36"/>
      <c r="AT82" s="36"/>
      <c r="AU82" s="36"/>
      <c r="AV82" s="36"/>
      <c r="AW82" s="36"/>
      <c r="AX82" s="36"/>
      <c r="AY82" s="36"/>
      <c r="AZ82" s="36"/>
      <c r="BA82" s="14"/>
      <c r="BB82" s="135"/>
      <c r="BC82" s="135"/>
      <c r="BD82" s="135"/>
      <c r="BE82" s="136"/>
      <c r="BF82" s="136"/>
      <c r="BG82" s="136"/>
      <c r="BH82" s="136"/>
      <c r="BI82" s="136"/>
      <c r="BJ82" s="136"/>
      <c r="BK82" s="136"/>
      <c r="BL82" s="136"/>
      <c r="BM82" s="136"/>
      <c r="BN82" s="136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</row>
    <row r="83" spans="1:146" hidden="1">
      <c r="B83" s="233" t="s">
        <v>5</v>
      </c>
      <c r="C83" s="233" t="s">
        <v>338</v>
      </c>
      <c r="D83" s="220">
        <v>0</v>
      </c>
      <c r="E83" s="221"/>
      <c r="F83" s="222">
        <f t="shared" si="6"/>
        <v>0</v>
      </c>
      <c r="G83" s="242"/>
      <c r="H83" s="245"/>
      <c r="I83" s="224">
        <f t="shared" si="7"/>
        <v>0</v>
      </c>
      <c r="J83" s="225"/>
      <c r="K83" s="226" t="str">
        <f t="shared" si="10"/>
        <v>5314-</v>
      </c>
      <c r="L83" s="227">
        <f t="shared" si="8"/>
        <v>0</v>
      </c>
      <c r="M83" s="227"/>
      <c r="N83" s="242"/>
      <c r="O83" s="229">
        <f t="shared" si="9"/>
        <v>0</v>
      </c>
      <c r="P83" s="221"/>
      <c r="Q83" s="221">
        <v>0</v>
      </c>
      <c r="R83" s="231"/>
      <c r="S83" s="232" t="str">
        <f>+K83</f>
        <v>5314-</v>
      </c>
      <c r="T83" s="152"/>
      <c r="U83" s="35"/>
      <c r="V83" s="35"/>
      <c r="W83" s="35"/>
      <c r="X83" s="35"/>
      <c r="Y83" s="35"/>
      <c r="Z83" s="35"/>
      <c r="AA83" s="35"/>
      <c r="AB83" s="35"/>
      <c r="AC83" s="42"/>
      <c r="AD83" s="42"/>
      <c r="AE83" s="42"/>
      <c r="AF83" s="42"/>
      <c r="AG83" s="42"/>
      <c r="AH83" s="42"/>
      <c r="AI83" s="42"/>
      <c r="AJ83" s="14"/>
      <c r="AK83" s="17"/>
      <c r="AL83" s="14"/>
      <c r="AM83" s="138"/>
      <c r="AN83" s="138"/>
      <c r="AO83" s="138"/>
      <c r="AP83" s="14"/>
      <c r="AQ83" s="14"/>
      <c r="AR83" s="14"/>
      <c r="AS83" s="36"/>
      <c r="AT83" s="36"/>
      <c r="AU83" s="36"/>
      <c r="AV83" s="36"/>
      <c r="AW83" s="36"/>
      <c r="AX83" s="36"/>
      <c r="AY83" s="36"/>
      <c r="AZ83" s="36"/>
      <c r="BA83" s="14"/>
      <c r="BB83" s="135"/>
      <c r="BC83" s="135"/>
      <c r="BD83" s="135"/>
      <c r="BE83" s="136"/>
      <c r="BF83" s="136"/>
      <c r="BG83" s="136"/>
      <c r="BH83" s="136"/>
      <c r="BI83" s="136"/>
      <c r="BJ83" s="136"/>
      <c r="BK83" s="136"/>
      <c r="BL83" s="136"/>
      <c r="BM83" s="136"/>
      <c r="BN83" s="136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</row>
    <row r="84" spans="1:146" hidden="1">
      <c r="B84" s="233" t="s">
        <v>339</v>
      </c>
      <c r="C84" s="233" t="s">
        <v>340</v>
      </c>
      <c r="D84" s="220">
        <v>0</v>
      </c>
      <c r="E84" s="221"/>
      <c r="F84" s="222">
        <f t="shared" si="6"/>
        <v>0</v>
      </c>
      <c r="G84" s="242"/>
      <c r="H84" s="245"/>
      <c r="I84" s="224">
        <f t="shared" si="7"/>
        <v>0</v>
      </c>
      <c r="J84" s="225"/>
      <c r="K84" s="226" t="str">
        <f t="shared" si="10"/>
        <v>53141-</v>
      </c>
      <c r="L84" s="227">
        <f t="shared" si="8"/>
        <v>0</v>
      </c>
      <c r="M84" s="227"/>
      <c r="N84" s="242"/>
      <c r="O84" s="229">
        <f t="shared" si="9"/>
        <v>0</v>
      </c>
      <c r="P84" s="221"/>
      <c r="Q84" s="221">
        <v>0</v>
      </c>
      <c r="R84" s="231"/>
      <c r="S84" s="232"/>
      <c r="T84" s="152"/>
      <c r="U84" s="35"/>
      <c r="V84" s="35"/>
      <c r="W84" s="35"/>
      <c r="X84" s="35"/>
      <c r="Y84" s="35"/>
      <c r="Z84" s="35"/>
      <c r="AA84" s="35"/>
      <c r="AB84" s="35"/>
      <c r="AC84" s="42"/>
      <c r="AD84" s="42"/>
      <c r="AE84" s="42"/>
      <c r="AF84" s="42"/>
      <c r="AG84" s="42"/>
      <c r="AH84" s="42"/>
      <c r="AI84" s="42"/>
      <c r="AJ84" s="14"/>
      <c r="AK84" s="17"/>
      <c r="AL84" s="14"/>
      <c r="AM84" s="138"/>
      <c r="AN84" s="138"/>
      <c r="AO84" s="138"/>
      <c r="AP84" s="14"/>
      <c r="AQ84" s="14"/>
      <c r="AR84" s="14"/>
      <c r="AS84" s="36"/>
      <c r="AT84" s="36"/>
      <c r="AU84" s="36"/>
      <c r="AV84" s="36"/>
      <c r="AW84" s="36"/>
      <c r="AX84" s="36"/>
      <c r="AY84" s="36"/>
      <c r="AZ84" s="36"/>
      <c r="BA84" s="14"/>
      <c r="BB84" s="135"/>
      <c r="BC84" s="135"/>
      <c r="BD84" s="135"/>
      <c r="BE84" s="136"/>
      <c r="BF84" s="136"/>
      <c r="BG84" s="136"/>
      <c r="BH84" s="136"/>
      <c r="BI84" s="136"/>
      <c r="BJ84" s="136"/>
      <c r="BK84" s="136"/>
      <c r="BL84" s="136"/>
      <c r="BM84" s="136"/>
      <c r="BN84" s="136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</row>
    <row r="85" spans="1:146" hidden="1">
      <c r="B85" s="233" t="s">
        <v>174</v>
      </c>
      <c r="C85" s="233" t="s">
        <v>341</v>
      </c>
      <c r="D85" s="220">
        <v>0</v>
      </c>
      <c r="E85" s="221"/>
      <c r="F85" s="222">
        <f t="shared" si="6"/>
        <v>0</v>
      </c>
      <c r="G85" s="242"/>
      <c r="H85" s="245"/>
      <c r="I85" s="224">
        <f t="shared" si="7"/>
        <v>0</v>
      </c>
      <c r="J85" s="225"/>
      <c r="K85" s="226" t="str">
        <f t="shared" si="10"/>
        <v>532-</v>
      </c>
      <c r="L85" s="227">
        <f t="shared" si="8"/>
        <v>0</v>
      </c>
      <c r="M85" s="227"/>
      <c r="N85" s="242"/>
      <c r="O85" s="229">
        <f t="shared" si="9"/>
        <v>0</v>
      </c>
      <c r="P85" s="221"/>
      <c r="Q85" s="221">
        <v>0</v>
      </c>
      <c r="R85" s="231"/>
      <c r="S85" s="232" t="str">
        <f>+K85</f>
        <v>532-</v>
      </c>
      <c r="T85" s="152"/>
      <c r="U85" s="35"/>
      <c r="V85" s="35"/>
      <c r="W85" s="35"/>
      <c r="X85" s="35"/>
      <c r="Y85" s="35"/>
      <c r="Z85" s="35"/>
      <c r="AA85" s="35"/>
      <c r="AB85" s="35"/>
      <c r="AC85" s="42"/>
      <c r="AD85" s="42"/>
      <c r="AE85" s="42"/>
      <c r="AF85" s="42"/>
      <c r="AG85" s="42"/>
      <c r="AH85" s="42"/>
      <c r="AI85" s="42"/>
      <c r="AJ85" s="14"/>
      <c r="AK85" s="14"/>
      <c r="AL85" s="14"/>
      <c r="AM85" s="14"/>
      <c r="AN85" s="14"/>
      <c r="AO85" s="14"/>
      <c r="AP85" s="14"/>
      <c r="AQ85" s="14"/>
      <c r="AR85" s="14"/>
      <c r="AS85" s="36"/>
      <c r="AT85" s="36"/>
      <c r="AU85" s="36"/>
      <c r="AV85" s="36"/>
      <c r="AW85" s="36"/>
      <c r="AX85" s="36"/>
      <c r="AY85" s="36"/>
      <c r="AZ85" s="36"/>
      <c r="BA85" s="14"/>
      <c r="BB85" s="135"/>
      <c r="BC85" s="135"/>
      <c r="BD85" s="135"/>
      <c r="BE85" s="136"/>
      <c r="BF85" s="136"/>
      <c r="BG85" s="136"/>
      <c r="BH85" s="136"/>
      <c r="BI85" s="136"/>
      <c r="BJ85" s="136"/>
      <c r="BK85" s="136"/>
      <c r="BL85" s="136"/>
      <c r="BM85" s="136"/>
      <c r="BN85" s="136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</row>
    <row r="86" spans="1:146" hidden="1">
      <c r="B86" s="233" t="s">
        <v>175</v>
      </c>
      <c r="C86" s="233" t="s">
        <v>342</v>
      </c>
      <c r="D86" s="220">
        <v>0</v>
      </c>
      <c r="E86" s="221"/>
      <c r="F86" s="222">
        <f t="shared" si="6"/>
        <v>0</v>
      </c>
      <c r="G86" s="242"/>
      <c r="H86" s="245"/>
      <c r="I86" s="224">
        <f t="shared" si="7"/>
        <v>0</v>
      </c>
      <c r="J86" s="225"/>
      <c r="K86" s="226" t="str">
        <f t="shared" si="10"/>
        <v>581-</v>
      </c>
      <c r="L86" s="227">
        <f t="shared" si="8"/>
        <v>0</v>
      </c>
      <c r="M86" s="227"/>
      <c r="N86" s="242"/>
      <c r="O86" s="229">
        <f t="shared" si="9"/>
        <v>0</v>
      </c>
      <c r="P86" s="221"/>
      <c r="Q86" s="221">
        <v>0</v>
      </c>
      <c r="R86" s="231"/>
      <c r="S86" s="232" t="str">
        <f>+K86</f>
        <v>581-</v>
      </c>
      <c r="T86" s="153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35"/>
      <c r="BC86" s="135"/>
      <c r="BD86" s="135"/>
      <c r="BE86" s="136"/>
      <c r="BF86" s="136"/>
      <c r="BG86" s="136"/>
      <c r="BH86" s="136"/>
      <c r="BI86" s="136"/>
      <c r="BJ86" s="136"/>
      <c r="BK86" s="136"/>
      <c r="BL86" s="136"/>
      <c r="BM86" s="136"/>
      <c r="BN86" s="136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</row>
    <row r="87" spans="1:146" hidden="1">
      <c r="B87" s="233" t="s">
        <v>176</v>
      </c>
      <c r="C87" s="233" t="s">
        <v>157</v>
      </c>
      <c r="D87" s="250">
        <v>1724184</v>
      </c>
      <c r="E87" s="221"/>
      <c r="F87" s="222">
        <f t="shared" si="6"/>
        <v>1724184</v>
      </c>
      <c r="G87" s="366">
        <v>8849607</v>
      </c>
      <c r="H87" s="245"/>
      <c r="I87" s="224">
        <f t="shared" si="7"/>
        <v>8849607</v>
      </c>
      <c r="J87" s="225"/>
      <c r="K87" s="226" t="str">
        <f t="shared" si="10"/>
        <v>601-</v>
      </c>
      <c r="L87" s="227">
        <f t="shared" si="8"/>
        <v>0</v>
      </c>
      <c r="M87" s="227"/>
      <c r="N87" s="242"/>
      <c r="O87" s="229">
        <f t="shared" si="9"/>
        <v>0</v>
      </c>
      <c r="P87" s="221"/>
      <c r="Q87" s="221">
        <v>0</v>
      </c>
      <c r="R87" s="231"/>
      <c r="S87" s="232" t="str">
        <f>+K87</f>
        <v>601-</v>
      </c>
      <c r="T87" s="153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36"/>
      <c r="AT87" s="14"/>
      <c r="AU87" s="14"/>
      <c r="AV87" s="14"/>
      <c r="AW87" s="14"/>
      <c r="AX87" s="14"/>
      <c r="AY87" s="14"/>
      <c r="AZ87" s="14"/>
      <c r="BA87" s="14"/>
      <c r="BB87" s="135"/>
      <c r="BC87" s="135"/>
      <c r="BD87" s="135"/>
      <c r="BE87" s="136"/>
      <c r="BF87" s="136"/>
      <c r="BG87" s="136"/>
      <c r="BH87" s="136"/>
      <c r="BI87" s="136"/>
      <c r="BJ87" s="136"/>
      <c r="BK87" s="136"/>
      <c r="BL87" s="136"/>
      <c r="BM87" s="136"/>
      <c r="BN87" s="136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</row>
    <row r="88" spans="1:146" hidden="1">
      <c r="B88" s="233">
        <v>602</v>
      </c>
      <c r="C88" s="233" t="s">
        <v>158</v>
      </c>
      <c r="D88" s="220">
        <v>0</v>
      </c>
      <c r="E88" s="221"/>
      <c r="F88" s="222">
        <f t="shared" si="6"/>
        <v>0</v>
      </c>
      <c r="G88" s="242"/>
      <c r="H88" s="245"/>
      <c r="I88" s="224">
        <f t="shared" si="7"/>
        <v>0</v>
      </c>
      <c r="J88" s="225"/>
      <c r="K88" s="226">
        <f t="shared" si="10"/>
        <v>602</v>
      </c>
      <c r="L88" s="227">
        <f t="shared" si="8"/>
        <v>0</v>
      </c>
      <c r="M88" s="227"/>
      <c r="N88" s="242"/>
      <c r="O88" s="229">
        <f t="shared" si="9"/>
        <v>0</v>
      </c>
      <c r="P88" s="221"/>
      <c r="Q88" s="221">
        <v>0</v>
      </c>
      <c r="R88" s="231"/>
      <c r="S88" s="232"/>
      <c r="T88" s="153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36"/>
      <c r="AT88" s="14"/>
      <c r="AU88" s="14"/>
      <c r="AV88" s="14"/>
      <c r="AW88" s="14"/>
      <c r="AX88" s="14"/>
      <c r="AY88" s="14"/>
      <c r="AZ88" s="14"/>
      <c r="BA88" s="14"/>
      <c r="BB88" s="135"/>
      <c r="BC88" s="135"/>
      <c r="BD88" s="135"/>
      <c r="BE88" s="136"/>
      <c r="BF88" s="136"/>
      <c r="BG88" s="136"/>
      <c r="BH88" s="136"/>
      <c r="BI88" s="136"/>
      <c r="BJ88" s="136"/>
      <c r="BK88" s="136"/>
      <c r="BL88" s="136"/>
      <c r="BM88" s="136"/>
      <c r="BN88" s="136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</row>
    <row r="89" spans="1:146" hidden="1">
      <c r="A89" s="132"/>
      <c r="B89" s="233" t="s">
        <v>177</v>
      </c>
      <c r="C89" s="233" t="s">
        <v>141</v>
      </c>
      <c r="D89" s="220">
        <v>0</v>
      </c>
      <c r="E89" s="221"/>
      <c r="F89" s="222">
        <f t="shared" si="6"/>
        <v>0</v>
      </c>
      <c r="G89" s="242"/>
      <c r="H89" s="245"/>
      <c r="I89" s="224">
        <f t="shared" si="7"/>
        <v>0</v>
      </c>
      <c r="J89" s="225"/>
      <c r="K89" s="226" t="str">
        <f t="shared" si="10"/>
        <v>603-</v>
      </c>
      <c r="L89" s="227">
        <f t="shared" si="8"/>
        <v>0</v>
      </c>
      <c r="M89" s="227"/>
      <c r="N89" s="242"/>
      <c r="O89" s="229">
        <f t="shared" si="9"/>
        <v>0</v>
      </c>
      <c r="P89" s="221"/>
      <c r="Q89" s="221">
        <v>0</v>
      </c>
      <c r="R89" s="231"/>
      <c r="S89" s="232" t="str">
        <f>+K89</f>
        <v>603-</v>
      </c>
      <c r="T89" s="153"/>
      <c r="U89" s="14"/>
      <c r="V89" s="14"/>
      <c r="W89" s="14"/>
      <c r="X89" s="14"/>
      <c r="Y89" s="14"/>
      <c r="Z89" s="14"/>
      <c r="AA89" s="14"/>
      <c r="AB89" s="14"/>
      <c r="AC89" s="36"/>
      <c r="AD89" s="36"/>
      <c r="AE89" s="36"/>
      <c r="AF89" s="36"/>
      <c r="AG89" s="36"/>
      <c r="AH89" s="36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34"/>
      <c r="BC89" s="135"/>
      <c r="BD89" s="135"/>
      <c r="BE89" s="136"/>
      <c r="BF89" s="136"/>
      <c r="BG89" s="136"/>
      <c r="BH89" s="136"/>
      <c r="BI89" s="136"/>
      <c r="BJ89" s="136"/>
      <c r="BK89" s="136"/>
      <c r="BL89" s="136"/>
      <c r="BM89" s="136"/>
      <c r="BN89" s="136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</row>
    <row r="90" spans="1:146" hidden="1">
      <c r="B90" s="233">
        <v>6032</v>
      </c>
      <c r="C90" s="233" t="s">
        <v>142</v>
      </c>
      <c r="D90" s="220">
        <v>0</v>
      </c>
      <c r="E90" s="221"/>
      <c r="F90" s="222">
        <f t="shared" si="6"/>
        <v>0</v>
      </c>
      <c r="G90" s="242"/>
      <c r="H90" s="245"/>
      <c r="I90" s="224">
        <f t="shared" si="7"/>
        <v>0</v>
      </c>
      <c r="J90" s="225"/>
      <c r="K90" s="226">
        <f t="shared" si="10"/>
        <v>6032</v>
      </c>
      <c r="L90" s="227">
        <f t="shared" si="8"/>
        <v>0</v>
      </c>
      <c r="M90" s="227"/>
      <c r="N90" s="242"/>
      <c r="O90" s="229">
        <f t="shared" si="9"/>
        <v>0</v>
      </c>
      <c r="P90" s="221"/>
      <c r="Q90" s="221">
        <v>0</v>
      </c>
      <c r="R90" s="231"/>
      <c r="S90" s="232"/>
      <c r="T90" s="153"/>
      <c r="U90" s="14"/>
      <c r="V90" s="14"/>
      <c r="W90" s="14"/>
      <c r="X90" s="14"/>
      <c r="Y90" s="14"/>
      <c r="Z90" s="36"/>
      <c r="AA90" s="14"/>
      <c r="AB90" s="14"/>
      <c r="AC90" s="36"/>
      <c r="AD90" s="36"/>
      <c r="AE90" s="36"/>
      <c r="AF90" s="36"/>
      <c r="AG90" s="36"/>
      <c r="AH90" s="36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34"/>
      <c r="BC90" s="135"/>
      <c r="BD90" s="135"/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</row>
    <row r="91" spans="1:146" hidden="1">
      <c r="B91" s="233" t="s">
        <v>178</v>
      </c>
      <c r="C91" s="233" t="s">
        <v>121</v>
      </c>
      <c r="D91" s="250">
        <v>1265242</v>
      </c>
      <c r="E91" s="235"/>
      <c r="F91" s="222">
        <f t="shared" si="6"/>
        <v>1265242</v>
      </c>
      <c r="G91" s="366">
        <v>4973002</v>
      </c>
      <c r="H91" s="245"/>
      <c r="I91" s="224">
        <f t="shared" si="7"/>
        <v>4973002</v>
      </c>
      <c r="J91" s="225"/>
      <c r="K91" s="226" t="str">
        <f t="shared" si="10"/>
        <v>605-</v>
      </c>
      <c r="L91" s="227">
        <f t="shared" si="8"/>
        <v>0</v>
      </c>
      <c r="M91" s="227"/>
      <c r="N91" s="242"/>
      <c r="O91" s="229">
        <f t="shared" si="9"/>
        <v>0</v>
      </c>
      <c r="P91" s="221"/>
      <c r="Q91" s="221">
        <v>0</v>
      </c>
      <c r="R91" s="231"/>
      <c r="S91" s="232" t="str">
        <f>+K91</f>
        <v>605-</v>
      </c>
      <c r="T91" s="153"/>
      <c r="U91" s="14"/>
      <c r="V91" s="14"/>
      <c r="W91" s="14"/>
      <c r="X91" s="14"/>
      <c r="Y91" s="14"/>
      <c r="Z91" s="36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9"/>
      <c r="BC91" s="9"/>
      <c r="BD91" s="9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</row>
    <row r="92" spans="1:146" hidden="1">
      <c r="B92" s="233">
        <v>6035</v>
      </c>
      <c r="C92" s="233" t="s">
        <v>8</v>
      </c>
      <c r="D92" s="220">
        <v>0</v>
      </c>
      <c r="E92" s="221"/>
      <c r="F92" s="222">
        <f t="shared" si="6"/>
        <v>0</v>
      </c>
      <c r="G92" s="242"/>
      <c r="H92" s="245"/>
      <c r="I92" s="224">
        <f t="shared" si="7"/>
        <v>0</v>
      </c>
      <c r="J92" s="225"/>
      <c r="K92" s="226">
        <f t="shared" si="10"/>
        <v>6035</v>
      </c>
      <c r="L92" s="227">
        <f t="shared" si="8"/>
        <v>0</v>
      </c>
      <c r="M92" s="227"/>
      <c r="N92" s="242"/>
      <c r="O92" s="229">
        <f t="shared" si="9"/>
        <v>0</v>
      </c>
      <c r="P92" s="221"/>
      <c r="Q92" s="221">
        <v>0</v>
      </c>
      <c r="R92" s="231"/>
      <c r="S92" s="232"/>
      <c r="T92" s="153"/>
      <c r="U92" s="14"/>
      <c r="V92" s="14"/>
      <c r="W92" s="14"/>
      <c r="X92" s="14"/>
      <c r="Y92" s="14"/>
      <c r="Z92" s="36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9"/>
      <c r="BC92" s="9"/>
      <c r="BD92" s="9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</row>
    <row r="93" spans="1:146" hidden="1">
      <c r="A93" s="132"/>
      <c r="B93" s="233" t="s">
        <v>30</v>
      </c>
      <c r="C93" s="233" t="s">
        <v>122</v>
      </c>
      <c r="D93" s="251">
        <v>21356</v>
      </c>
      <c r="E93" s="221"/>
      <c r="F93" s="222">
        <f t="shared" si="6"/>
        <v>21356</v>
      </c>
      <c r="G93" s="324">
        <v>3143</v>
      </c>
      <c r="H93" s="245"/>
      <c r="I93" s="224">
        <f t="shared" si="7"/>
        <v>3143</v>
      </c>
      <c r="J93" s="225"/>
      <c r="K93" s="226" t="str">
        <f t="shared" si="10"/>
        <v>604-606</v>
      </c>
      <c r="L93" s="227">
        <f t="shared" si="8"/>
        <v>0</v>
      </c>
      <c r="M93" s="227"/>
      <c r="N93" s="242"/>
      <c r="O93" s="229">
        <f t="shared" si="9"/>
        <v>0</v>
      </c>
      <c r="P93" s="221"/>
      <c r="Q93" s="221">
        <v>0</v>
      </c>
      <c r="R93" s="231"/>
      <c r="S93" s="232" t="str">
        <f>+K93</f>
        <v>604-606</v>
      </c>
      <c r="T93" s="153"/>
      <c r="U93" s="14"/>
      <c r="V93" s="14"/>
      <c r="W93" s="14"/>
      <c r="X93" s="14"/>
      <c r="Y93" s="14"/>
      <c r="Z93" s="36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9"/>
      <c r="BC93" s="9"/>
      <c r="BD93" s="9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</row>
    <row r="94" spans="1:146" hidden="1">
      <c r="A94" s="132"/>
      <c r="B94" s="233"/>
      <c r="C94" s="233" t="s">
        <v>123</v>
      </c>
      <c r="D94" s="220">
        <v>709980</v>
      </c>
      <c r="E94" s="221"/>
      <c r="F94" s="222">
        <f t="shared" si="6"/>
        <v>709980</v>
      </c>
      <c r="G94" s="324">
        <v>577500</v>
      </c>
      <c r="H94" s="245"/>
      <c r="I94" s="224">
        <f t="shared" si="7"/>
        <v>577500</v>
      </c>
      <c r="J94" s="225"/>
      <c r="K94" s="226">
        <f t="shared" si="10"/>
        <v>0</v>
      </c>
      <c r="L94" s="227">
        <f t="shared" si="8"/>
        <v>0</v>
      </c>
      <c r="M94" s="227"/>
      <c r="N94" s="242"/>
      <c r="O94" s="229">
        <f t="shared" si="9"/>
        <v>0</v>
      </c>
      <c r="P94" s="221"/>
      <c r="Q94" s="221">
        <v>0</v>
      </c>
      <c r="R94" s="231"/>
      <c r="S94" s="232"/>
      <c r="T94" s="153"/>
      <c r="U94" s="14"/>
      <c r="V94" s="14"/>
      <c r="W94" s="14"/>
      <c r="X94" s="14"/>
      <c r="Y94" s="14"/>
      <c r="Z94" s="36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9"/>
      <c r="BC94" s="9"/>
      <c r="BD94" s="9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</row>
    <row r="95" spans="1:146" hidden="1">
      <c r="A95" s="132"/>
      <c r="B95" s="233"/>
      <c r="C95" s="233" t="s">
        <v>124</v>
      </c>
      <c r="D95" s="220">
        <v>0</v>
      </c>
      <c r="E95" s="221"/>
      <c r="F95" s="222">
        <f t="shared" si="6"/>
        <v>0</v>
      </c>
      <c r="G95" s="242"/>
      <c r="H95" s="245"/>
      <c r="I95" s="224">
        <f t="shared" si="7"/>
        <v>0</v>
      </c>
      <c r="J95" s="225"/>
      <c r="K95" s="226">
        <f t="shared" si="10"/>
        <v>0</v>
      </c>
      <c r="L95" s="227">
        <f t="shared" si="8"/>
        <v>0</v>
      </c>
      <c r="M95" s="227"/>
      <c r="N95" s="242"/>
      <c r="O95" s="229">
        <f t="shared" si="9"/>
        <v>0</v>
      </c>
      <c r="P95" s="221"/>
      <c r="Q95" s="221">
        <v>0</v>
      </c>
      <c r="R95" s="231"/>
      <c r="S95" s="232"/>
      <c r="T95" s="153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9"/>
      <c r="BC95" s="9"/>
      <c r="BD95" s="9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</row>
    <row r="96" spans="1:146" hidden="1">
      <c r="A96" s="132"/>
      <c r="B96" s="233">
        <v>611</v>
      </c>
      <c r="C96" s="233" t="s">
        <v>60</v>
      </c>
      <c r="D96" s="220">
        <v>0</v>
      </c>
      <c r="E96" s="221"/>
      <c r="F96" s="222">
        <f t="shared" si="6"/>
        <v>0</v>
      </c>
      <c r="G96" s="242"/>
      <c r="H96" s="245"/>
      <c r="I96" s="224">
        <f t="shared" si="7"/>
        <v>0</v>
      </c>
      <c r="J96" s="225"/>
      <c r="K96" s="226"/>
      <c r="L96" s="227">
        <f t="shared" si="8"/>
        <v>0</v>
      </c>
      <c r="M96" s="227"/>
      <c r="N96" s="242"/>
      <c r="O96" s="229">
        <f t="shared" si="9"/>
        <v>0</v>
      </c>
      <c r="P96" s="221"/>
      <c r="Q96" s="221">
        <v>0</v>
      </c>
      <c r="R96" s="231"/>
      <c r="S96" s="232"/>
      <c r="T96" s="153"/>
      <c r="U96" s="14"/>
      <c r="V96" s="14"/>
      <c r="W96" s="14"/>
      <c r="X96" s="14"/>
      <c r="Y96" s="36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9"/>
      <c r="BC96" s="9"/>
      <c r="BD96" s="9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</row>
    <row r="97" spans="1:146" hidden="1">
      <c r="A97" s="132"/>
      <c r="B97" s="233" t="s">
        <v>160</v>
      </c>
      <c r="C97" s="233" t="s">
        <v>149</v>
      </c>
      <c r="D97" s="220">
        <v>0</v>
      </c>
      <c r="E97" s="221"/>
      <c r="F97" s="222">
        <f t="shared" si="6"/>
        <v>0</v>
      </c>
      <c r="G97" s="242"/>
      <c r="H97" s="245"/>
      <c r="I97" s="224">
        <f t="shared" si="7"/>
        <v>0</v>
      </c>
      <c r="J97" s="225"/>
      <c r="K97" s="226" t="str">
        <f t="shared" si="10"/>
        <v>61-62    613</v>
      </c>
      <c r="L97" s="227">
        <f t="shared" si="8"/>
        <v>0</v>
      </c>
      <c r="M97" s="227"/>
      <c r="N97" s="242"/>
      <c r="O97" s="229">
        <f t="shared" si="9"/>
        <v>0</v>
      </c>
      <c r="P97" s="221"/>
      <c r="Q97" s="221">
        <v>0</v>
      </c>
      <c r="R97" s="231"/>
      <c r="S97" s="232" t="str">
        <f>+K97</f>
        <v>61-62    613</v>
      </c>
      <c r="T97" s="153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</row>
    <row r="98" spans="1:146" hidden="1">
      <c r="A98" s="132"/>
      <c r="B98" s="233">
        <v>615</v>
      </c>
      <c r="C98" s="233" t="s">
        <v>402</v>
      </c>
      <c r="D98" s="220">
        <v>275436</v>
      </c>
      <c r="E98" s="221"/>
      <c r="F98" s="222">
        <f t="shared" si="6"/>
        <v>275436</v>
      </c>
      <c r="G98" s="252">
        <v>0</v>
      </c>
      <c r="H98" s="245"/>
      <c r="I98" s="224">
        <f t="shared" si="7"/>
        <v>0</v>
      </c>
      <c r="J98" s="225"/>
      <c r="K98" s="226">
        <f t="shared" si="10"/>
        <v>615</v>
      </c>
      <c r="L98" s="227">
        <f t="shared" si="8"/>
        <v>0</v>
      </c>
      <c r="M98" s="227"/>
      <c r="N98" s="242"/>
      <c r="O98" s="229">
        <f t="shared" si="9"/>
        <v>0</v>
      </c>
      <c r="P98" s="221"/>
      <c r="Q98" s="221">
        <v>0</v>
      </c>
      <c r="R98" s="231"/>
      <c r="S98" s="232"/>
      <c r="T98" s="153"/>
      <c r="U98" s="14"/>
      <c r="V98" s="14"/>
      <c r="W98" s="14"/>
      <c r="X98" s="14"/>
      <c r="Y98" s="36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</row>
    <row r="99" spans="1:146" hidden="1">
      <c r="A99" s="132"/>
      <c r="B99" s="253">
        <v>616</v>
      </c>
      <c r="C99" s="233" t="s">
        <v>403</v>
      </c>
      <c r="D99" s="220">
        <v>80746</v>
      </c>
      <c r="E99" s="221"/>
      <c r="F99" s="222">
        <f t="shared" si="6"/>
        <v>80746</v>
      </c>
      <c r="G99" s="324">
        <v>77986</v>
      </c>
      <c r="H99" s="245"/>
      <c r="I99" s="224">
        <f t="shared" si="7"/>
        <v>77986</v>
      </c>
      <c r="J99" s="225"/>
      <c r="K99" s="226">
        <f t="shared" si="10"/>
        <v>616</v>
      </c>
      <c r="L99" s="227">
        <f t="shared" si="8"/>
        <v>0</v>
      </c>
      <c r="M99" s="227"/>
      <c r="N99" s="242"/>
      <c r="O99" s="229">
        <f t="shared" si="9"/>
        <v>0</v>
      </c>
      <c r="P99" s="221"/>
      <c r="Q99" s="221">
        <v>0</v>
      </c>
      <c r="R99" s="231"/>
      <c r="S99" s="232"/>
      <c r="T99" s="153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</row>
    <row r="100" spans="1:146" hidden="1">
      <c r="A100" s="133"/>
      <c r="B100" s="253">
        <v>618</v>
      </c>
      <c r="C100" s="233" t="s">
        <v>168</v>
      </c>
      <c r="D100" s="220">
        <v>0</v>
      </c>
      <c r="E100" s="221"/>
      <c r="F100" s="222">
        <f t="shared" si="6"/>
        <v>0</v>
      </c>
      <c r="G100" s="324">
        <v>70000</v>
      </c>
      <c r="H100" s="245"/>
      <c r="I100" s="224">
        <f t="shared" si="7"/>
        <v>70000</v>
      </c>
      <c r="J100" s="225"/>
      <c r="K100" s="226">
        <f t="shared" si="10"/>
        <v>618</v>
      </c>
      <c r="L100" s="227">
        <f t="shared" si="8"/>
        <v>0</v>
      </c>
      <c r="M100" s="227"/>
      <c r="N100" s="242"/>
      <c r="O100" s="229">
        <f t="shared" si="9"/>
        <v>0</v>
      </c>
      <c r="P100" s="221"/>
      <c r="Q100" s="221">
        <v>0</v>
      </c>
      <c r="R100" s="231"/>
      <c r="S100" s="232"/>
      <c r="T100" s="153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</row>
    <row r="101" spans="1:146" hidden="1">
      <c r="A101" s="133"/>
      <c r="B101" s="253"/>
      <c r="C101" s="233" t="s">
        <v>400</v>
      </c>
      <c r="D101" s="220">
        <v>0</v>
      </c>
      <c r="E101" s="221"/>
      <c r="F101" s="222">
        <f t="shared" si="6"/>
        <v>0</v>
      </c>
      <c r="G101" s="242"/>
      <c r="H101" s="245"/>
      <c r="I101" s="224">
        <f t="shared" si="7"/>
        <v>0</v>
      </c>
      <c r="J101" s="225"/>
      <c r="K101" s="226"/>
      <c r="L101" s="227">
        <f t="shared" si="8"/>
        <v>0</v>
      </c>
      <c r="M101" s="227"/>
      <c r="N101" s="242"/>
      <c r="O101" s="229">
        <f t="shared" si="9"/>
        <v>0</v>
      </c>
      <c r="P101" s="221"/>
      <c r="Q101" s="221">
        <v>0</v>
      </c>
      <c r="R101" s="231"/>
      <c r="S101" s="232"/>
      <c r="T101" s="153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</row>
    <row r="102" spans="1:146" hidden="1">
      <c r="A102" s="133"/>
      <c r="B102" s="253">
        <v>618.1</v>
      </c>
      <c r="C102" s="233" t="s">
        <v>169</v>
      </c>
      <c r="D102" s="251">
        <v>0</v>
      </c>
      <c r="E102" s="221"/>
      <c r="F102" s="222">
        <f t="shared" si="6"/>
        <v>0</v>
      </c>
      <c r="G102" s="324">
        <v>0</v>
      </c>
      <c r="H102" s="245"/>
      <c r="I102" s="224">
        <f t="shared" si="7"/>
        <v>0</v>
      </c>
      <c r="J102" s="225"/>
      <c r="K102" s="226">
        <f t="shared" si="10"/>
        <v>618.1</v>
      </c>
      <c r="L102" s="227">
        <f t="shared" si="8"/>
        <v>0</v>
      </c>
      <c r="M102" s="227"/>
      <c r="N102" s="242"/>
      <c r="O102" s="229">
        <f t="shared" si="9"/>
        <v>0</v>
      </c>
      <c r="P102" s="221"/>
      <c r="Q102" s="221">
        <v>0</v>
      </c>
      <c r="R102" s="231"/>
      <c r="S102" s="232"/>
      <c r="T102" s="153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</row>
    <row r="103" spans="1:146" hidden="1">
      <c r="A103" s="133"/>
      <c r="B103" s="233">
        <v>621</v>
      </c>
      <c r="C103" s="233" t="s">
        <v>404</v>
      </c>
      <c r="D103" s="220">
        <v>0</v>
      </c>
      <c r="E103" s="221"/>
      <c r="F103" s="222">
        <f t="shared" si="6"/>
        <v>0</v>
      </c>
      <c r="G103" s="242"/>
      <c r="H103" s="245"/>
      <c r="I103" s="224">
        <f t="shared" si="7"/>
        <v>0</v>
      </c>
      <c r="J103" s="225"/>
      <c r="K103" s="226">
        <f t="shared" si="10"/>
        <v>621</v>
      </c>
      <c r="L103" s="227">
        <f t="shared" si="8"/>
        <v>0</v>
      </c>
      <c r="M103" s="227"/>
      <c r="N103" s="242"/>
      <c r="O103" s="229">
        <f t="shared" si="9"/>
        <v>0</v>
      </c>
      <c r="P103" s="221"/>
      <c r="Q103" s="221">
        <v>0</v>
      </c>
      <c r="R103" s="231"/>
      <c r="S103" s="232"/>
      <c r="T103" s="153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</row>
    <row r="104" spans="1:146" hidden="1">
      <c r="A104" s="133"/>
      <c r="B104" s="233"/>
      <c r="C104" s="233" t="s">
        <v>398</v>
      </c>
      <c r="D104" s="220">
        <v>0</v>
      </c>
      <c r="E104" s="221"/>
      <c r="F104" s="222">
        <f t="shared" si="6"/>
        <v>0</v>
      </c>
      <c r="G104" s="242"/>
      <c r="H104" s="245"/>
      <c r="I104" s="224">
        <f t="shared" si="7"/>
        <v>0</v>
      </c>
      <c r="J104" s="225"/>
      <c r="K104" s="226">
        <f t="shared" si="10"/>
        <v>0</v>
      </c>
      <c r="L104" s="227">
        <f t="shared" si="8"/>
        <v>0</v>
      </c>
      <c r="M104" s="227"/>
      <c r="N104" s="242"/>
      <c r="O104" s="229">
        <f t="shared" si="9"/>
        <v>0</v>
      </c>
      <c r="P104" s="221"/>
      <c r="Q104" s="221">
        <v>0</v>
      </c>
      <c r="R104" s="231"/>
      <c r="S104" s="232"/>
      <c r="T104" s="153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</row>
    <row r="105" spans="1:146" hidden="1">
      <c r="A105" s="133"/>
      <c r="B105" s="233">
        <v>624</v>
      </c>
      <c r="C105" s="233" t="s">
        <v>405</v>
      </c>
      <c r="D105" s="220">
        <v>0</v>
      </c>
      <c r="E105" s="221"/>
      <c r="F105" s="222">
        <f t="shared" si="6"/>
        <v>0</v>
      </c>
      <c r="G105" s="242"/>
      <c r="H105" s="245"/>
      <c r="I105" s="224">
        <f t="shared" si="7"/>
        <v>0</v>
      </c>
      <c r="J105" s="225"/>
      <c r="K105" s="226">
        <f t="shared" si="10"/>
        <v>624</v>
      </c>
      <c r="L105" s="227">
        <f t="shared" si="8"/>
        <v>0</v>
      </c>
      <c r="M105" s="227"/>
      <c r="N105" s="242"/>
      <c r="O105" s="229">
        <f t="shared" si="9"/>
        <v>0</v>
      </c>
      <c r="P105" s="221"/>
      <c r="Q105" s="221">
        <v>0</v>
      </c>
      <c r="R105" s="231"/>
      <c r="S105" s="232"/>
      <c r="T105" s="153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</row>
    <row r="106" spans="1:146" hidden="1">
      <c r="A106" s="133"/>
      <c r="B106" s="233">
        <v>625</v>
      </c>
      <c r="C106" s="233" t="s">
        <v>406</v>
      </c>
      <c r="D106" s="220">
        <v>0</v>
      </c>
      <c r="E106" s="221"/>
      <c r="F106" s="222">
        <f t="shared" si="6"/>
        <v>0</v>
      </c>
      <c r="G106" s="324">
        <v>54000</v>
      </c>
      <c r="H106" s="245"/>
      <c r="I106" s="224">
        <f t="shared" si="7"/>
        <v>54000</v>
      </c>
      <c r="J106" s="225"/>
      <c r="K106" s="226">
        <f t="shared" si="10"/>
        <v>625</v>
      </c>
      <c r="L106" s="227">
        <f t="shared" si="8"/>
        <v>0</v>
      </c>
      <c r="M106" s="227"/>
      <c r="N106" s="242"/>
      <c r="O106" s="229">
        <f t="shared" si="9"/>
        <v>0</v>
      </c>
      <c r="P106" s="221"/>
      <c r="Q106" s="221">
        <v>0</v>
      </c>
      <c r="R106" s="231"/>
      <c r="S106" s="232"/>
      <c r="T106" s="153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</row>
    <row r="107" spans="1:146" hidden="1">
      <c r="A107" s="133"/>
      <c r="B107" s="233">
        <v>626</v>
      </c>
      <c r="C107" s="233" t="s">
        <v>143</v>
      </c>
      <c r="D107" s="251">
        <v>103097</v>
      </c>
      <c r="E107" s="221"/>
      <c r="F107" s="222">
        <f t="shared" si="6"/>
        <v>103097</v>
      </c>
      <c r="G107" s="324">
        <v>102705</v>
      </c>
      <c r="H107" s="245"/>
      <c r="I107" s="224">
        <f t="shared" si="7"/>
        <v>102705</v>
      </c>
      <c r="J107" s="225"/>
      <c r="K107" s="226">
        <f t="shared" si="10"/>
        <v>626</v>
      </c>
      <c r="L107" s="227">
        <f t="shared" si="8"/>
        <v>0</v>
      </c>
      <c r="M107" s="227"/>
      <c r="N107" s="242"/>
      <c r="O107" s="229">
        <f t="shared" si="9"/>
        <v>0</v>
      </c>
      <c r="P107" s="221"/>
      <c r="Q107" s="221">
        <v>0</v>
      </c>
      <c r="R107" s="231"/>
      <c r="S107" s="232"/>
      <c r="T107" s="153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</row>
    <row r="108" spans="1:146" hidden="1">
      <c r="A108" s="133"/>
      <c r="B108" s="233">
        <v>627</v>
      </c>
      <c r="C108" s="233" t="s">
        <v>62</v>
      </c>
      <c r="D108" s="220">
        <v>0</v>
      </c>
      <c r="E108" s="221"/>
      <c r="F108" s="222">
        <f t="shared" si="6"/>
        <v>0</v>
      </c>
      <c r="G108" s="242"/>
      <c r="H108" s="245"/>
      <c r="I108" s="224">
        <f t="shared" si="7"/>
        <v>0</v>
      </c>
      <c r="J108" s="225"/>
      <c r="K108" s="226">
        <f t="shared" si="10"/>
        <v>627</v>
      </c>
      <c r="L108" s="227">
        <f t="shared" si="8"/>
        <v>0</v>
      </c>
      <c r="M108" s="227"/>
      <c r="N108" s="242"/>
      <c r="O108" s="229">
        <f t="shared" si="9"/>
        <v>0</v>
      </c>
      <c r="P108" s="221"/>
      <c r="Q108" s="221">
        <v>0</v>
      </c>
      <c r="R108" s="231"/>
      <c r="S108" s="232"/>
      <c r="T108" s="153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</row>
    <row r="109" spans="1:146" hidden="1">
      <c r="A109" s="133"/>
      <c r="B109" s="233">
        <v>628</v>
      </c>
      <c r="C109" s="233" t="s">
        <v>125</v>
      </c>
      <c r="D109" s="251">
        <v>35858</v>
      </c>
      <c r="E109" s="221"/>
      <c r="F109" s="222">
        <f t="shared" si="6"/>
        <v>35858</v>
      </c>
      <c r="G109" s="366">
        <v>147283</v>
      </c>
      <c r="H109" s="245"/>
      <c r="I109" s="224">
        <f t="shared" si="7"/>
        <v>147283</v>
      </c>
      <c r="J109" s="225"/>
      <c r="K109" s="226">
        <f t="shared" si="10"/>
        <v>628</v>
      </c>
      <c r="L109" s="227">
        <f t="shared" si="8"/>
        <v>0</v>
      </c>
      <c r="M109" s="227"/>
      <c r="N109" s="242"/>
      <c r="O109" s="229">
        <f t="shared" si="9"/>
        <v>0</v>
      </c>
      <c r="P109" s="221"/>
      <c r="Q109" s="221">
        <v>0</v>
      </c>
      <c r="R109" s="231"/>
      <c r="S109" s="232"/>
      <c r="T109" s="153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</row>
    <row r="110" spans="1:146" hidden="1">
      <c r="A110" s="133"/>
      <c r="B110" s="233" t="s">
        <v>161</v>
      </c>
      <c r="C110" s="233" t="s">
        <v>126</v>
      </c>
      <c r="D110" s="220">
        <v>0</v>
      </c>
      <c r="E110" s="221"/>
      <c r="F110" s="222">
        <f t="shared" si="6"/>
        <v>0</v>
      </c>
      <c r="G110" s="242"/>
      <c r="H110" s="245"/>
      <c r="I110" s="224">
        <f t="shared" si="7"/>
        <v>0</v>
      </c>
      <c r="J110" s="225"/>
      <c r="K110" s="226" t="str">
        <f t="shared" si="10"/>
        <v>633-638   632</v>
      </c>
      <c r="L110" s="227">
        <f t="shared" si="8"/>
        <v>0</v>
      </c>
      <c r="M110" s="227"/>
      <c r="N110" s="242"/>
      <c r="O110" s="229">
        <f t="shared" si="9"/>
        <v>0</v>
      </c>
      <c r="P110" s="221"/>
      <c r="Q110" s="221">
        <v>0</v>
      </c>
      <c r="R110" s="231"/>
      <c r="S110" s="232" t="str">
        <f>+K110</f>
        <v>633-638   632</v>
      </c>
      <c r="T110" s="153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</row>
    <row r="111" spans="1:146" hidden="1">
      <c r="A111" s="133"/>
      <c r="B111" s="233">
        <v>633</v>
      </c>
      <c r="C111" s="233" t="s">
        <v>207</v>
      </c>
      <c r="D111" s="220">
        <v>0</v>
      </c>
      <c r="E111" s="221"/>
      <c r="F111" s="222">
        <f t="shared" si="6"/>
        <v>0</v>
      </c>
      <c r="G111" s="242"/>
      <c r="H111" s="245"/>
      <c r="I111" s="224">
        <f t="shared" si="7"/>
        <v>0</v>
      </c>
      <c r="J111" s="225"/>
      <c r="K111" s="226">
        <f t="shared" si="10"/>
        <v>633</v>
      </c>
      <c r="L111" s="227">
        <f t="shared" si="8"/>
        <v>0</v>
      </c>
      <c r="M111" s="227"/>
      <c r="N111" s="242"/>
      <c r="O111" s="229">
        <f t="shared" si="9"/>
        <v>0</v>
      </c>
      <c r="P111" s="221"/>
      <c r="Q111" s="221">
        <v>0</v>
      </c>
      <c r="R111" s="231"/>
      <c r="S111" s="232"/>
      <c r="T111" s="153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</row>
    <row r="112" spans="1:146" hidden="1">
      <c r="A112" s="133"/>
      <c r="B112" s="233">
        <v>634</v>
      </c>
      <c r="C112" s="233" t="s">
        <v>63</v>
      </c>
      <c r="D112" s="220">
        <v>59445</v>
      </c>
      <c r="E112" s="221"/>
      <c r="F112" s="222">
        <f t="shared" si="6"/>
        <v>59445</v>
      </c>
      <c r="G112" s="324">
        <v>45500</v>
      </c>
      <c r="H112" s="245"/>
      <c r="I112" s="224">
        <f t="shared" si="7"/>
        <v>45500</v>
      </c>
      <c r="J112" s="225"/>
      <c r="K112" s="226">
        <f t="shared" si="10"/>
        <v>634</v>
      </c>
      <c r="L112" s="227">
        <f t="shared" si="8"/>
        <v>0</v>
      </c>
      <c r="M112" s="227"/>
      <c r="N112" s="242"/>
      <c r="O112" s="229">
        <f t="shared" si="9"/>
        <v>0</v>
      </c>
      <c r="P112" s="221"/>
      <c r="Q112" s="221">
        <v>0</v>
      </c>
      <c r="R112" s="231"/>
      <c r="S112" s="232"/>
      <c r="T112" s="153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</row>
    <row r="113" spans="1:146" hidden="1">
      <c r="A113" s="133"/>
      <c r="B113" s="233">
        <v>638</v>
      </c>
      <c r="C113" s="233" t="s">
        <v>64</v>
      </c>
      <c r="D113" s="220">
        <v>0</v>
      </c>
      <c r="E113" s="221"/>
      <c r="F113" s="222">
        <f t="shared" si="6"/>
        <v>0</v>
      </c>
      <c r="G113" s="242"/>
      <c r="H113" s="245"/>
      <c r="I113" s="224">
        <f t="shared" si="7"/>
        <v>0</v>
      </c>
      <c r="J113" s="225"/>
      <c r="K113" s="226">
        <f t="shared" si="10"/>
        <v>638</v>
      </c>
      <c r="L113" s="227">
        <f t="shared" si="8"/>
        <v>0</v>
      </c>
      <c r="M113" s="227"/>
      <c r="N113" s="242"/>
      <c r="O113" s="229">
        <f t="shared" si="9"/>
        <v>0</v>
      </c>
      <c r="P113" s="221"/>
      <c r="Q113" s="221">
        <v>0</v>
      </c>
      <c r="R113" s="231"/>
      <c r="S113" s="232"/>
      <c r="T113" s="153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</row>
    <row r="114" spans="1:146" hidden="1">
      <c r="A114" s="133"/>
      <c r="B114" s="233" t="s">
        <v>179</v>
      </c>
      <c r="C114" s="233" t="s">
        <v>127</v>
      </c>
      <c r="D114" s="220">
        <v>1288495</v>
      </c>
      <c r="E114" s="221"/>
      <c r="F114" s="222">
        <f t="shared" si="6"/>
        <v>1288495</v>
      </c>
      <c r="G114" s="366">
        <v>2217267</v>
      </c>
      <c r="H114" s="245"/>
      <c r="I114" s="224">
        <f t="shared" si="7"/>
        <v>2217267</v>
      </c>
      <c r="J114" s="225"/>
      <c r="K114" s="226" t="str">
        <f t="shared" si="10"/>
        <v>641-</v>
      </c>
      <c r="L114" s="227">
        <f t="shared" si="8"/>
        <v>0</v>
      </c>
      <c r="M114" s="227"/>
      <c r="N114" s="242"/>
      <c r="O114" s="229">
        <f t="shared" si="9"/>
        <v>0</v>
      </c>
      <c r="P114" s="221"/>
      <c r="Q114" s="221">
        <v>0</v>
      </c>
      <c r="R114" s="231"/>
      <c r="S114" s="232" t="str">
        <f>+K114</f>
        <v>641-</v>
      </c>
      <c r="T114" s="153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</row>
    <row r="115" spans="1:146" hidden="1">
      <c r="A115" s="133"/>
      <c r="B115" s="233" t="s">
        <v>180</v>
      </c>
      <c r="C115" s="233" t="s">
        <v>128</v>
      </c>
      <c r="D115" s="220">
        <v>279604</v>
      </c>
      <c r="E115" s="221"/>
      <c r="F115" s="222">
        <f t="shared" si="6"/>
        <v>279604</v>
      </c>
      <c r="G115" s="366">
        <v>481147</v>
      </c>
      <c r="H115" s="245"/>
      <c r="I115" s="224">
        <f t="shared" si="7"/>
        <v>481147</v>
      </c>
      <c r="J115" s="225"/>
      <c r="K115" s="226" t="str">
        <f t="shared" si="10"/>
        <v>644-</v>
      </c>
      <c r="L115" s="227">
        <f t="shared" si="8"/>
        <v>0</v>
      </c>
      <c r="M115" s="227"/>
      <c r="N115" s="242"/>
      <c r="O115" s="229">
        <f t="shared" si="9"/>
        <v>0</v>
      </c>
      <c r="P115" s="221"/>
      <c r="Q115" s="221">
        <v>0</v>
      </c>
      <c r="R115" s="231"/>
      <c r="S115" s="232" t="str">
        <f>+K115</f>
        <v>644-</v>
      </c>
      <c r="T115" s="153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</row>
    <row r="116" spans="1:146" hidden="1">
      <c r="A116" s="133"/>
      <c r="B116" s="233">
        <v>648</v>
      </c>
      <c r="C116" s="233" t="s">
        <v>68</v>
      </c>
      <c r="D116" s="220">
        <v>0</v>
      </c>
      <c r="E116" s="221"/>
      <c r="F116" s="222">
        <f t="shared" si="6"/>
        <v>0</v>
      </c>
      <c r="G116" s="242"/>
      <c r="H116" s="245"/>
      <c r="I116" s="224">
        <f t="shared" si="7"/>
        <v>0</v>
      </c>
      <c r="J116" s="225"/>
      <c r="K116" s="226">
        <f t="shared" si="10"/>
        <v>648</v>
      </c>
      <c r="L116" s="227">
        <f t="shared" si="8"/>
        <v>0</v>
      </c>
      <c r="M116" s="227"/>
      <c r="N116" s="242"/>
      <c r="O116" s="229">
        <f t="shared" si="9"/>
        <v>0</v>
      </c>
      <c r="P116" s="221"/>
      <c r="Q116" s="221">
        <v>0</v>
      </c>
      <c r="R116" s="231"/>
      <c r="S116" s="232"/>
      <c r="T116" s="153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</row>
    <row r="117" spans="1:146" hidden="1">
      <c r="A117" s="133"/>
      <c r="B117" s="233">
        <v>648.4</v>
      </c>
      <c r="C117" s="233" t="s">
        <v>170</v>
      </c>
      <c r="D117" s="220">
        <v>0</v>
      </c>
      <c r="E117" s="221"/>
      <c r="F117" s="222">
        <f t="shared" si="6"/>
        <v>0</v>
      </c>
      <c r="G117" s="242"/>
      <c r="H117" s="245"/>
      <c r="I117" s="224">
        <f t="shared" si="7"/>
        <v>0</v>
      </c>
      <c r="J117" s="225"/>
      <c r="K117" s="226">
        <f t="shared" si="10"/>
        <v>648.4</v>
      </c>
      <c r="L117" s="227">
        <f t="shared" si="8"/>
        <v>0</v>
      </c>
      <c r="M117" s="227"/>
      <c r="N117" s="242"/>
      <c r="O117" s="229">
        <f t="shared" si="9"/>
        <v>0</v>
      </c>
      <c r="P117" s="221"/>
      <c r="Q117" s="221">
        <v>0</v>
      </c>
      <c r="R117" s="231"/>
      <c r="S117" s="232"/>
      <c r="T117" s="153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</row>
    <row r="118" spans="1:146" hidden="1">
      <c r="A118" s="133"/>
      <c r="B118" s="233">
        <v>651</v>
      </c>
      <c r="C118" s="233" t="s">
        <v>166</v>
      </c>
      <c r="D118" s="220">
        <v>0</v>
      </c>
      <c r="E118" s="221"/>
      <c r="F118" s="222">
        <f t="shared" si="6"/>
        <v>0</v>
      </c>
      <c r="G118" s="242"/>
      <c r="H118" s="245"/>
      <c r="I118" s="224">
        <f t="shared" si="7"/>
        <v>0</v>
      </c>
      <c r="J118" s="225"/>
      <c r="K118" s="226">
        <f t="shared" si="10"/>
        <v>651</v>
      </c>
      <c r="L118" s="227">
        <f t="shared" si="8"/>
        <v>0</v>
      </c>
      <c r="M118" s="227"/>
      <c r="N118" s="242"/>
      <c r="O118" s="229">
        <f t="shared" si="9"/>
        <v>0</v>
      </c>
      <c r="P118" s="221"/>
      <c r="Q118" s="221">
        <v>0</v>
      </c>
      <c r="R118" s="231"/>
      <c r="S118" s="232"/>
      <c r="T118" s="153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</row>
    <row r="119" spans="1:146" ht="13.5" hidden="1" customHeight="1">
      <c r="A119" s="133"/>
      <c r="B119" s="233">
        <v>651.1</v>
      </c>
      <c r="C119" s="233" t="s">
        <v>167</v>
      </c>
      <c r="D119" s="220">
        <v>0</v>
      </c>
      <c r="E119" s="221"/>
      <c r="F119" s="222">
        <f t="shared" si="6"/>
        <v>0</v>
      </c>
      <c r="G119" s="242"/>
      <c r="H119" s="245"/>
      <c r="I119" s="224">
        <f t="shared" si="7"/>
        <v>0</v>
      </c>
      <c r="J119" s="225"/>
      <c r="K119" s="226">
        <f t="shared" si="10"/>
        <v>651.1</v>
      </c>
      <c r="L119" s="227">
        <f t="shared" si="8"/>
        <v>0</v>
      </c>
      <c r="M119" s="227"/>
      <c r="N119" s="242"/>
      <c r="O119" s="229">
        <f t="shared" si="9"/>
        <v>0</v>
      </c>
      <c r="P119" s="221"/>
      <c r="Q119" s="221">
        <v>0</v>
      </c>
      <c r="R119" s="231"/>
      <c r="S119" s="232"/>
      <c r="T119" s="153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</row>
    <row r="120" spans="1:146" hidden="1">
      <c r="A120" s="133"/>
      <c r="B120" s="233" t="s">
        <v>131</v>
      </c>
      <c r="C120" s="233" t="s">
        <v>171</v>
      </c>
      <c r="D120" s="220">
        <v>0</v>
      </c>
      <c r="E120" s="221"/>
      <c r="F120" s="222">
        <f t="shared" si="6"/>
        <v>0</v>
      </c>
      <c r="G120" s="242"/>
      <c r="H120" s="245"/>
      <c r="I120" s="224">
        <f t="shared" si="7"/>
        <v>0</v>
      </c>
      <c r="J120" s="225"/>
      <c r="K120" s="226" t="str">
        <f t="shared" si="10"/>
        <v>652-    652-656</v>
      </c>
      <c r="L120" s="227">
        <f t="shared" si="8"/>
        <v>0</v>
      </c>
      <c r="M120" s="227"/>
      <c r="N120" s="242"/>
      <c r="O120" s="229">
        <f t="shared" si="9"/>
        <v>0</v>
      </c>
      <c r="P120" s="221"/>
      <c r="Q120" s="221">
        <v>0</v>
      </c>
      <c r="R120" s="231"/>
      <c r="S120" s="232" t="str">
        <f>+K120</f>
        <v>652-    652-656</v>
      </c>
      <c r="T120" s="153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</row>
    <row r="121" spans="1:146" hidden="1">
      <c r="A121" s="133"/>
      <c r="B121" s="233">
        <v>653</v>
      </c>
      <c r="C121" s="233" t="s">
        <v>66</v>
      </c>
      <c r="D121" s="220">
        <v>0</v>
      </c>
      <c r="E121" s="221"/>
      <c r="F121" s="222">
        <f t="shared" si="6"/>
        <v>0</v>
      </c>
      <c r="G121" s="242"/>
      <c r="H121" s="245"/>
      <c r="I121" s="224">
        <f t="shared" si="7"/>
        <v>0</v>
      </c>
      <c r="J121" s="225"/>
      <c r="K121" s="226">
        <f t="shared" si="10"/>
        <v>653</v>
      </c>
      <c r="L121" s="227">
        <f t="shared" si="8"/>
        <v>0</v>
      </c>
      <c r="M121" s="227"/>
      <c r="N121" s="242"/>
      <c r="O121" s="229">
        <f t="shared" si="9"/>
        <v>0</v>
      </c>
      <c r="P121" s="221"/>
      <c r="Q121" s="221">
        <v>0</v>
      </c>
      <c r="R121" s="231"/>
      <c r="S121" s="232"/>
      <c r="T121" s="153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</row>
    <row r="122" spans="1:146" hidden="1">
      <c r="A122" s="133"/>
      <c r="B122" s="233">
        <v>654</v>
      </c>
      <c r="C122" s="233" t="s">
        <v>67</v>
      </c>
      <c r="D122" s="220">
        <v>0</v>
      </c>
      <c r="E122" s="221"/>
      <c r="F122" s="222">
        <f t="shared" si="6"/>
        <v>0</v>
      </c>
      <c r="G122" s="242"/>
      <c r="H122" s="245"/>
      <c r="I122" s="224">
        <f t="shared" si="7"/>
        <v>0</v>
      </c>
      <c r="J122" s="225"/>
      <c r="K122" s="226">
        <f t="shared" si="10"/>
        <v>654</v>
      </c>
      <c r="L122" s="227">
        <f t="shared" si="8"/>
        <v>0</v>
      </c>
      <c r="M122" s="227"/>
      <c r="N122" s="242"/>
      <c r="O122" s="229">
        <f t="shared" si="9"/>
        <v>0</v>
      </c>
      <c r="P122" s="221"/>
      <c r="Q122" s="221">
        <v>0</v>
      </c>
      <c r="R122" s="231"/>
      <c r="S122" s="232"/>
      <c r="T122" s="153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</row>
    <row r="123" spans="1:146" hidden="1">
      <c r="A123" s="133"/>
      <c r="B123" s="233" t="s">
        <v>181</v>
      </c>
      <c r="C123" s="233" t="s">
        <v>129</v>
      </c>
      <c r="D123" s="220">
        <v>454246</v>
      </c>
      <c r="E123" s="221"/>
      <c r="F123" s="222">
        <f t="shared" si="6"/>
        <v>454246</v>
      </c>
      <c r="G123" s="366">
        <v>351780</v>
      </c>
      <c r="H123" s="245"/>
      <c r="I123" s="224">
        <f t="shared" si="7"/>
        <v>351780</v>
      </c>
      <c r="J123" s="225"/>
      <c r="K123" s="226" t="str">
        <f t="shared" si="10"/>
        <v>657-</v>
      </c>
      <c r="L123" s="227">
        <f t="shared" si="8"/>
        <v>0</v>
      </c>
      <c r="M123" s="227"/>
      <c r="N123" s="242"/>
      <c r="O123" s="229">
        <f t="shared" si="9"/>
        <v>0</v>
      </c>
      <c r="P123" s="221"/>
      <c r="Q123" s="221">
        <v>0</v>
      </c>
      <c r="R123" s="231"/>
      <c r="S123" s="232" t="str">
        <f>+K123</f>
        <v>657-</v>
      </c>
      <c r="T123" s="153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</row>
    <row r="124" spans="1:146" hidden="1">
      <c r="A124" s="133"/>
      <c r="B124" s="233" t="s">
        <v>162</v>
      </c>
      <c r="C124" s="233" t="s">
        <v>69</v>
      </c>
      <c r="D124" s="220">
        <v>902838</v>
      </c>
      <c r="E124" s="221"/>
      <c r="F124" s="222">
        <f t="shared" si="6"/>
        <v>902838</v>
      </c>
      <c r="G124" s="366">
        <v>419338</v>
      </c>
      <c r="H124" s="245"/>
      <c r="I124" s="224">
        <f t="shared" si="7"/>
        <v>419338</v>
      </c>
      <c r="J124" s="225"/>
      <c r="K124" s="226" t="str">
        <f t="shared" si="10"/>
        <v>661-      667</v>
      </c>
      <c r="L124" s="227">
        <f t="shared" si="8"/>
        <v>0</v>
      </c>
      <c r="M124" s="227"/>
      <c r="N124" s="242"/>
      <c r="O124" s="229">
        <f t="shared" si="9"/>
        <v>0</v>
      </c>
      <c r="P124" s="221"/>
      <c r="Q124" s="221">
        <v>0</v>
      </c>
      <c r="R124" s="231"/>
      <c r="S124" s="232" t="str">
        <f>+K124</f>
        <v>661-      667</v>
      </c>
      <c r="T124" s="153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</row>
    <row r="125" spans="1:146" hidden="1">
      <c r="A125" s="133"/>
      <c r="B125" s="233">
        <v>6691</v>
      </c>
      <c r="C125" s="233" t="s">
        <v>139</v>
      </c>
      <c r="D125" s="220">
        <v>0</v>
      </c>
      <c r="E125" s="221"/>
      <c r="F125" s="222">
        <f t="shared" si="6"/>
        <v>0</v>
      </c>
      <c r="G125" s="242"/>
      <c r="H125" s="245"/>
      <c r="I125" s="224">
        <f t="shared" si="7"/>
        <v>0</v>
      </c>
      <c r="J125" s="225"/>
      <c r="K125" s="226">
        <f t="shared" si="10"/>
        <v>6691</v>
      </c>
      <c r="L125" s="227">
        <f t="shared" si="8"/>
        <v>0</v>
      </c>
      <c r="M125" s="227"/>
      <c r="N125" s="242"/>
      <c r="O125" s="229">
        <f t="shared" si="9"/>
        <v>0</v>
      </c>
      <c r="P125" s="221"/>
      <c r="Q125" s="221">
        <v>0</v>
      </c>
      <c r="R125" s="231"/>
      <c r="S125" s="232"/>
      <c r="T125" s="153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</row>
    <row r="126" spans="1:146" hidden="1">
      <c r="A126" s="133"/>
      <c r="B126" s="233">
        <v>6692</v>
      </c>
      <c r="C126" s="233" t="s">
        <v>140</v>
      </c>
      <c r="D126" s="220">
        <v>0</v>
      </c>
      <c r="E126" s="221"/>
      <c r="F126" s="222">
        <f t="shared" si="6"/>
        <v>0</v>
      </c>
      <c r="G126" s="242"/>
      <c r="H126" s="235"/>
      <c r="I126" s="224">
        <f t="shared" si="7"/>
        <v>0</v>
      </c>
      <c r="J126" s="225"/>
      <c r="K126" s="226">
        <f t="shared" si="10"/>
        <v>6692</v>
      </c>
      <c r="L126" s="227">
        <f t="shared" si="8"/>
        <v>0</v>
      </c>
      <c r="M126" s="227"/>
      <c r="N126" s="242"/>
      <c r="O126" s="229">
        <f t="shared" si="9"/>
        <v>0</v>
      </c>
      <c r="P126" s="221"/>
      <c r="Q126" s="221">
        <v>0</v>
      </c>
      <c r="R126" s="231"/>
      <c r="S126" s="232"/>
      <c r="T126" s="153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</row>
    <row r="127" spans="1:146" hidden="1">
      <c r="A127" s="133"/>
      <c r="B127" s="233" t="s">
        <v>182</v>
      </c>
      <c r="C127" s="233" t="s">
        <v>130</v>
      </c>
      <c r="D127" s="220">
        <v>0</v>
      </c>
      <c r="E127" s="221"/>
      <c r="F127" s="222">
        <f t="shared" si="6"/>
        <v>0</v>
      </c>
      <c r="G127" s="242"/>
      <c r="H127" s="245"/>
      <c r="I127" s="224">
        <f t="shared" si="7"/>
        <v>0</v>
      </c>
      <c r="J127" s="225"/>
      <c r="K127" s="226" t="str">
        <f t="shared" si="10"/>
        <v>677-</v>
      </c>
      <c r="L127" s="227">
        <f t="shared" si="8"/>
        <v>0</v>
      </c>
      <c r="M127" s="227"/>
      <c r="N127" s="242"/>
      <c r="O127" s="229">
        <f t="shared" si="9"/>
        <v>0</v>
      </c>
      <c r="P127" s="221"/>
      <c r="Q127" s="221">
        <v>0</v>
      </c>
      <c r="R127" s="231"/>
      <c r="S127" s="232" t="str">
        <f>+K127</f>
        <v>677-</v>
      </c>
      <c r="T127" s="153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</row>
    <row r="128" spans="1:146" hidden="1">
      <c r="A128" s="133"/>
      <c r="B128" s="233" t="s">
        <v>183</v>
      </c>
      <c r="C128" s="233" t="s">
        <v>132</v>
      </c>
      <c r="D128" s="220">
        <v>0</v>
      </c>
      <c r="E128" s="221"/>
      <c r="F128" s="222">
        <f t="shared" si="6"/>
        <v>0</v>
      </c>
      <c r="G128" s="242"/>
      <c r="H128" s="245"/>
      <c r="I128" s="224">
        <f t="shared" si="7"/>
        <v>0</v>
      </c>
      <c r="J128" s="225"/>
      <c r="K128" s="226" t="str">
        <f t="shared" si="10"/>
        <v>681-</v>
      </c>
      <c r="L128" s="227">
        <f t="shared" si="8"/>
        <v>0</v>
      </c>
      <c r="M128" s="227"/>
      <c r="N128" s="242"/>
      <c r="O128" s="229">
        <f t="shared" si="9"/>
        <v>0</v>
      </c>
      <c r="P128" s="221"/>
      <c r="Q128" s="221">
        <v>0</v>
      </c>
      <c r="R128" s="231"/>
      <c r="S128" s="232" t="str">
        <f>+K128</f>
        <v>681-</v>
      </c>
      <c r="T128" s="15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</row>
    <row r="129" spans="1:146" hidden="1">
      <c r="A129" s="133"/>
      <c r="B129" s="233">
        <v>6811</v>
      </c>
      <c r="C129" s="233" t="s">
        <v>407</v>
      </c>
      <c r="D129" s="220">
        <v>779516</v>
      </c>
      <c r="E129" s="221"/>
      <c r="F129" s="222">
        <f t="shared" si="6"/>
        <v>779516</v>
      </c>
      <c r="G129" s="366">
        <v>640878</v>
      </c>
      <c r="H129" s="245"/>
      <c r="I129" s="224">
        <f t="shared" si="7"/>
        <v>640878</v>
      </c>
      <c r="J129" s="225"/>
      <c r="K129" s="226">
        <f t="shared" si="10"/>
        <v>6811</v>
      </c>
      <c r="L129" s="227">
        <f t="shared" si="8"/>
        <v>0</v>
      </c>
      <c r="M129" s="227"/>
      <c r="N129" s="242"/>
      <c r="O129" s="229">
        <f t="shared" si="9"/>
        <v>0</v>
      </c>
      <c r="P129" s="221"/>
      <c r="Q129" s="221">
        <v>0</v>
      </c>
      <c r="R129" s="231"/>
      <c r="S129" s="232">
        <f>+K129</f>
        <v>6811</v>
      </c>
      <c r="T129" s="153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</row>
    <row r="130" spans="1:146" hidden="1">
      <c r="A130" s="133"/>
      <c r="B130" s="233"/>
      <c r="C130" s="233" t="s">
        <v>413</v>
      </c>
      <c r="D130" s="220">
        <v>0</v>
      </c>
      <c r="E130" s="221"/>
      <c r="F130" s="222">
        <f t="shared" si="6"/>
        <v>0</v>
      </c>
      <c r="G130" s="242"/>
      <c r="H130" s="245"/>
      <c r="I130" s="224">
        <f t="shared" si="7"/>
        <v>0</v>
      </c>
      <c r="J130" s="225"/>
      <c r="K130" s="226">
        <f t="shared" si="10"/>
        <v>0</v>
      </c>
      <c r="L130" s="227">
        <f t="shared" si="8"/>
        <v>0</v>
      </c>
      <c r="M130" s="227"/>
      <c r="N130" s="242"/>
      <c r="O130" s="229">
        <f t="shared" si="9"/>
        <v>0</v>
      </c>
      <c r="P130" s="221"/>
      <c r="Q130" s="221">
        <v>0</v>
      </c>
      <c r="R130" s="231"/>
      <c r="S130" s="232"/>
      <c r="T130" s="1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</row>
    <row r="131" spans="1:146" hidden="1">
      <c r="A131" s="133"/>
      <c r="B131" s="233"/>
      <c r="C131" s="233" t="s">
        <v>173</v>
      </c>
      <c r="D131" s="220">
        <v>0</v>
      </c>
      <c r="E131" s="221"/>
      <c r="F131" s="222">
        <f t="shared" si="6"/>
        <v>0</v>
      </c>
      <c r="G131" s="242"/>
      <c r="H131" s="245"/>
      <c r="I131" s="224">
        <f t="shared" si="7"/>
        <v>0</v>
      </c>
      <c r="J131" s="225"/>
      <c r="K131" s="226">
        <f t="shared" si="10"/>
        <v>0</v>
      </c>
      <c r="L131" s="227">
        <f t="shared" si="8"/>
        <v>0</v>
      </c>
      <c r="M131" s="227"/>
      <c r="N131" s="242"/>
      <c r="O131" s="229">
        <f t="shared" si="9"/>
        <v>0</v>
      </c>
      <c r="P131" s="221"/>
      <c r="Q131" s="221">
        <v>0</v>
      </c>
      <c r="R131" s="231"/>
      <c r="S131" s="232"/>
      <c r="T131" s="153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</row>
    <row r="132" spans="1:146" hidden="1">
      <c r="A132" s="133"/>
      <c r="B132" s="233"/>
      <c r="C132" s="233" t="s">
        <v>133</v>
      </c>
      <c r="D132" s="220">
        <v>0</v>
      </c>
      <c r="E132" s="221"/>
      <c r="F132" s="222">
        <f t="shared" si="6"/>
        <v>0</v>
      </c>
      <c r="G132" s="242"/>
      <c r="H132" s="245"/>
      <c r="I132" s="224">
        <f t="shared" si="7"/>
        <v>0</v>
      </c>
      <c r="J132" s="225"/>
      <c r="K132" s="226">
        <f t="shared" si="10"/>
        <v>0</v>
      </c>
      <c r="L132" s="227">
        <f t="shared" si="8"/>
        <v>0</v>
      </c>
      <c r="M132" s="227"/>
      <c r="N132" s="242"/>
      <c r="O132" s="229">
        <f t="shared" si="9"/>
        <v>0</v>
      </c>
      <c r="P132" s="221"/>
      <c r="Q132" s="221">
        <v>0</v>
      </c>
      <c r="R132" s="231"/>
      <c r="S132" s="232"/>
      <c r="T132" s="153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</row>
    <row r="133" spans="1:146" hidden="1">
      <c r="A133" s="133"/>
      <c r="B133" s="233">
        <v>682</v>
      </c>
      <c r="C133" s="233" t="s">
        <v>317</v>
      </c>
      <c r="D133" s="220">
        <v>0</v>
      </c>
      <c r="E133" s="221"/>
      <c r="F133" s="222">
        <f t="shared" si="6"/>
        <v>0</v>
      </c>
      <c r="G133" s="242"/>
      <c r="H133" s="245"/>
      <c r="I133" s="224">
        <f t="shared" si="7"/>
        <v>0</v>
      </c>
      <c r="J133" s="225"/>
      <c r="K133" s="226">
        <f t="shared" si="10"/>
        <v>682</v>
      </c>
      <c r="L133" s="227">
        <f t="shared" si="8"/>
        <v>0</v>
      </c>
      <c r="M133" s="227"/>
      <c r="N133" s="242"/>
      <c r="O133" s="229">
        <f t="shared" si="9"/>
        <v>0</v>
      </c>
      <c r="P133" s="221"/>
      <c r="Q133" s="221">
        <v>0</v>
      </c>
      <c r="R133" s="231"/>
      <c r="S133" s="232"/>
      <c r="T133" s="1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</row>
    <row r="134" spans="1:146" hidden="1">
      <c r="A134" s="133"/>
      <c r="B134" s="233"/>
      <c r="C134" s="233" t="s">
        <v>70</v>
      </c>
      <c r="D134" s="220">
        <v>0</v>
      </c>
      <c r="E134" s="221"/>
      <c r="F134" s="222">
        <f t="shared" si="6"/>
        <v>0</v>
      </c>
      <c r="G134" s="242"/>
      <c r="H134" s="245"/>
      <c r="I134" s="224">
        <f t="shared" si="7"/>
        <v>0</v>
      </c>
      <c r="J134" s="225"/>
      <c r="K134" s="226">
        <f t="shared" si="10"/>
        <v>0</v>
      </c>
      <c r="L134" s="227">
        <f t="shared" si="8"/>
        <v>0</v>
      </c>
      <c r="M134" s="227"/>
      <c r="N134" s="242"/>
      <c r="O134" s="229">
        <f t="shared" si="9"/>
        <v>0</v>
      </c>
      <c r="P134" s="221"/>
      <c r="Q134" s="221">
        <v>0</v>
      </c>
      <c r="R134" s="231"/>
      <c r="S134" s="232"/>
      <c r="T134" s="153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</row>
    <row r="135" spans="1:146" hidden="1">
      <c r="A135" s="133"/>
      <c r="B135" s="233">
        <v>69</v>
      </c>
      <c r="C135" s="233" t="s">
        <v>134</v>
      </c>
      <c r="D135" s="220">
        <v>0</v>
      </c>
      <c r="E135" s="221"/>
      <c r="F135" s="222">
        <f t="shared" si="6"/>
        <v>0</v>
      </c>
      <c r="G135" s="242"/>
      <c r="H135" s="245"/>
      <c r="I135" s="224">
        <f t="shared" si="7"/>
        <v>0</v>
      </c>
      <c r="J135" s="225"/>
      <c r="K135" s="226">
        <f t="shared" si="10"/>
        <v>69</v>
      </c>
      <c r="L135" s="227">
        <f t="shared" si="8"/>
        <v>0</v>
      </c>
      <c r="M135" s="227"/>
      <c r="N135" s="242"/>
      <c r="O135" s="229">
        <f t="shared" si="9"/>
        <v>0</v>
      </c>
      <c r="P135" s="221"/>
      <c r="Q135" s="221">
        <v>0</v>
      </c>
      <c r="R135" s="231"/>
      <c r="S135" s="232"/>
      <c r="T135" s="1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</row>
    <row r="136" spans="1:146" hidden="1">
      <c r="A136" s="133"/>
      <c r="B136" s="233" t="s">
        <v>184</v>
      </c>
      <c r="C136" s="233" t="s">
        <v>135</v>
      </c>
      <c r="D136" s="220">
        <v>0</v>
      </c>
      <c r="E136" s="221"/>
      <c r="F136" s="222">
        <f t="shared" si="6"/>
        <v>0</v>
      </c>
      <c r="G136" s="242"/>
      <c r="H136" s="245"/>
      <c r="I136" s="224">
        <f t="shared" si="7"/>
        <v>0</v>
      </c>
      <c r="J136" s="225"/>
      <c r="K136" s="226" t="str">
        <f t="shared" si="10"/>
        <v>701-</v>
      </c>
      <c r="L136" s="227">
        <f t="shared" si="8"/>
        <v>19660232</v>
      </c>
      <c r="M136" s="246"/>
      <c r="N136" s="242">
        <v>19660232</v>
      </c>
      <c r="O136" s="229">
        <f t="shared" si="9"/>
        <v>10746102</v>
      </c>
      <c r="P136" s="221"/>
      <c r="Q136" s="221">
        <v>10746102</v>
      </c>
      <c r="R136" s="231"/>
      <c r="S136" s="232" t="str">
        <f>+K136</f>
        <v>701-</v>
      </c>
      <c r="T136" s="15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</row>
    <row r="137" spans="1:146" hidden="1">
      <c r="A137" s="133"/>
      <c r="B137" s="233" t="s">
        <v>185</v>
      </c>
      <c r="C137" s="233" t="s">
        <v>136</v>
      </c>
      <c r="D137" s="220">
        <v>0</v>
      </c>
      <c r="E137" s="221"/>
      <c r="F137" s="222">
        <f t="shared" ref="F137:F156" si="11">+D137+E137</f>
        <v>0</v>
      </c>
      <c r="G137" s="242"/>
      <c r="H137" s="245"/>
      <c r="I137" s="224">
        <f t="shared" ref="I137:I156" si="12">+G137+H137</f>
        <v>0</v>
      </c>
      <c r="J137" s="225"/>
      <c r="K137" s="226" t="str">
        <f t="shared" si="10"/>
        <v>704-</v>
      </c>
      <c r="L137" s="227">
        <f t="shared" ref="L137:L156" si="13">+N137+M137</f>
        <v>0</v>
      </c>
      <c r="M137" s="227"/>
      <c r="N137" s="242"/>
      <c r="O137" s="229">
        <f t="shared" ref="O137:O155" si="14">+Q137</f>
        <v>0</v>
      </c>
      <c r="P137" s="221"/>
      <c r="Q137" s="221">
        <v>0</v>
      </c>
      <c r="R137" s="231"/>
      <c r="S137" s="232" t="str">
        <f t="shared" ref="S137:S156" si="15">+K137</f>
        <v>704-</v>
      </c>
      <c r="T137" s="153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</row>
    <row r="138" spans="1:146" hidden="1">
      <c r="A138" s="133"/>
      <c r="B138" s="233" t="s">
        <v>186</v>
      </c>
      <c r="C138" s="233" t="s">
        <v>137</v>
      </c>
      <c r="D138" s="220">
        <v>0</v>
      </c>
      <c r="E138" s="221"/>
      <c r="F138" s="222">
        <f t="shared" si="11"/>
        <v>0</v>
      </c>
      <c r="G138" s="242"/>
      <c r="H138" s="245"/>
      <c r="I138" s="224">
        <f t="shared" si="12"/>
        <v>0</v>
      </c>
      <c r="J138" s="225"/>
      <c r="K138" s="226" t="str">
        <f t="shared" si="10"/>
        <v>705-</v>
      </c>
      <c r="L138" s="227">
        <f t="shared" si="13"/>
        <v>0</v>
      </c>
      <c r="M138" s="227"/>
      <c r="N138" s="242"/>
      <c r="O138" s="229">
        <f t="shared" si="14"/>
        <v>0</v>
      </c>
      <c r="P138" s="221"/>
      <c r="Q138" s="221">
        <v>0</v>
      </c>
      <c r="R138" s="231"/>
      <c r="S138" s="232" t="str">
        <f t="shared" si="15"/>
        <v>705-</v>
      </c>
      <c r="T138" s="15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</row>
    <row r="139" spans="1:146" hidden="1">
      <c r="A139" s="133"/>
      <c r="B139" s="233" t="s">
        <v>281</v>
      </c>
      <c r="C139" s="233" t="s">
        <v>71</v>
      </c>
      <c r="D139" s="220">
        <v>0</v>
      </c>
      <c r="E139" s="221"/>
      <c r="F139" s="222">
        <f t="shared" si="11"/>
        <v>0</v>
      </c>
      <c r="G139" s="242"/>
      <c r="H139" s="245"/>
      <c r="I139" s="224">
        <f t="shared" si="12"/>
        <v>0</v>
      </c>
      <c r="J139" s="225"/>
      <c r="K139" s="226" t="str">
        <f t="shared" si="10"/>
        <v>707-708</v>
      </c>
      <c r="L139" s="227">
        <f t="shared" si="13"/>
        <v>0</v>
      </c>
      <c r="M139" s="227"/>
      <c r="N139" s="242"/>
      <c r="O139" s="229">
        <f t="shared" si="14"/>
        <v>0</v>
      </c>
      <c r="P139" s="221"/>
      <c r="Q139" s="221">
        <v>0</v>
      </c>
      <c r="R139" s="231"/>
      <c r="S139" s="232" t="str">
        <f t="shared" si="15"/>
        <v>707-708</v>
      </c>
      <c r="T139" s="153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</row>
    <row r="140" spans="1:146" hidden="1">
      <c r="A140" s="133"/>
      <c r="B140" s="233"/>
      <c r="C140" s="254" t="s">
        <v>150</v>
      </c>
      <c r="D140" s="220">
        <v>0</v>
      </c>
      <c r="E140" s="221"/>
      <c r="F140" s="222">
        <f t="shared" si="11"/>
        <v>0</v>
      </c>
      <c r="G140" s="242"/>
      <c r="H140" s="245"/>
      <c r="I140" s="224">
        <f t="shared" si="12"/>
        <v>0</v>
      </c>
      <c r="J140" s="225"/>
      <c r="K140" s="226"/>
      <c r="L140" s="227">
        <f t="shared" si="13"/>
        <v>0</v>
      </c>
      <c r="M140" s="227"/>
      <c r="N140" s="242"/>
      <c r="O140" s="229">
        <f t="shared" si="14"/>
        <v>0</v>
      </c>
      <c r="P140" s="221"/>
      <c r="Q140" s="221">
        <v>0</v>
      </c>
      <c r="R140" s="231"/>
      <c r="S140" s="232"/>
      <c r="T140" s="153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</row>
    <row r="141" spans="1:146" hidden="1">
      <c r="A141" s="133"/>
      <c r="B141" s="233"/>
      <c r="C141" s="254" t="s">
        <v>163</v>
      </c>
      <c r="D141" s="220">
        <v>0</v>
      </c>
      <c r="E141" s="221"/>
      <c r="F141" s="222">
        <f t="shared" si="11"/>
        <v>0</v>
      </c>
      <c r="G141" s="242"/>
      <c r="H141" s="245"/>
      <c r="I141" s="224">
        <f t="shared" si="12"/>
        <v>0</v>
      </c>
      <c r="J141" s="225"/>
      <c r="K141" s="226"/>
      <c r="L141" s="227">
        <f t="shared" si="13"/>
        <v>0</v>
      </c>
      <c r="M141" s="227"/>
      <c r="N141" s="242"/>
      <c r="O141" s="229">
        <f t="shared" si="14"/>
        <v>0</v>
      </c>
      <c r="P141" s="221"/>
      <c r="Q141" s="221">
        <v>0</v>
      </c>
      <c r="R141" s="231"/>
      <c r="S141" s="232"/>
      <c r="T141" s="15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</row>
    <row r="142" spans="1:146" hidden="1">
      <c r="A142" s="133"/>
      <c r="B142" s="233"/>
      <c r="C142" s="254" t="s">
        <v>164</v>
      </c>
      <c r="D142" s="220">
        <v>0</v>
      </c>
      <c r="E142" s="221"/>
      <c r="F142" s="222">
        <f t="shared" si="11"/>
        <v>0</v>
      </c>
      <c r="G142" s="242"/>
      <c r="H142" s="245"/>
      <c r="I142" s="224">
        <f t="shared" si="12"/>
        <v>0</v>
      </c>
      <c r="J142" s="225"/>
      <c r="K142" s="226"/>
      <c r="L142" s="227">
        <f t="shared" si="13"/>
        <v>0</v>
      </c>
      <c r="M142" s="227"/>
      <c r="N142" s="242"/>
      <c r="O142" s="229">
        <f t="shared" si="14"/>
        <v>0</v>
      </c>
      <c r="P142" s="221"/>
      <c r="Q142" s="221">
        <v>0</v>
      </c>
      <c r="R142" s="231"/>
      <c r="S142" s="232"/>
      <c r="T142" s="15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</row>
    <row r="143" spans="1:146" hidden="1">
      <c r="A143" s="133"/>
      <c r="B143" s="233"/>
      <c r="C143" s="254" t="s">
        <v>165</v>
      </c>
      <c r="D143" s="220">
        <v>0</v>
      </c>
      <c r="E143" s="221"/>
      <c r="F143" s="222">
        <f t="shared" si="11"/>
        <v>0</v>
      </c>
      <c r="G143" s="242"/>
      <c r="H143" s="245"/>
      <c r="I143" s="224">
        <f t="shared" si="12"/>
        <v>0</v>
      </c>
      <c r="J143" s="225"/>
      <c r="K143" s="226"/>
      <c r="L143" s="227">
        <f t="shared" si="13"/>
        <v>0</v>
      </c>
      <c r="M143" s="227"/>
      <c r="N143" s="242"/>
      <c r="O143" s="229">
        <f t="shared" si="14"/>
        <v>0</v>
      </c>
      <c r="P143" s="221"/>
      <c r="Q143" s="221">
        <v>0</v>
      </c>
      <c r="R143" s="231"/>
      <c r="S143" s="232"/>
      <c r="T143" s="1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</row>
    <row r="144" spans="1:146" hidden="1">
      <c r="A144" s="133"/>
      <c r="B144" s="233"/>
      <c r="C144" s="254" t="s">
        <v>200</v>
      </c>
      <c r="D144" s="220">
        <v>0</v>
      </c>
      <c r="E144" s="221"/>
      <c r="F144" s="222">
        <f t="shared" si="11"/>
        <v>0</v>
      </c>
      <c r="G144" s="242"/>
      <c r="H144" s="245"/>
      <c r="I144" s="224">
        <f t="shared" si="12"/>
        <v>0</v>
      </c>
      <c r="J144" s="225"/>
      <c r="K144" s="226"/>
      <c r="L144" s="227">
        <f t="shared" si="13"/>
        <v>0</v>
      </c>
      <c r="M144" s="227"/>
      <c r="N144" s="242"/>
      <c r="O144" s="229">
        <f t="shared" si="14"/>
        <v>0</v>
      </c>
      <c r="P144" s="221"/>
      <c r="Q144" s="221">
        <v>0</v>
      </c>
      <c r="R144" s="231"/>
      <c r="S144" s="232"/>
      <c r="T144" s="15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</row>
    <row r="145" spans="1:146" hidden="1">
      <c r="A145" s="133"/>
      <c r="B145" s="233" t="s">
        <v>187</v>
      </c>
      <c r="C145" s="233" t="s">
        <v>144</v>
      </c>
      <c r="D145" s="220">
        <v>0</v>
      </c>
      <c r="E145" s="221"/>
      <c r="F145" s="222">
        <f t="shared" si="11"/>
        <v>0</v>
      </c>
      <c r="G145" s="242"/>
      <c r="H145" s="245"/>
      <c r="I145" s="224">
        <f t="shared" si="12"/>
        <v>0</v>
      </c>
      <c r="J145" s="225"/>
      <c r="K145" s="226" t="str">
        <f t="shared" si="10"/>
        <v>714-</v>
      </c>
      <c r="L145" s="227">
        <f t="shared" si="13"/>
        <v>0</v>
      </c>
      <c r="M145" s="227"/>
      <c r="N145" s="242"/>
      <c r="O145" s="229">
        <f t="shared" si="14"/>
        <v>0</v>
      </c>
      <c r="P145" s="221"/>
      <c r="Q145" s="221">
        <v>0</v>
      </c>
      <c r="R145" s="231"/>
      <c r="S145" s="232" t="str">
        <f t="shared" si="15"/>
        <v>714-</v>
      </c>
      <c r="T145" s="1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</row>
    <row r="146" spans="1:146" hidden="1">
      <c r="A146" s="133"/>
      <c r="B146" s="233" t="s">
        <v>188</v>
      </c>
      <c r="C146" s="233" t="s">
        <v>197</v>
      </c>
      <c r="D146" s="220">
        <v>0</v>
      </c>
      <c r="E146" s="221"/>
      <c r="F146" s="222">
        <f t="shared" si="11"/>
        <v>0</v>
      </c>
      <c r="G146" s="242"/>
      <c r="H146" s="245"/>
      <c r="I146" s="224">
        <f t="shared" si="12"/>
        <v>0</v>
      </c>
      <c r="J146" s="225"/>
      <c r="K146" s="226" t="str">
        <f t="shared" si="10"/>
        <v>722-</v>
      </c>
      <c r="L146" s="227">
        <f t="shared" si="13"/>
        <v>0</v>
      </c>
      <c r="M146" s="227"/>
      <c r="N146" s="242"/>
      <c r="O146" s="229">
        <f t="shared" si="14"/>
        <v>0</v>
      </c>
      <c r="P146" s="221"/>
      <c r="Q146" s="221">
        <v>0</v>
      </c>
      <c r="R146" s="231"/>
      <c r="S146" s="232" t="str">
        <f t="shared" si="15"/>
        <v>722-</v>
      </c>
      <c r="T146" s="15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</row>
    <row r="147" spans="1:146" hidden="1">
      <c r="A147" s="133"/>
      <c r="B147" s="233" t="s">
        <v>189</v>
      </c>
      <c r="C147" s="233" t="s">
        <v>138</v>
      </c>
      <c r="D147" s="220">
        <v>0</v>
      </c>
      <c r="E147" s="221"/>
      <c r="F147" s="222">
        <f t="shared" si="11"/>
        <v>0</v>
      </c>
      <c r="G147" s="242"/>
      <c r="H147" s="245"/>
      <c r="I147" s="224">
        <f t="shared" si="12"/>
        <v>0</v>
      </c>
      <c r="J147" s="225"/>
      <c r="K147" s="226" t="str">
        <f t="shared" si="10"/>
        <v>731-732</v>
      </c>
      <c r="L147" s="227">
        <f t="shared" si="13"/>
        <v>0</v>
      </c>
      <c r="M147" s="227"/>
      <c r="N147" s="242"/>
      <c r="O147" s="229">
        <f t="shared" si="14"/>
        <v>0</v>
      </c>
      <c r="P147" s="221"/>
      <c r="Q147" s="221">
        <v>0</v>
      </c>
      <c r="R147" s="231"/>
      <c r="S147" s="232" t="str">
        <f t="shared" si="15"/>
        <v>731-732</v>
      </c>
      <c r="T147" s="153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</row>
    <row r="148" spans="1:146" hidden="1">
      <c r="A148" s="133"/>
      <c r="B148" s="255">
        <v>75</v>
      </c>
      <c r="C148" s="255" t="s">
        <v>72</v>
      </c>
      <c r="D148" s="220">
        <v>0</v>
      </c>
      <c r="E148" s="221"/>
      <c r="F148" s="222">
        <f t="shared" si="11"/>
        <v>0</v>
      </c>
      <c r="G148" s="242"/>
      <c r="H148" s="245"/>
      <c r="I148" s="224">
        <f t="shared" si="12"/>
        <v>0</v>
      </c>
      <c r="J148" s="225"/>
      <c r="K148" s="226">
        <f t="shared" si="10"/>
        <v>75</v>
      </c>
      <c r="L148" s="227">
        <f t="shared" si="13"/>
        <v>0</v>
      </c>
      <c r="M148" s="227"/>
      <c r="N148" s="242"/>
      <c r="O148" s="229">
        <f t="shared" si="14"/>
        <v>0</v>
      </c>
      <c r="P148" s="221"/>
      <c r="Q148" s="221">
        <v>0</v>
      </c>
      <c r="R148" s="231"/>
      <c r="S148" s="232"/>
      <c r="T148" s="1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</row>
    <row r="149" spans="1:146" hidden="1">
      <c r="A149" s="133"/>
      <c r="B149" s="255" t="s">
        <v>282</v>
      </c>
      <c r="C149" s="255" t="s">
        <v>415</v>
      </c>
      <c r="D149" s="220">
        <v>0</v>
      </c>
      <c r="E149" s="221"/>
      <c r="F149" s="222">
        <f t="shared" si="11"/>
        <v>0</v>
      </c>
      <c r="G149" s="242"/>
      <c r="H149" s="245"/>
      <c r="I149" s="224">
        <f t="shared" si="12"/>
        <v>0</v>
      </c>
      <c r="J149" s="225"/>
      <c r="K149" s="226" t="str">
        <f t="shared" si="10"/>
        <v>752-754</v>
      </c>
      <c r="L149" s="227">
        <f t="shared" si="13"/>
        <v>1450000</v>
      </c>
      <c r="M149" s="227"/>
      <c r="N149" s="242">
        <v>1450000</v>
      </c>
      <c r="O149" s="229">
        <f t="shared" si="14"/>
        <v>0</v>
      </c>
      <c r="P149" s="221"/>
      <c r="Q149" s="221">
        <v>0</v>
      </c>
      <c r="R149" s="231"/>
      <c r="S149" s="232" t="str">
        <f t="shared" si="15"/>
        <v>752-754</v>
      </c>
      <c r="T149" s="153"/>
      <c r="U149" s="36">
        <f>+N149-G120</f>
        <v>1450000</v>
      </c>
      <c r="V149" s="14" t="s">
        <v>148</v>
      </c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</row>
    <row r="150" spans="1:146" hidden="1">
      <c r="A150" s="133"/>
      <c r="B150" s="233" t="s">
        <v>190</v>
      </c>
      <c r="C150" s="233" t="s">
        <v>145</v>
      </c>
      <c r="D150" s="220">
        <v>0</v>
      </c>
      <c r="E150" s="221"/>
      <c r="F150" s="222">
        <f t="shared" si="11"/>
        <v>0</v>
      </c>
      <c r="G150" s="242"/>
      <c r="H150" s="245"/>
      <c r="I150" s="224">
        <f t="shared" si="12"/>
        <v>0</v>
      </c>
      <c r="J150" s="256"/>
      <c r="K150" s="226" t="str">
        <f t="shared" si="10"/>
        <v>767-</v>
      </c>
      <c r="L150" s="227">
        <f t="shared" si="13"/>
        <v>62</v>
      </c>
      <c r="M150" s="227"/>
      <c r="N150" s="242">
        <v>62</v>
      </c>
      <c r="O150" s="229">
        <f t="shared" si="14"/>
        <v>5</v>
      </c>
      <c r="P150" s="221"/>
      <c r="Q150" s="221">
        <v>5</v>
      </c>
      <c r="R150" s="231"/>
      <c r="S150" s="232" t="str">
        <f t="shared" si="15"/>
        <v>767-</v>
      </c>
      <c r="T150" s="153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</row>
    <row r="151" spans="1:146" hidden="1">
      <c r="A151" s="133"/>
      <c r="B151" s="233">
        <v>769</v>
      </c>
      <c r="C151" s="233" t="s">
        <v>204</v>
      </c>
      <c r="D151" s="220">
        <v>0</v>
      </c>
      <c r="E151" s="221"/>
      <c r="F151" s="222">
        <f t="shared" si="11"/>
        <v>0</v>
      </c>
      <c r="G151" s="242"/>
      <c r="H151" s="245"/>
      <c r="I151" s="224">
        <f t="shared" si="12"/>
        <v>0</v>
      </c>
      <c r="J151" s="256"/>
      <c r="K151" s="226">
        <f t="shared" si="10"/>
        <v>769</v>
      </c>
      <c r="L151" s="227">
        <f t="shared" si="13"/>
        <v>0</v>
      </c>
      <c r="M151" s="227"/>
      <c r="N151" s="242"/>
      <c r="O151" s="229">
        <f t="shared" si="14"/>
        <v>0</v>
      </c>
      <c r="P151" s="221"/>
      <c r="Q151" s="221">
        <v>0</v>
      </c>
      <c r="R151" s="231"/>
      <c r="S151" s="232"/>
      <c r="T151" s="153"/>
      <c r="U151" s="14"/>
      <c r="V151" s="14"/>
      <c r="W151" s="14"/>
      <c r="X151" s="14"/>
      <c r="Y151" s="14"/>
      <c r="Z151" s="14"/>
      <c r="AA151" s="185"/>
      <c r="AB151" s="185"/>
      <c r="AC151" s="185"/>
      <c r="AD151" s="185"/>
      <c r="AE151" s="185"/>
      <c r="AF151" s="185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</row>
    <row r="152" spans="1:146" hidden="1">
      <c r="A152" s="133"/>
      <c r="B152" s="233" t="s">
        <v>191</v>
      </c>
      <c r="C152" s="233"/>
      <c r="D152" s="220">
        <v>0</v>
      </c>
      <c r="E152" s="221"/>
      <c r="F152" s="222">
        <f t="shared" si="11"/>
        <v>0</v>
      </c>
      <c r="G152" s="242"/>
      <c r="H152" s="245"/>
      <c r="I152" s="224">
        <f t="shared" si="12"/>
        <v>0</v>
      </c>
      <c r="J152" s="225"/>
      <c r="K152" s="226" t="str">
        <f t="shared" si="10"/>
        <v>777-</v>
      </c>
      <c r="L152" s="227">
        <f t="shared" si="13"/>
        <v>0</v>
      </c>
      <c r="M152" s="227"/>
      <c r="N152" s="242"/>
      <c r="O152" s="229">
        <f t="shared" si="14"/>
        <v>0</v>
      </c>
      <c r="P152" s="221"/>
      <c r="Q152" s="221">
        <v>0</v>
      </c>
      <c r="R152" s="231"/>
      <c r="S152" s="232" t="str">
        <f t="shared" si="15"/>
        <v>777-</v>
      </c>
      <c r="T152" s="153"/>
      <c r="U152" s="14"/>
      <c r="V152" s="14"/>
      <c r="W152" s="14"/>
      <c r="X152" s="14"/>
      <c r="Y152" s="14"/>
      <c r="Z152" s="14"/>
      <c r="AA152" s="185"/>
      <c r="AB152" s="185"/>
      <c r="AC152" s="185"/>
      <c r="AD152" s="185"/>
      <c r="AE152" s="185"/>
      <c r="AF152" s="185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35"/>
      <c r="BC152" s="35"/>
      <c r="BD152" s="35"/>
      <c r="BE152" s="35"/>
      <c r="BF152" s="35"/>
      <c r="BG152" s="17"/>
      <c r="BH152" s="35"/>
      <c r="BI152" s="35"/>
      <c r="BJ152" s="35"/>
      <c r="BK152" s="35"/>
      <c r="BL152" s="35"/>
      <c r="BM152" s="35"/>
      <c r="BN152" s="35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</row>
    <row r="153" spans="1:146" hidden="1">
      <c r="A153" s="133"/>
      <c r="B153" s="233" t="s">
        <v>192</v>
      </c>
      <c r="C153" s="233"/>
      <c r="D153" s="220">
        <v>0</v>
      </c>
      <c r="E153" s="221"/>
      <c r="F153" s="222">
        <f t="shared" si="11"/>
        <v>0</v>
      </c>
      <c r="G153" s="247">
        <v>0</v>
      </c>
      <c r="H153" s="257"/>
      <c r="I153" s="258">
        <f t="shared" si="12"/>
        <v>0</v>
      </c>
      <c r="J153" s="225"/>
      <c r="K153" s="226" t="str">
        <f t="shared" si="10"/>
        <v>KL6,KL7</v>
      </c>
      <c r="L153" s="237">
        <f t="shared" si="13"/>
        <v>21110294</v>
      </c>
      <c r="M153" s="247">
        <f>SUM(M136:M152)</f>
        <v>0</v>
      </c>
      <c r="N153" s="247">
        <f>SUM(N136:N152)</f>
        <v>21110294</v>
      </c>
      <c r="O153" s="229">
        <f t="shared" si="14"/>
        <v>10746107</v>
      </c>
      <c r="P153" s="241"/>
      <c r="Q153" s="221">
        <v>10746107</v>
      </c>
      <c r="R153" s="231"/>
      <c r="S153" s="232" t="str">
        <f t="shared" si="15"/>
        <v>KL6,KL7</v>
      </c>
      <c r="T153" s="153"/>
      <c r="U153" s="14"/>
      <c r="V153" s="14"/>
      <c r="W153" s="14"/>
      <c r="X153" s="14"/>
      <c r="Y153" s="14"/>
      <c r="Z153" s="14"/>
      <c r="AA153" s="185"/>
      <c r="AB153" s="185"/>
      <c r="AC153" s="185"/>
      <c r="AD153" s="185"/>
      <c r="AE153" s="185"/>
      <c r="AF153" s="185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5"/>
      <c r="BC153" s="5"/>
      <c r="BD153" s="5"/>
      <c r="BE153" s="5"/>
      <c r="BF153" s="5"/>
      <c r="BG153" s="14"/>
      <c r="BH153" s="5"/>
      <c r="BI153" s="5"/>
      <c r="BJ153" s="5"/>
      <c r="BK153" s="5"/>
      <c r="BL153" s="5"/>
      <c r="BM153" s="5"/>
      <c r="BN153" s="5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</row>
    <row r="154" spans="1:146" ht="13.5" hidden="1" thickBot="1">
      <c r="A154" s="133"/>
      <c r="B154" s="259" t="s">
        <v>193</v>
      </c>
      <c r="C154" s="259" t="s">
        <v>10</v>
      </c>
      <c r="D154" s="260">
        <v>2766064</v>
      </c>
      <c r="E154" s="221"/>
      <c r="F154" s="222">
        <f t="shared" si="11"/>
        <v>2766064</v>
      </c>
      <c r="G154" s="261">
        <f>+I159</f>
        <v>2099158</v>
      </c>
      <c r="H154" s="262">
        <f>IF(M153&gt;H158,M153-H158,0)</f>
        <v>0</v>
      </c>
      <c r="I154" s="258">
        <f>+G154+H154-M154</f>
        <v>2099158</v>
      </c>
      <c r="J154" s="225"/>
      <c r="K154" s="263" t="s">
        <v>193</v>
      </c>
      <c r="L154" s="237">
        <f t="shared" si="13"/>
        <v>0</v>
      </c>
      <c r="M154" s="261">
        <f>IF(H158&gt;M153,H158-M153,0)</f>
        <v>0</v>
      </c>
      <c r="N154" s="247">
        <v>0</v>
      </c>
      <c r="O154" s="229">
        <f t="shared" si="14"/>
        <v>0</v>
      </c>
      <c r="P154" s="241"/>
      <c r="Q154" s="221">
        <v>0</v>
      </c>
      <c r="R154" s="231"/>
      <c r="S154" s="232" t="str">
        <f t="shared" si="15"/>
        <v>F,KL7-KL6,H</v>
      </c>
      <c r="T154" s="153"/>
      <c r="U154" s="14"/>
      <c r="V154" s="14"/>
      <c r="W154" s="14"/>
      <c r="X154" s="14"/>
      <c r="Y154" s="14"/>
      <c r="Z154" s="14"/>
      <c r="AA154" s="185"/>
      <c r="AB154" s="185"/>
      <c r="AC154" s="185"/>
      <c r="AD154" s="185"/>
      <c r="AE154" s="185"/>
      <c r="AF154" s="185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5"/>
      <c r="BC154" s="35"/>
      <c r="BD154" s="35"/>
      <c r="BE154" s="35"/>
      <c r="BF154" s="35"/>
      <c r="BG154" s="14"/>
      <c r="BH154" s="35"/>
      <c r="BI154" s="35"/>
      <c r="BJ154" s="35"/>
      <c r="BK154" s="35"/>
      <c r="BL154" s="35"/>
      <c r="BM154" s="35"/>
      <c r="BN154" s="35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</row>
    <row r="155" spans="1:146" ht="14.25" hidden="1" thickTop="1" thickBot="1">
      <c r="B155" s="264"/>
      <c r="C155" s="264"/>
      <c r="D155" s="220">
        <v>0</v>
      </c>
      <c r="E155" s="221"/>
      <c r="F155" s="222">
        <f t="shared" si="11"/>
        <v>0</v>
      </c>
      <c r="G155" s="265"/>
      <c r="H155" s="245"/>
      <c r="I155" s="224">
        <f t="shared" si="12"/>
        <v>0</v>
      </c>
      <c r="J155" s="225"/>
      <c r="K155" s="266"/>
      <c r="L155" s="227">
        <f t="shared" si="13"/>
        <v>0</v>
      </c>
      <c r="M155" s="267"/>
      <c r="N155" s="242"/>
      <c r="O155" s="229">
        <f t="shared" si="14"/>
        <v>0</v>
      </c>
      <c r="P155" s="221"/>
      <c r="Q155" s="221">
        <v>0</v>
      </c>
      <c r="R155" s="231"/>
      <c r="S155" s="232">
        <f t="shared" si="15"/>
        <v>0</v>
      </c>
      <c r="T155" s="153"/>
      <c r="U155" s="14"/>
      <c r="V155" s="14"/>
      <c r="W155" s="14"/>
      <c r="X155" s="14"/>
      <c r="Y155" s="14"/>
      <c r="Z155" s="14"/>
      <c r="AA155" s="185"/>
      <c r="AB155" s="185"/>
      <c r="AC155" s="185"/>
      <c r="AD155" s="185"/>
      <c r="AE155" s="185"/>
      <c r="AF155" s="185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5"/>
      <c r="BC155" s="35"/>
      <c r="BD155" s="35"/>
      <c r="BE155" s="35"/>
      <c r="BF155" s="35"/>
      <c r="BG155" s="14"/>
      <c r="BH155" s="35"/>
      <c r="BI155" s="35"/>
      <c r="BJ155" s="35"/>
      <c r="BK155" s="35"/>
      <c r="BL155" s="35"/>
      <c r="BM155" s="35"/>
      <c r="BN155" s="35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</row>
    <row r="156" spans="1:146" ht="13.5" hidden="1" thickBot="1">
      <c r="B156" s="268" t="s">
        <v>194</v>
      </c>
      <c r="C156" s="268"/>
      <c r="D156" s="269">
        <v>58349549</v>
      </c>
      <c r="E156" s="269">
        <f>SUM(E8:E154)</f>
        <v>0</v>
      </c>
      <c r="F156" s="222">
        <f t="shared" si="11"/>
        <v>58349549</v>
      </c>
      <c r="G156" s="270">
        <f>SUM(G8:G154)-G153</f>
        <v>72196039</v>
      </c>
      <c r="H156" s="270">
        <f>SUM(H8:H154)-H153</f>
        <v>0</v>
      </c>
      <c r="I156" s="271">
        <f t="shared" si="12"/>
        <v>72196039</v>
      </c>
      <c r="J156" s="225"/>
      <c r="K156" s="272" t="s">
        <v>194</v>
      </c>
      <c r="L156" s="227">
        <f t="shared" si="13"/>
        <v>72196039</v>
      </c>
      <c r="M156" s="273">
        <f>SUM(M8:M154)-M153</f>
        <v>0</v>
      </c>
      <c r="N156" s="273">
        <f>SUM(N8:N154)-N153</f>
        <v>72196039</v>
      </c>
      <c r="O156" s="274">
        <f>+Q156+P156</f>
        <v>58349549</v>
      </c>
      <c r="P156" s="275">
        <f>SUM(P8:P154)-P153</f>
        <v>0</v>
      </c>
      <c r="Q156" s="275">
        <v>58349549</v>
      </c>
      <c r="R156" s="276"/>
      <c r="S156" s="277" t="str">
        <f t="shared" si="15"/>
        <v>TOTALI</v>
      </c>
      <c r="T156" s="153"/>
      <c r="U156" s="14"/>
      <c r="V156" s="14"/>
      <c r="W156" s="14"/>
      <c r="X156" s="14"/>
      <c r="Y156" s="14"/>
      <c r="Z156" s="14"/>
      <c r="AA156" s="185"/>
      <c r="AB156" s="185"/>
      <c r="AC156" s="185"/>
      <c r="AD156" s="185"/>
      <c r="AE156" s="185"/>
      <c r="AF156" s="185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5"/>
      <c r="BC156" s="35"/>
      <c r="BD156" s="35"/>
      <c r="BE156" s="35"/>
      <c r="BF156" s="35"/>
      <c r="BG156" s="14"/>
      <c r="BH156" s="35"/>
      <c r="BI156" s="35"/>
      <c r="BJ156" s="35"/>
      <c r="BK156" s="35"/>
      <c r="BL156" s="35"/>
      <c r="BM156" s="14"/>
      <c r="BN156" s="136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</row>
    <row r="157" spans="1:146" ht="15.75" hidden="1" thickTop="1">
      <c r="B157" s="173"/>
      <c r="C157" s="169"/>
      <c r="D157" s="173"/>
      <c r="E157" s="173"/>
      <c r="F157" s="170">
        <f>+F156-O156</f>
        <v>0</v>
      </c>
      <c r="G157" s="170">
        <f>+G156-N156</f>
        <v>0</v>
      </c>
      <c r="H157" s="174">
        <f>H156-M156</f>
        <v>0</v>
      </c>
      <c r="I157" s="174">
        <f>+I156-L156</f>
        <v>0</v>
      </c>
      <c r="J157" s="173"/>
      <c r="K157" s="173"/>
      <c r="L157" s="173"/>
      <c r="M157" s="173"/>
      <c r="N157" s="225">
        <f>+N156-G156</f>
        <v>0</v>
      </c>
      <c r="O157" s="170"/>
      <c r="P157" s="170"/>
      <c r="Q157" s="170">
        <f>+Q156-D156</f>
        <v>0</v>
      </c>
      <c r="R157" s="19"/>
      <c r="S157" s="11"/>
      <c r="T157" s="14"/>
      <c r="U157" s="14"/>
      <c r="V157" s="14"/>
      <c r="W157" s="14"/>
      <c r="X157" s="14"/>
      <c r="Y157" s="14"/>
      <c r="Z157" s="14"/>
      <c r="AA157" s="185"/>
      <c r="AB157" s="185"/>
      <c r="AC157" s="185"/>
      <c r="AD157" s="185"/>
      <c r="AE157" s="185"/>
      <c r="AF157" s="185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5"/>
      <c r="BC157" s="35"/>
      <c r="BD157" s="35"/>
      <c r="BE157" s="35"/>
      <c r="BF157" s="35"/>
      <c r="BG157" s="14"/>
      <c r="BH157" s="35"/>
      <c r="BI157" s="5"/>
      <c r="BJ157" s="5"/>
      <c r="BK157" s="5"/>
      <c r="BL157" s="5"/>
      <c r="BM157" s="14"/>
      <c r="BN157" s="136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</row>
    <row r="158" spans="1:146" ht="15" hidden="1">
      <c r="A158" s="14"/>
      <c r="B158" s="175"/>
      <c r="C158" s="171"/>
      <c r="D158" s="172">
        <f>+D156-Q156</f>
        <v>0</v>
      </c>
      <c r="E158" s="172"/>
      <c r="F158" s="172"/>
      <c r="G158" s="189">
        <f>SUM(G87:G135)+G145-N89-N90-N92</f>
        <v>19011136</v>
      </c>
      <c r="H158" s="189">
        <f>SUM(H87:H135)+H145-O89-O90-O92</f>
        <v>0</v>
      </c>
      <c r="I158" s="174">
        <f>+G158+H158</f>
        <v>19011136</v>
      </c>
      <c r="J158" s="175"/>
      <c r="K158" s="172"/>
      <c r="L158" s="172"/>
      <c r="M158" s="172"/>
      <c r="N158" s="175"/>
      <c r="O158" s="175"/>
      <c r="P158" s="175"/>
      <c r="Q158" s="176">
        <v>2133540</v>
      </c>
      <c r="R158" s="15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5"/>
      <c r="BC158" s="35"/>
      <c r="BD158" s="35"/>
      <c r="BE158" s="35"/>
      <c r="BF158" s="35"/>
      <c r="BG158" s="14"/>
      <c r="BH158" s="35"/>
      <c r="BI158" s="5"/>
      <c r="BJ158" s="5"/>
      <c r="BK158" s="5"/>
      <c r="BL158" s="5"/>
      <c r="BM158" s="14"/>
      <c r="BN158" s="136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</row>
    <row r="159" spans="1:146" ht="15" hidden="1">
      <c r="A159" s="14"/>
      <c r="B159" s="175"/>
      <c r="C159" s="171"/>
      <c r="D159" s="171">
        <v>2133540</v>
      </c>
      <c r="E159" s="171"/>
      <c r="F159" s="171"/>
      <c r="G159" s="278">
        <v>377437004</v>
      </c>
      <c r="H159" s="171"/>
      <c r="I159" s="174">
        <f>+L153-I158</f>
        <v>2099158</v>
      </c>
      <c r="J159" s="171"/>
      <c r="K159" s="171"/>
      <c r="L159" s="171">
        <f>+I159/L153*100</f>
        <v>9.9437648760363064</v>
      </c>
      <c r="M159" s="171"/>
      <c r="N159" s="174">
        <f>+N153-N150</f>
        <v>21110232</v>
      </c>
      <c r="O159" s="174"/>
      <c r="P159" s="174"/>
      <c r="Q159" s="176">
        <f>+Q156-Q158</f>
        <v>56216009</v>
      </c>
      <c r="R159" s="15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5"/>
      <c r="BC159" s="35"/>
      <c r="BD159" s="35"/>
      <c r="BE159" s="35"/>
      <c r="BF159" s="35"/>
      <c r="BG159" s="14"/>
      <c r="BH159" s="35"/>
      <c r="BI159" s="5"/>
      <c r="BJ159" s="5"/>
      <c r="BK159" s="5"/>
      <c r="BL159" s="5"/>
      <c r="BM159" s="14"/>
      <c r="BN159" s="136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</row>
    <row r="160" spans="1:146" ht="15" hidden="1">
      <c r="A160" s="14"/>
      <c r="B160" s="175"/>
      <c r="C160" s="171"/>
      <c r="D160" s="174">
        <f>+D156-D159</f>
        <v>56216009</v>
      </c>
      <c r="E160" s="174"/>
      <c r="F160" s="174"/>
      <c r="G160" s="256">
        <v>376664218</v>
      </c>
      <c r="H160" s="174">
        <f>H158-M153</f>
        <v>0</v>
      </c>
      <c r="I160" s="177">
        <f>I123</f>
        <v>351780</v>
      </c>
      <c r="J160" s="177"/>
      <c r="K160" s="177"/>
      <c r="L160" s="177"/>
      <c r="M160" s="171"/>
      <c r="N160" s="171"/>
      <c r="O160" s="171"/>
      <c r="P160" s="171"/>
      <c r="Q160" s="279">
        <v>31430356</v>
      </c>
      <c r="R160" s="15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6"/>
      <c r="BC160" s="136"/>
      <c r="BD160" s="136"/>
      <c r="BE160" s="136"/>
      <c r="BF160" s="136"/>
      <c r="BG160" s="14"/>
      <c r="BH160" s="35"/>
      <c r="BI160" s="5"/>
      <c r="BJ160" s="5"/>
      <c r="BK160" s="5"/>
      <c r="BL160" s="5"/>
      <c r="BM160" s="14"/>
      <c r="BN160" s="136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</row>
    <row r="161" spans="1:146" ht="15">
      <c r="A161" s="14"/>
      <c r="B161" s="175"/>
      <c r="C161" s="178"/>
      <c r="D161" s="174">
        <f>SUM(D158:D160)</f>
        <v>58349549</v>
      </c>
      <c r="E161" s="171"/>
      <c r="F161" s="171"/>
      <c r="G161" s="174">
        <f>G159-G160</f>
        <v>772786</v>
      </c>
      <c r="H161" s="171"/>
      <c r="I161" s="177">
        <f>I159+I160</f>
        <v>2450938</v>
      </c>
      <c r="J161" s="177"/>
      <c r="K161" s="177"/>
      <c r="L161" s="177">
        <f>L162-L163</f>
        <v>-351780.20000000019</v>
      </c>
      <c r="M161" s="174">
        <f>H157-L161</f>
        <v>351780.20000000019</v>
      </c>
      <c r="N161" s="171"/>
      <c r="O161" s="171"/>
      <c r="P161" s="171"/>
      <c r="Q161" s="279">
        <f>+Q159-Q160</f>
        <v>24785653</v>
      </c>
      <c r="R161" s="15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6"/>
      <c r="BC161" s="136"/>
      <c r="BD161" s="136"/>
      <c r="BE161" s="136"/>
      <c r="BF161" s="136"/>
      <c r="BG161" s="14"/>
      <c r="BH161" s="35"/>
      <c r="BI161" s="5"/>
      <c r="BJ161" s="5"/>
      <c r="BK161" s="5"/>
      <c r="BL161" s="5"/>
      <c r="BM161" s="14"/>
      <c r="BN161" s="136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</row>
    <row r="162" spans="1:146" ht="15.75">
      <c r="A162" s="14"/>
      <c r="B162" s="175"/>
      <c r="C162" s="171"/>
      <c r="D162" s="171">
        <v>22063776</v>
      </c>
      <c r="E162" s="171"/>
      <c r="F162" s="171"/>
      <c r="G162" s="174"/>
      <c r="H162" s="171">
        <v>5256402</v>
      </c>
      <c r="I162" s="177">
        <f>+I161*0.1</f>
        <v>245093.80000000002</v>
      </c>
      <c r="J162" s="177"/>
      <c r="K162" s="177"/>
      <c r="L162" s="177">
        <f>+I157*0.1</f>
        <v>0</v>
      </c>
      <c r="M162" s="171"/>
      <c r="N162" s="174"/>
      <c r="O162" s="171"/>
      <c r="P162" s="171"/>
      <c r="Q162" s="171"/>
      <c r="R162" s="15"/>
      <c r="V162" s="18" t="s">
        <v>423</v>
      </c>
      <c r="W162" s="18"/>
      <c r="X162" s="18"/>
      <c r="Y162" s="96"/>
      <c r="Z162" s="96"/>
      <c r="AL162" s="18" t="s">
        <v>427</v>
      </c>
    </row>
    <row r="163" spans="1:146" ht="15.75" thickBot="1">
      <c r="A163" s="14"/>
      <c r="B163" s="175"/>
      <c r="C163" s="171"/>
      <c r="D163" s="174">
        <f>+D158-D162</f>
        <v>-22063776</v>
      </c>
      <c r="E163" s="171"/>
      <c r="F163" s="171"/>
      <c r="G163" s="174">
        <v>1073367</v>
      </c>
      <c r="H163" s="174"/>
      <c r="I163" s="177">
        <f>+I161-I162</f>
        <v>2205844.2000000002</v>
      </c>
      <c r="J163" s="171"/>
      <c r="K163" s="174">
        <f>+L14</f>
        <v>1854064</v>
      </c>
      <c r="L163" s="177">
        <f>I163-K163</f>
        <v>351780.20000000019</v>
      </c>
      <c r="M163" s="171"/>
      <c r="N163" s="174"/>
      <c r="O163" s="171"/>
      <c r="P163" s="171"/>
      <c r="Q163" s="171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V163" s="65"/>
    </row>
    <row r="164" spans="1:146" ht="42.75" customHeight="1" thickTop="1">
      <c r="A164" s="14"/>
      <c r="B164" s="175"/>
      <c r="C164" s="171"/>
      <c r="D164" s="171"/>
      <c r="E164" s="171"/>
      <c r="F164" s="171" t="s">
        <v>411</v>
      </c>
      <c r="G164" s="174">
        <f>+G154-G163</f>
        <v>1025791</v>
      </c>
      <c r="H164" s="171"/>
      <c r="I164" s="186">
        <v>1046201</v>
      </c>
      <c r="J164" s="171"/>
      <c r="K164" s="171"/>
      <c r="L164" s="174"/>
      <c r="M164" s="171"/>
      <c r="N164" s="171"/>
      <c r="O164" s="171"/>
      <c r="P164" s="171"/>
      <c r="Q164" s="171"/>
      <c r="T164" s="372"/>
      <c r="U164" s="33"/>
      <c r="V164" s="373" t="s">
        <v>85</v>
      </c>
      <c r="W164" s="373"/>
      <c r="X164" s="374"/>
      <c r="Y164" s="374"/>
      <c r="Z164" s="375"/>
      <c r="AA164" s="376"/>
      <c r="AB164" s="368" t="s">
        <v>21</v>
      </c>
      <c r="AC164" s="368" t="s">
        <v>424</v>
      </c>
      <c r="AD164" s="368" t="s">
        <v>362</v>
      </c>
      <c r="AE164" s="368" t="s">
        <v>425</v>
      </c>
      <c r="AF164" s="368" t="s">
        <v>33</v>
      </c>
      <c r="AG164" s="368" t="s">
        <v>56</v>
      </c>
      <c r="AH164" s="369" t="s">
        <v>421</v>
      </c>
      <c r="AI164" s="43"/>
      <c r="AK164" s="89" t="s">
        <v>29</v>
      </c>
      <c r="AL164" s="32"/>
      <c r="AM164" s="32"/>
      <c r="AN164" s="32"/>
      <c r="AO164" s="32"/>
      <c r="AP164" s="41"/>
      <c r="AQ164" s="32"/>
      <c r="AR164" s="32"/>
      <c r="AS164" s="87" t="s">
        <v>21</v>
      </c>
      <c r="AT164" s="87" t="s">
        <v>424</v>
      </c>
      <c r="AU164" s="87" t="s">
        <v>362</v>
      </c>
      <c r="AV164" s="87" t="s">
        <v>425</v>
      </c>
      <c r="AW164" s="87" t="s">
        <v>33</v>
      </c>
      <c r="AX164" s="87" t="s">
        <v>56</v>
      </c>
      <c r="AY164" s="86" t="s">
        <v>421</v>
      </c>
      <c r="AZ164" s="30"/>
    </row>
    <row r="165" spans="1:146" ht="15.75">
      <c r="A165" s="14"/>
      <c r="B165" s="175"/>
      <c r="C165" s="171"/>
      <c r="D165" s="179"/>
      <c r="E165" s="179"/>
      <c r="F165" s="179"/>
      <c r="G165" s="179"/>
      <c r="H165" s="171"/>
      <c r="I165" s="171">
        <v>28520</v>
      </c>
      <c r="J165" s="171"/>
      <c r="K165" s="171"/>
      <c r="L165" s="171"/>
      <c r="M165" s="171"/>
      <c r="N165" s="171"/>
      <c r="O165" s="171"/>
      <c r="P165" s="171"/>
      <c r="Q165" s="171"/>
      <c r="T165" s="464" t="s">
        <v>286</v>
      </c>
      <c r="U165" s="465" t="s">
        <v>34</v>
      </c>
      <c r="V165" s="466"/>
      <c r="W165" s="466"/>
      <c r="X165" s="467"/>
      <c r="Y165" s="467"/>
      <c r="Z165" s="467"/>
      <c r="AA165" s="467"/>
      <c r="AB165" s="282"/>
      <c r="AC165" s="485"/>
      <c r="AD165" s="485"/>
      <c r="AE165" s="485"/>
      <c r="AF165" s="486"/>
      <c r="AG165" s="431"/>
      <c r="AH165" s="432"/>
      <c r="AI165" s="44"/>
      <c r="AK165" s="90">
        <v>1</v>
      </c>
      <c r="AL165" s="120" t="s">
        <v>227</v>
      </c>
      <c r="AM165" s="154"/>
      <c r="AN165" s="154"/>
      <c r="AO165" s="154"/>
      <c r="AP165" s="154"/>
      <c r="AQ165" s="154"/>
      <c r="AR165" s="154"/>
      <c r="AS165" s="40"/>
      <c r="AT165" s="492">
        <f>+N136+N137+N138</f>
        <v>19660232</v>
      </c>
      <c r="AU165" s="294">
        <f>+M136+M137+M138</f>
        <v>0</v>
      </c>
      <c r="AV165" s="294">
        <f>+AT165+AU165</f>
        <v>19660232</v>
      </c>
      <c r="AW165" s="493">
        <v>10746102</v>
      </c>
      <c r="AX165" s="294">
        <f>+P136+P137+P138</f>
        <v>0</v>
      </c>
      <c r="AY165" s="494">
        <f>+AW165+AX165</f>
        <v>10746102</v>
      </c>
      <c r="AZ165" s="115"/>
    </row>
    <row r="166" spans="1:146" ht="15.75">
      <c r="A166" s="14"/>
      <c r="B166" s="175"/>
      <c r="C166" s="171"/>
      <c r="D166" s="176"/>
      <c r="E166" s="176"/>
      <c r="F166" s="176"/>
      <c r="G166" s="176"/>
      <c r="H166" s="174"/>
      <c r="I166" s="174">
        <f>SUM(I164:I165)</f>
        <v>1074721</v>
      </c>
      <c r="J166" s="171"/>
      <c r="K166" s="171"/>
      <c r="L166" s="171"/>
      <c r="M166" s="171"/>
      <c r="N166" s="171"/>
      <c r="O166" s="171"/>
      <c r="P166" s="171"/>
      <c r="Q166" s="171"/>
      <c r="T166" s="468" t="s">
        <v>284</v>
      </c>
      <c r="U166" s="465" t="s">
        <v>226</v>
      </c>
      <c r="V166" s="469"/>
      <c r="W166" s="469"/>
      <c r="X166" s="467"/>
      <c r="Y166" s="467"/>
      <c r="Z166" s="467"/>
      <c r="AA166" s="467"/>
      <c r="AB166" s="282"/>
      <c r="AC166" s="487"/>
      <c r="AD166" s="487"/>
      <c r="AE166" s="487"/>
      <c r="AF166" s="235"/>
      <c r="AG166" s="282"/>
      <c r="AH166" s="283"/>
      <c r="AI166" s="45"/>
      <c r="AK166" s="91">
        <v>2</v>
      </c>
      <c r="AL166" s="120" t="s">
        <v>228</v>
      </c>
      <c r="AM166" s="155"/>
      <c r="AN166" s="155"/>
      <c r="AO166" s="155"/>
      <c r="AP166" s="155"/>
      <c r="AQ166" s="155"/>
      <c r="AR166" s="155"/>
      <c r="AS166" s="37"/>
      <c r="AT166" s="495">
        <f>N139+N140+N141+N142+N143+N144+N146+N147+N148+N149-G120</f>
        <v>1450000</v>
      </c>
      <c r="AU166" s="294">
        <f>M139+M140+M141+M142+M143+M144+M146+M147+M148</f>
        <v>0</v>
      </c>
      <c r="AV166" s="294">
        <f t="shared" ref="AV166:AV186" si="16">+AT166+AU166</f>
        <v>1450000</v>
      </c>
      <c r="AW166" s="493">
        <v>0</v>
      </c>
      <c r="AX166" s="294">
        <f>P139+P140+P141+P142+P143+P144+P147+P148</f>
        <v>0</v>
      </c>
      <c r="AY166" s="494">
        <f t="shared" ref="AY166:AY185" si="17">+AW166+AX166</f>
        <v>0</v>
      </c>
      <c r="AZ166" s="115"/>
      <c r="BB166" s="2" t="s">
        <v>147</v>
      </c>
      <c r="BC166" s="2"/>
    </row>
    <row r="167" spans="1:146" ht="15.75">
      <c r="A167" s="14"/>
      <c r="B167" s="175"/>
      <c r="C167" s="171"/>
      <c r="D167" s="176"/>
      <c r="E167" s="176"/>
      <c r="F167" s="176"/>
      <c r="G167" s="176"/>
      <c r="H167" s="171"/>
      <c r="I167" s="171"/>
      <c r="J167" s="171"/>
      <c r="K167" s="171"/>
      <c r="L167" s="171"/>
      <c r="M167" s="171"/>
      <c r="N167" s="171"/>
      <c r="O167" s="171"/>
      <c r="P167" s="171"/>
      <c r="Q167" s="171"/>
      <c r="T167" s="468">
        <v>1</v>
      </c>
      <c r="U167" s="470" t="s">
        <v>35</v>
      </c>
      <c r="V167" s="467"/>
      <c r="W167" s="467"/>
      <c r="X167" s="467"/>
      <c r="Y167" s="467"/>
      <c r="Z167" s="467"/>
      <c r="AA167" s="284">
        <f>AE167-AH167</f>
        <v>-563533</v>
      </c>
      <c r="AB167" s="282"/>
      <c r="AC167" s="409">
        <f>SUM(G73:G85)</f>
        <v>274378</v>
      </c>
      <c r="AD167" s="409">
        <f>SUM(H73:H85)</f>
        <v>0</v>
      </c>
      <c r="AE167" s="409">
        <f>+AC167+AD167</f>
        <v>274378</v>
      </c>
      <c r="AF167" s="409">
        <v>837911</v>
      </c>
      <c r="AG167" s="409">
        <f>SUM(E73:E85)</f>
        <v>0</v>
      </c>
      <c r="AH167" s="416">
        <f>+AF167+AG167</f>
        <v>837911</v>
      </c>
      <c r="AI167" s="46"/>
      <c r="AK167" s="91">
        <v>3</v>
      </c>
      <c r="AL167" s="120" t="s">
        <v>96</v>
      </c>
      <c r="AM167" s="155"/>
      <c r="AN167" s="155"/>
      <c r="AO167" s="155"/>
      <c r="AP167" s="155"/>
      <c r="AQ167" s="155"/>
      <c r="AR167" s="155"/>
      <c r="AS167" s="160"/>
      <c r="AT167" s="495">
        <f>+N145</f>
        <v>0</v>
      </c>
      <c r="AU167" s="495">
        <f>+M145</f>
        <v>0</v>
      </c>
      <c r="AV167" s="294">
        <f t="shared" si="16"/>
        <v>0</v>
      </c>
      <c r="AW167" s="495">
        <v>0</v>
      </c>
      <c r="AX167" s="495">
        <f>+P145</f>
        <v>0</v>
      </c>
      <c r="AY167" s="494">
        <f t="shared" si="17"/>
        <v>0</v>
      </c>
      <c r="AZ167" s="115" t="s">
        <v>239</v>
      </c>
      <c r="BB167" s="13" t="s">
        <v>86</v>
      </c>
    </row>
    <row r="168" spans="1:146" ht="15.75">
      <c r="A168" s="14"/>
      <c r="B168" s="175"/>
      <c r="C168" s="171"/>
      <c r="D168" s="176"/>
      <c r="E168" s="176"/>
      <c r="F168" s="176"/>
      <c r="G168" s="176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T168" s="468">
        <v>2</v>
      </c>
      <c r="U168" s="470" t="s">
        <v>36</v>
      </c>
      <c r="V168" s="467"/>
      <c r="W168" s="467"/>
      <c r="X168" s="467"/>
      <c r="Y168" s="467"/>
      <c r="Z168" s="467"/>
      <c r="AA168" s="284">
        <f t="shared" ref="AA168:AA211" si="18">AE168-AH168</f>
        <v>0</v>
      </c>
      <c r="AB168" s="282"/>
      <c r="AC168" s="409">
        <f>AC169+AC170</f>
        <v>0</v>
      </c>
      <c r="AD168" s="409">
        <f>AD169+AD170</f>
        <v>0</v>
      </c>
      <c r="AE168" s="409">
        <f t="shared" ref="AE168:AE211" si="19">+AC168+AD168</f>
        <v>0</v>
      </c>
      <c r="AF168" s="319">
        <v>0</v>
      </c>
      <c r="AG168" s="319">
        <f>AG169+AG170</f>
        <v>0</v>
      </c>
      <c r="AH168" s="416">
        <f t="shared" ref="AH168:AH210" si="20">+AF168+AG168</f>
        <v>0</v>
      </c>
      <c r="AI168" s="46"/>
      <c r="AK168" s="91">
        <v>4</v>
      </c>
      <c r="AL168" s="120" t="s">
        <v>97</v>
      </c>
      <c r="AM168" s="155"/>
      <c r="AN168" s="155"/>
      <c r="AO168" s="155"/>
      <c r="AP168" s="155"/>
      <c r="AQ168" s="155"/>
      <c r="AR168" s="155"/>
      <c r="AS168" s="37"/>
      <c r="AT168" s="294">
        <f>-(G87+G88+G89+G90+G91+G92-N89-N90-N92)</f>
        <v>-13822609</v>
      </c>
      <c r="AU168" s="294">
        <f>-(H87+H88+H89+H90+H91+H92-M89-M90-M92)</f>
        <v>0</v>
      </c>
      <c r="AV168" s="294">
        <f t="shared" si="16"/>
        <v>-13822609</v>
      </c>
      <c r="AW168" s="294">
        <v>-2989426</v>
      </c>
      <c r="AX168" s="495">
        <f>+P146</f>
        <v>0</v>
      </c>
      <c r="AY168" s="494">
        <f t="shared" si="17"/>
        <v>-2989426</v>
      </c>
      <c r="AZ168" s="115"/>
    </row>
    <row r="169" spans="1:146" ht="15.75">
      <c r="A169" s="14"/>
      <c r="B169" s="175"/>
      <c r="C169" s="171"/>
      <c r="D169" s="176"/>
      <c r="E169" s="176"/>
      <c r="F169" s="176"/>
      <c r="G169" s="176"/>
      <c r="H169" s="171"/>
      <c r="I169" s="171" t="s">
        <v>416</v>
      </c>
      <c r="J169" s="171"/>
      <c r="K169" s="171" t="s">
        <v>417</v>
      </c>
      <c r="L169" s="171">
        <f>12*96666</f>
        <v>1159992</v>
      </c>
      <c r="M169" s="171"/>
      <c r="N169" s="171"/>
      <c r="O169" s="171"/>
      <c r="P169" s="171"/>
      <c r="Q169" s="171"/>
      <c r="T169" s="471" t="s">
        <v>376</v>
      </c>
      <c r="U169" s="472" t="s">
        <v>37</v>
      </c>
      <c r="V169" s="467"/>
      <c r="W169" s="467"/>
      <c r="X169" s="467"/>
      <c r="Y169" s="467"/>
      <c r="Z169" s="467"/>
      <c r="AA169" s="284">
        <f t="shared" si="18"/>
        <v>0</v>
      </c>
      <c r="AB169" s="282"/>
      <c r="AC169" s="418"/>
      <c r="AD169" s="418"/>
      <c r="AE169" s="409">
        <f t="shared" si="19"/>
        <v>0</v>
      </c>
      <c r="AF169" s="484"/>
      <c r="AG169" s="484">
        <v>0</v>
      </c>
      <c r="AH169" s="416">
        <f t="shared" si="20"/>
        <v>0</v>
      </c>
      <c r="AI169" s="47"/>
      <c r="AK169" s="91">
        <v>5</v>
      </c>
      <c r="AL169" s="120" t="s">
        <v>98</v>
      </c>
      <c r="AM169" s="155"/>
      <c r="AN169" s="155"/>
      <c r="AO169" s="155"/>
      <c r="AP169" s="155"/>
      <c r="AQ169" s="155"/>
      <c r="AR169" s="155"/>
      <c r="AS169" s="37"/>
      <c r="AT169" s="294">
        <f>+AT170+AT171</f>
        <v>-2698414</v>
      </c>
      <c r="AU169" s="294">
        <f>+AU170+AU171</f>
        <v>0</v>
      </c>
      <c r="AV169" s="294">
        <f t="shared" si="16"/>
        <v>-2698414</v>
      </c>
      <c r="AW169" s="294">
        <v>-1568099</v>
      </c>
      <c r="AX169" s="294">
        <f>-(E87+E88+E89+E90+E91+E92-P89-P90-P92)</f>
        <v>0</v>
      </c>
      <c r="AY169" s="494">
        <f t="shared" si="17"/>
        <v>-1568099</v>
      </c>
      <c r="AZ169" s="115"/>
      <c r="BB169" s="37"/>
    </row>
    <row r="170" spans="1:146" ht="15">
      <c r="A170" s="14"/>
      <c r="B170" s="175"/>
      <c r="C170" s="171"/>
      <c r="D170" s="176"/>
      <c r="E170" s="176"/>
      <c r="F170" s="176"/>
      <c r="G170" s="176"/>
      <c r="H170" s="176"/>
      <c r="I170" s="171"/>
      <c r="J170" s="171"/>
      <c r="K170" s="171"/>
      <c r="L170" s="171"/>
      <c r="M170" s="171"/>
      <c r="N170" s="171"/>
      <c r="O170" s="171"/>
      <c r="P170" s="171"/>
      <c r="Q170" s="171"/>
      <c r="T170" s="471" t="s">
        <v>377</v>
      </c>
      <c r="U170" s="472" t="s">
        <v>38</v>
      </c>
      <c r="V170" s="467"/>
      <c r="W170" s="467"/>
      <c r="X170" s="467"/>
      <c r="Y170" s="467"/>
      <c r="Z170" s="467"/>
      <c r="AA170" s="284">
        <f t="shared" si="18"/>
        <v>0</v>
      </c>
      <c r="AB170" s="282"/>
      <c r="AC170" s="418"/>
      <c r="AD170" s="418"/>
      <c r="AE170" s="409">
        <f t="shared" si="19"/>
        <v>0</v>
      </c>
      <c r="AF170" s="484"/>
      <c r="AG170" s="282"/>
      <c r="AH170" s="416">
        <f t="shared" si="20"/>
        <v>0</v>
      </c>
      <c r="AI170" s="47"/>
      <c r="AK170" s="92"/>
      <c r="AL170" s="121" t="s">
        <v>348</v>
      </c>
      <c r="AM170" s="155"/>
      <c r="AN170" s="155"/>
      <c r="AO170" s="155"/>
      <c r="AP170" s="155"/>
      <c r="AQ170" s="155"/>
      <c r="AR170" s="155"/>
      <c r="AS170" s="37"/>
      <c r="AT170" s="496">
        <f>+-G114</f>
        <v>-2217267</v>
      </c>
      <c r="AU170" s="496">
        <f>+-H114</f>
        <v>0</v>
      </c>
      <c r="AV170" s="294">
        <f t="shared" si="16"/>
        <v>-2217267</v>
      </c>
      <c r="AW170" s="496">
        <v>-1288495</v>
      </c>
      <c r="AX170" s="496">
        <f>- SUM(E93:E113)-(E117+E118+E119+E121+E122+E123 +E120+E134)</f>
        <v>0</v>
      </c>
      <c r="AY170" s="494">
        <f t="shared" si="17"/>
        <v>-1288495</v>
      </c>
      <c r="AZ170" s="115"/>
      <c r="BB170" s="2" t="s">
        <v>146</v>
      </c>
    </row>
    <row r="171" spans="1:146" ht="15">
      <c r="A171" s="14"/>
      <c r="B171" s="175"/>
      <c r="C171" s="171"/>
      <c r="D171" s="176"/>
      <c r="E171" s="176"/>
      <c r="F171" s="176"/>
      <c r="G171" s="176"/>
      <c r="H171" s="171"/>
      <c r="I171" s="171"/>
      <c r="J171" s="171"/>
      <c r="K171" s="171"/>
      <c r="L171" s="171"/>
      <c r="M171" s="171"/>
      <c r="N171" s="171"/>
      <c r="O171" s="171"/>
      <c r="P171" s="171"/>
      <c r="Q171" s="171"/>
      <c r="T171" s="468"/>
      <c r="U171" s="473" t="s">
        <v>382</v>
      </c>
      <c r="V171" s="467"/>
      <c r="W171" s="467"/>
      <c r="X171" s="467"/>
      <c r="Y171" s="467"/>
      <c r="Z171" s="467"/>
      <c r="AA171" s="284">
        <f t="shared" si="18"/>
        <v>0</v>
      </c>
      <c r="AB171" s="282"/>
      <c r="AC171" s="418"/>
      <c r="AD171" s="418"/>
      <c r="AE171" s="409">
        <f t="shared" si="19"/>
        <v>0</v>
      </c>
      <c r="AF171" s="484"/>
      <c r="AG171" s="282"/>
      <c r="AH171" s="416">
        <f t="shared" si="20"/>
        <v>0</v>
      </c>
      <c r="AI171" s="47"/>
      <c r="AK171" s="92"/>
      <c r="AL171" s="121" t="s">
        <v>349</v>
      </c>
      <c r="AM171" s="155"/>
      <c r="AN171" s="155"/>
      <c r="AO171" s="155"/>
      <c r="AP171" s="155"/>
      <c r="AQ171" s="155"/>
      <c r="AR171" s="155"/>
      <c r="AS171" s="37"/>
      <c r="AT171" s="496">
        <f>+-G115</f>
        <v>-481147</v>
      </c>
      <c r="AU171" s="496">
        <f>+-H115</f>
        <v>0</v>
      </c>
      <c r="AV171" s="294">
        <f t="shared" si="16"/>
        <v>-481147</v>
      </c>
      <c r="AW171" s="496">
        <v>-279604</v>
      </c>
      <c r="AX171" s="294">
        <f>+(AX172+AX173+AX174)</f>
        <v>0</v>
      </c>
      <c r="AY171" s="494">
        <f t="shared" si="17"/>
        <v>-279604</v>
      </c>
      <c r="AZ171" s="115"/>
    </row>
    <row r="172" spans="1:146" ht="15.75">
      <c r="A172" s="14"/>
      <c r="B172" s="175"/>
      <c r="C172" s="178"/>
      <c r="D172" s="181"/>
      <c r="E172" s="181"/>
      <c r="F172" s="181"/>
      <c r="G172" s="181"/>
      <c r="H172" s="182"/>
      <c r="I172" s="171"/>
      <c r="J172" s="171"/>
      <c r="K172" s="171"/>
      <c r="L172" s="171"/>
      <c r="M172" s="171"/>
      <c r="N172" s="171"/>
      <c r="O172" s="171"/>
      <c r="P172" s="171"/>
      <c r="Q172" s="171"/>
      <c r="T172" s="468">
        <v>3</v>
      </c>
      <c r="U172" s="465" t="s">
        <v>40</v>
      </c>
      <c r="V172" s="467"/>
      <c r="W172" s="467"/>
      <c r="X172" s="467"/>
      <c r="Y172" s="467"/>
      <c r="Z172" s="467"/>
      <c r="AA172" s="284">
        <f t="shared" si="18"/>
        <v>1325591</v>
      </c>
      <c r="AB172" s="282"/>
      <c r="AC172" s="409">
        <f>AC173+AC174+AC175+AC176</f>
        <v>7262572</v>
      </c>
      <c r="AD172" s="409">
        <f>AD173+AD174+AD175+AD176</f>
        <v>0</v>
      </c>
      <c r="AE172" s="409">
        <f t="shared" si="19"/>
        <v>7262572</v>
      </c>
      <c r="AF172" s="488">
        <v>5936981</v>
      </c>
      <c r="AG172" s="488">
        <f>AG173+AG174+AG175+AG176</f>
        <v>0</v>
      </c>
      <c r="AH172" s="416">
        <f t="shared" si="20"/>
        <v>5936981</v>
      </c>
      <c r="AI172" s="46">
        <f>+AC172-AF172</f>
        <v>1325591</v>
      </c>
      <c r="AK172" s="93">
        <v>6</v>
      </c>
      <c r="AL172" s="120" t="s">
        <v>350</v>
      </c>
      <c r="AM172" s="155"/>
      <c r="AN172" s="155"/>
      <c r="AO172" s="155"/>
      <c r="AP172" s="155"/>
      <c r="AQ172" s="155"/>
      <c r="AR172" s="155"/>
      <c r="AS172" s="29"/>
      <c r="AT172" s="294">
        <f>+-SUM(G128:G133)</f>
        <v>-640878</v>
      </c>
      <c r="AU172" s="294">
        <f>+-SUM(H128:H133)</f>
        <v>0</v>
      </c>
      <c r="AV172" s="294">
        <f t="shared" si="16"/>
        <v>-640878</v>
      </c>
      <c r="AW172" s="294">
        <v>-779516</v>
      </c>
      <c r="AX172" s="412">
        <f>-E114</f>
        <v>0</v>
      </c>
      <c r="AY172" s="494">
        <f t="shared" si="17"/>
        <v>-779516</v>
      </c>
      <c r="AZ172" s="116"/>
    </row>
    <row r="173" spans="1:146" ht="15">
      <c r="A173" s="14"/>
      <c r="B173" s="175"/>
      <c r="C173" s="178"/>
      <c r="D173" s="181"/>
      <c r="E173" s="181"/>
      <c r="F173" s="181"/>
      <c r="G173" s="181"/>
      <c r="H173" s="182"/>
      <c r="I173" s="171"/>
      <c r="J173" s="171"/>
      <c r="K173" s="171"/>
      <c r="L173" s="171"/>
      <c r="M173" s="171"/>
      <c r="N173" s="171"/>
      <c r="O173" s="171"/>
      <c r="P173" s="171"/>
      <c r="Q173" s="171"/>
      <c r="T173" s="471" t="s">
        <v>376</v>
      </c>
      <c r="U173" s="472" t="s">
        <v>233</v>
      </c>
      <c r="V173" s="467"/>
      <c r="W173" s="467"/>
      <c r="X173" s="467"/>
      <c r="Y173" s="467"/>
      <c r="Z173" s="467"/>
      <c r="AA173" s="284">
        <f t="shared" si="18"/>
        <v>1325591</v>
      </c>
      <c r="AB173" s="282"/>
      <c r="AC173" s="418">
        <f>+G49-N71</f>
        <v>2301790</v>
      </c>
      <c r="AD173" s="418">
        <f>+H49-M71</f>
        <v>0</v>
      </c>
      <c r="AE173" s="409">
        <f t="shared" si="19"/>
        <v>2301790</v>
      </c>
      <c r="AF173" s="418">
        <v>976199</v>
      </c>
      <c r="AG173" s="418">
        <f>+E49-P71</f>
        <v>0</v>
      </c>
      <c r="AH173" s="416">
        <f t="shared" si="20"/>
        <v>976199</v>
      </c>
      <c r="AI173" s="48">
        <f>+AC173-AF173</f>
        <v>1325591</v>
      </c>
      <c r="AK173" s="92">
        <v>7</v>
      </c>
      <c r="AL173" s="120" t="s">
        <v>65</v>
      </c>
      <c r="AM173" s="155"/>
      <c r="AN173" s="155"/>
      <c r="AO173" s="155"/>
      <c r="AP173" s="155"/>
      <c r="AQ173" s="155"/>
      <c r="AR173" s="155"/>
      <c r="AS173" s="29"/>
      <c r="AT173" s="496">
        <f>+-SUM(G93:G113)-SUM(G117:G123)-G134-G116+G120</f>
        <v>-1429897</v>
      </c>
      <c r="AU173" s="496">
        <f>+-SUM(H93:H113)-SUM(H117:H123)-H134-H116</f>
        <v>0</v>
      </c>
      <c r="AV173" s="294">
        <f t="shared" si="16"/>
        <v>-1429897</v>
      </c>
      <c r="AW173" s="496">
        <v>-1740164</v>
      </c>
      <c r="AX173" s="412">
        <f>-E115</f>
        <v>0</v>
      </c>
      <c r="AY173" s="494">
        <f t="shared" si="17"/>
        <v>-1740164</v>
      </c>
      <c r="AZ173" s="116"/>
    </row>
    <row r="174" spans="1:146" ht="15">
      <c r="A174" s="14"/>
      <c r="B174" s="175"/>
      <c r="C174" s="182"/>
      <c r="D174" s="183"/>
      <c r="E174" s="169"/>
      <c r="F174" s="169"/>
      <c r="G174" s="169"/>
      <c r="H174" s="182"/>
      <c r="I174" s="171"/>
      <c r="J174" s="171"/>
      <c r="K174" s="171"/>
      <c r="L174" s="171"/>
      <c r="M174" s="171"/>
      <c r="N174" s="171"/>
      <c r="O174" s="171"/>
      <c r="P174" s="171"/>
      <c r="Q174" s="171"/>
      <c r="T174" s="471" t="s">
        <v>377</v>
      </c>
      <c r="U174" s="472" t="s">
        <v>234</v>
      </c>
      <c r="V174" s="467"/>
      <c r="W174" s="467"/>
      <c r="X174" s="467"/>
      <c r="Y174" s="467"/>
      <c r="Z174" s="467"/>
      <c r="AA174" s="284">
        <f t="shared" si="18"/>
        <v>0</v>
      </c>
      <c r="AB174" s="282"/>
      <c r="AC174" s="418">
        <f>+G46+G47+G50+G51+G52+G54+G55+G56+G57+G58+G59+G60+G62+G63+G64+G68</f>
        <v>4960782</v>
      </c>
      <c r="AD174" s="418">
        <v>0</v>
      </c>
      <c r="AE174" s="409">
        <f t="shared" si="19"/>
        <v>4960782</v>
      </c>
      <c r="AF174" s="419">
        <v>4960782</v>
      </c>
      <c r="AG174" s="419">
        <f>+E46+E47+E50+E51+E52+E54+E55+E56+E58+E59+E60+E62+E63+E64+E68</f>
        <v>0</v>
      </c>
      <c r="AH174" s="416">
        <f t="shared" si="20"/>
        <v>4960782</v>
      </c>
      <c r="AI174" s="48">
        <f>+AC174-AF174</f>
        <v>0</v>
      </c>
      <c r="AK174" s="93">
        <v>8</v>
      </c>
      <c r="AL174" s="120" t="s">
        <v>351</v>
      </c>
      <c r="AM174" s="155"/>
      <c r="AN174" s="155"/>
      <c r="AO174" s="155"/>
      <c r="AP174" s="155"/>
      <c r="AQ174" s="155"/>
      <c r="AR174" s="155"/>
      <c r="AS174" s="29"/>
      <c r="AT174" s="497">
        <f>+AT168+AT169+AT172+AT173</f>
        <v>-18591798</v>
      </c>
      <c r="AU174" s="497">
        <f>+AU168+AU169+AU172+AU173</f>
        <v>0</v>
      </c>
      <c r="AV174" s="294">
        <f t="shared" si="16"/>
        <v>-18591798</v>
      </c>
      <c r="AW174" s="498">
        <v>-7077205</v>
      </c>
      <c r="AX174" s="498">
        <f>+-E116</f>
        <v>0</v>
      </c>
      <c r="AY174" s="494">
        <f t="shared" si="17"/>
        <v>-7077205</v>
      </c>
      <c r="AZ174" s="116"/>
    </row>
    <row r="175" spans="1:146" ht="15.75">
      <c r="A175" s="14"/>
      <c r="B175" s="173"/>
      <c r="C175" s="182"/>
      <c r="D175" s="181"/>
      <c r="E175" s="181"/>
      <c r="F175" s="181"/>
      <c r="G175" s="183"/>
      <c r="H175" s="182"/>
      <c r="I175" s="171"/>
      <c r="J175" s="171"/>
      <c r="K175" s="171"/>
      <c r="L175" s="171"/>
      <c r="M175" s="171"/>
      <c r="N175" s="171"/>
      <c r="O175" s="171"/>
      <c r="P175" s="171"/>
      <c r="Q175" s="171"/>
      <c r="T175" s="471" t="s">
        <v>378</v>
      </c>
      <c r="U175" s="472" t="s">
        <v>235</v>
      </c>
      <c r="V175" s="467"/>
      <c r="W175" s="467"/>
      <c r="X175" s="467"/>
      <c r="Y175" s="467"/>
      <c r="Z175" s="467"/>
      <c r="AA175" s="284">
        <f t="shared" si="18"/>
        <v>0</v>
      </c>
      <c r="AB175" s="282"/>
      <c r="AC175" s="489"/>
      <c r="AD175" s="489"/>
      <c r="AE175" s="409">
        <f t="shared" si="19"/>
        <v>0</v>
      </c>
      <c r="AF175" s="490"/>
      <c r="AG175" s="282"/>
      <c r="AH175" s="416">
        <f t="shared" si="20"/>
        <v>0</v>
      </c>
      <c r="AI175" s="48"/>
      <c r="AK175" s="91">
        <v>9</v>
      </c>
      <c r="AL175" s="122" t="s">
        <v>352</v>
      </c>
      <c r="AM175" s="155"/>
      <c r="AN175" s="155"/>
      <c r="AO175" s="155"/>
      <c r="AP175" s="155"/>
      <c r="AQ175" s="155"/>
      <c r="AR175" s="155"/>
      <c r="AS175" s="37"/>
      <c r="AT175" s="294">
        <f>+AT165+AT166+AT167+AT174</f>
        <v>2518434</v>
      </c>
      <c r="AU175" s="294">
        <f>+AU165+AU166+AU167+AU174</f>
        <v>0</v>
      </c>
      <c r="AV175" s="294">
        <f t="shared" si="16"/>
        <v>2518434</v>
      </c>
      <c r="AW175" s="294">
        <v>3668897</v>
      </c>
      <c r="AX175" s="294">
        <f>- SUM(E128:E132)-E133</f>
        <v>0</v>
      </c>
      <c r="AY175" s="494">
        <f t="shared" si="17"/>
        <v>3668897</v>
      </c>
      <c r="AZ175" s="115">
        <f>+-89844747</f>
        <v>-89844747</v>
      </c>
      <c r="BB175" s="65">
        <f>+AT175+AZ175</f>
        <v>-87326313</v>
      </c>
    </row>
    <row r="176" spans="1:146" ht="15.75">
      <c r="A176" s="14"/>
      <c r="B176" s="175"/>
      <c r="C176" s="182"/>
      <c r="D176" s="181"/>
      <c r="E176" s="181"/>
      <c r="F176" s="181"/>
      <c r="G176" s="181"/>
      <c r="H176" s="182"/>
      <c r="I176" s="171"/>
      <c r="J176" s="171"/>
      <c r="K176" s="171"/>
      <c r="L176" s="171"/>
      <c r="M176" s="171"/>
      <c r="N176" s="171"/>
      <c r="O176" s="171"/>
      <c r="P176" s="171"/>
      <c r="Q176" s="171"/>
      <c r="T176" s="471" t="s">
        <v>379</v>
      </c>
      <c r="U176" s="472" t="s">
        <v>236</v>
      </c>
      <c r="V176" s="467"/>
      <c r="W176" s="467"/>
      <c r="X176" s="467"/>
      <c r="Y176" s="467"/>
      <c r="Z176" s="467"/>
      <c r="AA176" s="284">
        <f t="shared" si="18"/>
        <v>0</v>
      </c>
      <c r="AB176" s="282"/>
      <c r="AC176" s="489"/>
      <c r="AD176" s="489"/>
      <c r="AE176" s="409">
        <f t="shared" si="19"/>
        <v>0</v>
      </c>
      <c r="AF176" s="490"/>
      <c r="AG176" s="282"/>
      <c r="AH176" s="416">
        <f t="shared" si="20"/>
        <v>0</v>
      </c>
      <c r="AI176" s="48"/>
      <c r="AK176" s="91">
        <v>10</v>
      </c>
      <c r="AL176" s="120" t="s">
        <v>99</v>
      </c>
      <c r="AM176" s="155"/>
      <c r="AN176" s="155"/>
      <c r="AO176" s="155"/>
      <c r="AP176" s="155"/>
      <c r="AQ176" s="155"/>
      <c r="AR176" s="155"/>
      <c r="AS176" s="38"/>
      <c r="AT176" s="410">
        <v>0</v>
      </c>
      <c r="AU176" s="410">
        <v>0</v>
      </c>
      <c r="AV176" s="294">
        <f t="shared" si="16"/>
        <v>0</v>
      </c>
      <c r="AW176" s="410">
        <v>0</v>
      </c>
      <c r="AX176" s="410">
        <f>+AX165+AX166+AX167+AX168+AX169+AX170+AX171+AX175</f>
        <v>0</v>
      </c>
      <c r="AY176" s="494">
        <f t="shared" si="17"/>
        <v>0</v>
      </c>
      <c r="AZ176" s="117"/>
      <c r="BB176" s="142">
        <f>+G162</f>
        <v>0</v>
      </c>
    </row>
    <row r="177" spans="1:56" ht="15.75">
      <c r="A177" s="14"/>
      <c r="B177" s="175"/>
      <c r="C177" s="182"/>
      <c r="D177" s="181"/>
      <c r="E177" s="181"/>
      <c r="F177" s="181"/>
      <c r="G177" s="181"/>
      <c r="H177" s="182"/>
      <c r="I177" s="171"/>
      <c r="J177" s="171"/>
      <c r="K177" s="171"/>
      <c r="L177" s="171"/>
      <c r="M177" s="171"/>
      <c r="N177" s="171"/>
      <c r="O177" s="171"/>
      <c r="P177" s="171"/>
      <c r="Q177" s="171"/>
      <c r="T177" s="474"/>
      <c r="U177" s="473" t="s">
        <v>383</v>
      </c>
      <c r="V177" s="467"/>
      <c r="W177" s="467"/>
      <c r="X177" s="467"/>
      <c r="Y177" s="467"/>
      <c r="Z177" s="467"/>
      <c r="AA177" s="284">
        <f t="shared" si="18"/>
        <v>1325591</v>
      </c>
      <c r="AB177" s="282"/>
      <c r="AC177" s="418">
        <f>SUM(AC173:AC176)</f>
        <v>7262572</v>
      </c>
      <c r="AD177" s="418">
        <f>SUM(AD173:AD176)</f>
        <v>0</v>
      </c>
      <c r="AE177" s="409">
        <f t="shared" si="19"/>
        <v>7262572</v>
      </c>
      <c r="AF177" s="484">
        <v>5936981</v>
      </c>
      <c r="AG177" s="484">
        <f>SUM(AG173:AG176)</f>
        <v>0</v>
      </c>
      <c r="AH177" s="416">
        <f t="shared" si="20"/>
        <v>5936981</v>
      </c>
      <c r="AI177" s="47"/>
      <c r="AK177" s="91">
        <v>11</v>
      </c>
      <c r="AL177" s="120" t="s">
        <v>100</v>
      </c>
      <c r="AM177" s="155"/>
      <c r="AN177" s="155"/>
      <c r="AO177" s="155"/>
      <c r="AP177" s="155"/>
      <c r="AQ177" s="155"/>
      <c r="AR177" s="155"/>
      <c r="AS177" s="37"/>
      <c r="AT177" s="294">
        <v>0</v>
      </c>
      <c r="AU177" s="294">
        <v>0</v>
      </c>
      <c r="AV177" s="294">
        <f t="shared" si="16"/>
        <v>0</v>
      </c>
      <c r="AW177" s="294">
        <v>0</v>
      </c>
      <c r="AX177" s="162"/>
      <c r="AY177" s="494">
        <f t="shared" si="17"/>
        <v>0</v>
      </c>
      <c r="AZ177" s="115"/>
      <c r="BB177" s="142">
        <f>+BB175+BB176</f>
        <v>-87326313</v>
      </c>
    </row>
    <row r="178" spans="1:56" ht="15.75">
      <c r="A178" s="14"/>
      <c r="B178" s="175"/>
      <c r="C178" s="182"/>
      <c r="D178" s="181"/>
      <c r="E178" s="181"/>
      <c r="F178" s="181"/>
      <c r="G178" s="181"/>
      <c r="H178" s="182"/>
      <c r="I178" s="171"/>
      <c r="J178" s="171"/>
      <c r="K178" s="171"/>
      <c r="L178" s="171"/>
      <c r="M178" s="171"/>
      <c r="N178" s="171"/>
      <c r="O178" s="171"/>
      <c r="P178" s="171"/>
      <c r="Q178" s="171"/>
      <c r="T178" s="468">
        <v>4</v>
      </c>
      <c r="U178" s="475" t="s">
        <v>237</v>
      </c>
      <c r="V178" s="467"/>
      <c r="W178" s="467"/>
      <c r="X178" s="467"/>
      <c r="Y178" s="467"/>
      <c r="Z178" s="467"/>
      <c r="AA178" s="284">
        <f t="shared" si="18"/>
        <v>4077236</v>
      </c>
      <c r="AB178" s="282"/>
      <c r="AC178" s="409">
        <f>AC179+AC180+AC181+AC182+AC183</f>
        <v>22276133</v>
      </c>
      <c r="AD178" s="409">
        <f>AD179+AD180+AD181+AD182+AD183</f>
        <v>0</v>
      </c>
      <c r="AE178" s="409">
        <f t="shared" si="19"/>
        <v>22276133</v>
      </c>
      <c r="AF178" s="491">
        <v>18198897</v>
      </c>
      <c r="AG178" s="491">
        <f>AG179+AG180+AG181+AG182+AG183</f>
        <v>0</v>
      </c>
      <c r="AH178" s="416">
        <f t="shared" si="20"/>
        <v>18198897</v>
      </c>
      <c r="AI178" s="46"/>
      <c r="AK178" s="91">
        <v>12</v>
      </c>
      <c r="AL178" s="120" t="s">
        <v>101</v>
      </c>
      <c r="AM178" s="155"/>
      <c r="AN178" s="155"/>
      <c r="AO178" s="155"/>
      <c r="AP178" s="155"/>
      <c r="AQ178" s="155"/>
      <c r="AR178" s="155"/>
      <c r="AS178" s="37"/>
      <c r="AT178" s="294">
        <v>0</v>
      </c>
      <c r="AU178" s="294">
        <v>0</v>
      </c>
      <c r="AV178" s="294">
        <f t="shared" si="16"/>
        <v>0</v>
      </c>
      <c r="AW178" s="294">
        <v>0</v>
      </c>
      <c r="AX178" s="162"/>
      <c r="AY178" s="494">
        <f t="shared" si="17"/>
        <v>0</v>
      </c>
      <c r="AZ178" s="115"/>
    </row>
    <row r="179" spans="1:56" ht="15">
      <c r="A179" s="14"/>
      <c r="B179" s="175"/>
      <c r="C179" s="182"/>
      <c r="D179" s="181"/>
      <c r="E179" s="181"/>
      <c r="F179" s="181"/>
      <c r="G179" s="181"/>
      <c r="H179" s="182"/>
      <c r="I179" s="171"/>
      <c r="J179" s="171"/>
      <c r="K179" s="171"/>
      <c r="L179" s="171"/>
      <c r="M179" s="171"/>
      <c r="N179" s="171"/>
      <c r="O179" s="171"/>
      <c r="P179" s="171"/>
      <c r="Q179" s="171"/>
      <c r="T179" s="471" t="s">
        <v>376</v>
      </c>
      <c r="U179" s="472" t="s">
        <v>238</v>
      </c>
      <c r="V179" s="467"/>
      <c r="W179" s="467"/>
      <c r="X179" s="467"/>
      <c r="Y179" s="467"/>
      <c r="Z179" s="467"/>
      <c r="AA179" s="284">
        <f t="shared" si="18"/>
        <v>4222493</v>
      </c>
      <c r="AB179" s="282"/>
      <c r="AC179" s="418">
        <f>+G33+G34</f>
        <v>11639989</v>
      </c>
      <c r="AD179" s="418">
        <f>+H33</f>
        <v>0</v>
      </c>
      <c r="AE179" s="409">
        <f t="shared" si="19"/>
        <v>11639989</v>
      </c>
      <c r="AF179" s="418">
        <v>7417496</v>
      </c>
      <c r="AG179" s="418">
        <f>+E33</f>
        <v>0</v>
      </c>
      <c r="AH179" s="416">
        <f t="shared" si="20"/>
        <v>7417496</v>
      </c>
      <c r="AI179" s="47"/>
      <c r="AK179" s="156"/>
      <c r="AL179" s="121" t="s">
        <v>353</v>
      </c>
      <c r="AM179" s="155"/>
      <c r="AN179" s="155"/>
      <c r="AO179" s="155"/>
      <c r="AP179" s="155"/>
      <c r="AQ179" s="155"/>
      <c r="AR179" s="155"/>
      <c r="AS179" s="37"/>
      <c r="AT179" s="294">
        <v>0</v>
      </c>
      <c r="AU179" s="294">
        <v>0</v>
      </c>
      <c r="AV179" s="294">
        <f t="shared" si="16"/>
        <v>0</v>
      </c>
      <c r="AW179" s="294">
        <v>0</v>
      </c>
      <c r="AX179" s="294"/>
      <c r="AY179" s="494">
        <f t="shared" si="17"/>
        <v>0</v>
      </c>
      <c r="AZ179" s="115"/>
    </row>
    <row r="180" spans="1:56" ht="15">
      <c r="A180" s="14"/>
      <c r="B180" s="175"/>
      <c r="C180" s="182"/>
      <c r="D180" s="181"/>
      <c r="E180" s="181"/>
      <c r="F180" s="181"/>
      <c r="G180" s="181"/>
      <c r="H180" s="182"/>
      <c r="I180" s="171"/>
      <c r="J180" s="171"/>
      <c r="K180" s="171"/>
      <c r="L180" s="171"/>
      <c r="M180" s="171"/>
      <c r="N180" s="171"/>
      <c r="O180" s="171"/>
      <c r="P180" s="171"/>
      <c r="Q180" s="171"/>
      <c r="T180" s="471" t="s">
        <v>377</v>
      </c>
      <c r="U180" s="476" t="s">
        <v>240</v>
      </c>
      <c r="V180" s="467"/>
      <c r="W180" s="467"/>
      <c r="X180" s="467"/>
      <c r="Y180" s="467"/>
      <c r="Z180" s="467"/>
      <c r="AA180" s="284">
        <f t="shared" si="18"/>
        <v>0</v>
      </c>
      <c r="AB180" s="282"/>
      <c r="AC180" s="418">
        <f t="shared" ref="AC180:AD182" si="21">+G41</f>
        <v>0</v>
      </c>
      <c r="AD180" s="418">
        <f t="shared" si="21"/>
        <v>0</v>
      </c>
      <c r="AE180" s="409">
        <f t="shared" si="19"/>
        <v>0</v>
      </c>
      <c r="AF180" s="484">
        <v>0</v>
      </c>
      <c r="AG180" s="484">
        <f>+E41</f>
        <v>0</v>
      </c>
      <c r="AH180" s="416">
        <f t="shared" si="20"/>
        <v>0</v>
      </c>
      <c r="AI180" s="49"/>
      <c r="AK180" s="92"/>
      <c r="AL180" s="121" t="s">
        <v>354</v>
      </c>
      <c r="AM180" s="155"/>
      <c r="AN180" s="155"/>
      <c r="AO180" s="155"/>
      <c r="AP180" s="155"/>
      <c r="AQ180" s="155"/>
      <c r="AR180" s="155"/>
      <c r="AS180" s="29"/>
      <c r="AT180" s="412">
        <f>+N150-G124</f>
        <v>-419276</v>
      </c>
      <c r="AU180" s="412"/>
      <c r="AV180" s="294">
        <f t="shared" si="16"/>
        <v>-419276</v>
      </c>
      <c r="AW180" s="412">
        <v>-902833</v>
      </c>
      <c r="AX180" s="412">
        <v>0</v>
      </c>
      <c r="AY180" s="494">
        <f t="shared" si="17"/>
        <v>-902833</v>
      </c>
      <c r="AZ180" s="116"/>
    </row>
    <row r="181" spans="1:56" ht="15">
      <c r="A181" s="14"/>
      <c r="B181" s="175"/>
      <c r="C181" s="182"/>
      <c r="D181" s="181"/>
      <c r="E181" s="181"/>
      <c r="F181" s="181"/>
      <c r="G181" s="181"/>
      <c r="H181" s="182"/>
      <c r="I181" s="171"/>
      <c r="J181" s="171"/>
      <c r="K181" s="171"/>
      <c r="L181" s="171"/>
      <c r="M181" s="171"/>
      <c r="N181" s="171"/>
      <c r="O181" s="171"/>
      <c r="P181" s="171"/>
      <c r="Q181" s="171"/>
      <c r="T181" s="471" t="s">
        <v>378</v>
      </c>
      <c r="U181" s="472" t="s">
        <v>244</v>
      </c>
      <c r="V181" s="467"/>
      <c r="W181" s="467"/>
      <c r="X181" s="467"/>
      <c r="Y181" s="467"/>
      <c r="Z181" s="467"/>
      <c r="AA181" s="284">
        <f t="shared" si="18"/>
        <v>0</v>
      </c>
      <c r="AB181" s="282"/>
      <c r="AC181" s="418">
        <f t="shared" si="21"/>
        <v>2876332</v>
      </c>
      <c r="AD181" s="418">
        <f t="shared" si="21"/>
        <v>0</v>
      </c>
      <c r="AE181" s="409">
        <f t="shared" si="19"/>
        <v>2876332</v>
      </c>
      <c r="AF181" s="418">
        <v>2876332</v>
      </c>
      <c r="AG181" s="418">
        <f>+E42</f>
        <v>0</v>
      </c>
      <c r="AH181" s="416">
        <f t="shared" si="20"/>
        <v>2876332</v>
      </c>
      <c r="AI181" s="47"/>
      <c r="AK181" s="92"/>
      <c r="AL181" s="121" t="s">
        <v>355</v>
      </c>
      <c r="AM181" s="155"/>
      <c r="AN181" s="155"/>
      <c r="AO181" s="155"/>
      <c r="AP181" s="155"/>
      <c r="AQ181" s="155"/>
      <c r="AR181" s="155"/>
      <c r="AS181" s="29"/>
      <c r="AT181" s="412">
        <f>+N151-(G125+G126)</f>
        <v>0</v>
      </c>
      <c r="AU181" s="412">
        <f>+M151-(H125+H126)</f>
        <v>0</v>
      </c>
      <c r="AV181" s="294">
        <f t="shared" si="16"/>
        <v>0</v>
      </c>
      <c r="AW181" s="412">
        <v>0</v>
      </c>
      <c r="AX181" s="412">
        <f>+P150-E124</f>
        <v>0</v>
      </c>
      <c r="AY181" s="494">
        <f t="shared" si="17"/>
        <v>0</v>
      </c>
      <c r="AZ181" s="116"/>
    </row>
    <row r="182" spans="1:56" ht="15">
      <c r="A182" s="14"/>
      <c r="B182" s="175"/>
      <c r="C182" s="182"/>
      <c r="D182" s="181"/>
      <c r="E182" s="181"/>
      <c r="F182" s="181"/>
      <c r="G182" s="181"/>
      <c r="H182" s="182"/>
      <c r="I182" s="171"/>
      <c r="J182" s="171"/>
      <c r="K182" s="171"/>
      <c r="L182" s="171"/>
      <c r="M182" s="171"/>
      <c r="N182" s="171"/>
      <c r="O182" s="171"/>
      <c r="P182" s="171"/>
      <c r="Q182" s="171"/>
      <c r="T182" s="471" t="s">
        <v>379</v>
      </c>
      <c r="U182" s="472" t="s">
        <v>245</v>
      </c>
      <c r="V182" s="467"/>
      <c r="W182" s="467"/>
      <c r="X182" s="467"/>
      <c r="Y182" s="467"/>
      <c r="Z182" s="467"/>
      <c r="AA182" s="284">
        <f t="shared" si="18"/>
        <v>-145257</v>
      </c>
      <c r="AB182" s="282"/>
      <c r="AC182" s="418">
        <f t="shared" si="21"/>
        <v>7759812</v>
      </c>
      <c r="AD182" s="418">
        <f t="shared" si="21"/>
        <v>0</v>
      </c>
      <c r="AE182" s="409">
        <f t="shared" si="19"/>
        <v>7759812</v>
      </c>
      <c r="AF182" s="418">
        <v>7905069</v>
      </c>
      <c r="AG182" s="418">
        <f>+E43</f>
        <v>0</v>
      </c>
      <c r="AH182" s="416">
        <f t="shared" si="20"/>
        <v>7905069</v>
      </c>
      <c r="AI182" s="47"/>
      <c r="AK182" s="92"/>
      <c r="AL182" s="121" t="s">
        <v>356</v>
      </c>
      <c r="AM182" s="155"/>
      <c r="AN182" s="155"/>
      <c r="AO182" s="155"/>
      <c r="AP182" s="155"/>
      <c r="AQ182" s="155"/>
      <c r="AR182" s="155"/>
      <c r="AS182" s="29"/>
      <c r="AT182" s="412">
        <f>+N152-(G126+G127)</f>
        <v>0</v>
      </c>
      <c r="AU182" s="412">
        <v>0</v>
      </c>
      <c r="AV182" s="412">
        <f t="shared" si="16"/>
        <v>0</v>
      </c>
      <c r="AW182" s="412">
        <v>0</v>
      </c>
      <c r="AX182" s="412"/>
      <c r="AY182" s="494">
        <f t="shared" si="17"/>
        <v>0</v>
      </c>
      <c r="AZ182" s="116"/>
    </row>
    <row r="183" spans="1:56" ht="15.75">
      <c r="A183" s="14"/>
      <c r="B183" s="175"/>
      <c r="C183" s="182"/>
      <c r="D183" s="181"/>
      <c r="E183" s="181"/>
      <c r="F183" s="181"/>
      <c r="G183" s="181"/>
      <c r="H183" s="182"/>
      <c r="I183" s="171"/>
      <c r="J183" s="171"/>
      <c r="K183" s="171"/>
      <c r="L183" s="171"/>
      <c r="M183" s="171"/>
      <c r="N183" s="171"/>
      <c r="O183" s="171"/>
      <c r="P183" s="171"/>
      <c r="Q183" s="171"/>
      <c r="T183" s="471" t="s">
        <v>380</v>
      </c>
      <c r="U183" s="472" t="s">
        <v>246</v>
      </c>
      <c r="V183" s="467"/>
      <c r="W183" s="467"/>
      <c r="X183" s="467"/>
      <c r="Y183" s="467"/>
      <c r="Z183" s="467"/>
      <c r="AA183" s="284">
        <f t="shared" si="18"/>
        <v>0</v>
      </c>
      <c r="AB183" s="282"/>
      <c r="AC183" s="418">
        <f>+G45</f>
        <v>0</v>
      </c>
      <c r="AD183" s="418">
        <f>+H45</f>
        <v>0</v>
      </c>
      <c r="AE183" s="409">
        <f t="shared" si="19"/>
        <v>0</v>
      </c>
      <c r="AF183" s="418">
        <v>0</v>
      </c>
      <c r="AG183" s="418">
        <f>+E45</f>
        <v>0</v>
      </c>
      <c r="AH183" s="416">
        <f t="shared" si="20"/>
        <v>0</v>
      </c>
      <c r="AI183" s="47"/>
      <c r="AK183" s="91">
        <v>13</v>
      </c>
      <c r="AL183" s="122" t="s">
        <v>357</v>
      </c>
      <c r="AM183" s="28"/>
      <c r="AN183" s="155"/>
      <c r="AO183" s="155"/>
      <c r="AP183" s="155"/>
      <c r="AQ183" s="155"/>
      <c r="AR183" s="155"/>
      <c r="AS183" s="29"/>
      <c r="AT183" s="412">
        <f>SUM(AT178:AT182)</f>
        <v>-419276</v>
      </c>
      <c r="AU183" s="412">
        <f>SUM(AU178:AU182)</f>
        <v>0</v>
      </c>
      <c r="AV183" s="412">
        <f t="shared" si="16"/>
        <v>-419276</v>
      </c>
      <c r="AW183" s="412">
        <v>-902833</v>
      </c>
      <c r="AX183" s="454"/>
      <c r="AY183" s="494">
        <f t="shared" si="17"/>
        <v>-902833</v>
      </c>
      <c r="AZ183" s="115"/>
    </row>
    <row r="184" spans="1:56" ht="15.75">
      <c r="A184" s="14"/>
      <c r="B184" s="175"/>
      <c r="C184" s="182"/>
      <c r="D184" s="181"/>
      <c r="E184" s="181"/>
      <c r="F184" s="181"/>
      <c r="G184" s="181"/>
      <c r="H184" s="182"/>
      <c r="I184" s="171"/>
      <c r="J184" s="171"/>
      <c r="K184" s="171"/>
      <c r="L184" s="171"/>
      <c r="M184" s="171"/>
      <c r="N184" s="171"/>
      <c r="O184" s="171"/>
      <c r="P184" s="171"/>
      <c r="Q184" s="171"/>
      <c r="T184" s="474"/>
      <c r="U184" s="473" t="s">
        <v>384</v>
      </c>
      <c r="V184" s="467"/>
      <c r="W184" s="467"/>
      <c r="X184" s="467"/>
      <c r="Y184" s="467"/>
      <c r="Z184" s="467"/>
      <c r="AA184" s="284">
        <f t="shared" si="18"/>
        <v>4077236</v>
      </c>
      <c r="AB184" s="282"/>
      <c r="AC184" s="418">
        <f>SUM(AC179:AC183)</f>
        <v>22276133</v>
      </c>
      <c r="AD184" s="418">
        <f>SUM(AD179:AD183)</f>
        <v>0</v>
      </c>
      <c r="AE184" s="409">
        <f t="shared" si="19"/>
        <v>22276133</v>
      </c>
      <c r="AF184" s="484">
        <v>18198897</v>
      </c>
      <c r="AG184" s="484">
        <f>SUM(AG179:AG183)</f>
        <v>0</v>
      </c>
      <c r="AH184" s="416">
        <f t="shared" si="20"/>
        <v>18198897</v>
      </c>
      <c r="AI184" s="47"/>
      <c r="AK184" s="93">
        <v>14</v>
      </c>
      <c r="AL184" s="122" t="s">
        <v>358</v>
      </c>
      <c r="AM184" s="155"/>
      <c r="AN184" s="155"/>
      <c r="AO184" s="155"/>
      <c r="AP184" s="155"/>
      <c r="AQ184" s="155"/>
      <c r="AR184" s="155"/>
      <c r="AS184" s="37"/>
      <c r="AT184" s="294">
        <f>+AT175+AT183</f>
        <v>2099158</v>
      </c>
      <c r="AU184" s="294">
        <f>+AU175+AU183</f>
        <v>0</v>
      </c>
      <c r="AV184" s="294">
        <f t="shared" si="16"/>
        <v>2099158</v>
      </c>
      <c r="AW184" s="294">
        <v>2766064</v>
      </c>
      <c r="AX184" s="294">
        <f>SUM(AX180:AX183)</f>
        <v>0</v>
      </c>
      <c r="AY184" s="494">
        <f t="shared" si="17"/>
        <v>2766064</v>
      </c>
      <c r="AZ184" s="115"/>
      <c r="BB184" s="65"/>
    </row>
    <row r="185" spans="1:56" ht="15.75">
      <c r="A185" s="14"/>
      <c r="B185" s="175"/>
      <c r="C185" s="182"/>
      <c r="D185" s="181"/>
      <c r="E185" s="181"/>
      <c r="F185" s="181"/>
      <c r="G185" s="184"/>
      <c r="H185" s="182">
        <f>F185*G185</f>
        <v>0</v>
      </c>
      <c r="I185" s="171"/>
      <c r="J185" s="171"/>
      <c r="K185" s="171"/>
      <c r="L185" s="171"/>
      <c r="M185" s="171"/>
      <c r="N185" s="171"/>
      <c r="O185" s="171"/>
      <c r="P185" s="171"/>
      <c r="Q185" s="171"/>
      <c r="T185" s="468">
        <v>5</v>
      </c>
      <c r="U185" s="475" t="s">
        <v>247</v>
      </c>
      <c r="V185" s="467"/>
      <c r="W185" s="467"/>
      <c r="X185" s="467"/>
      <c r="Y185" s="467"/>
      <c r="Z185" s="467"/>
      <c r="AA185" s="284">
        <f t="shared" si="18"/>
        <v>0</v>
      </c>
      <c r="AB185" s="282"/>
      <c r="AC185" s="409">
        <v>0</v>
      </c>
      <c r="AD185" s="409"/>
      <c r="AE185" s="409">
        <f t="shared" si="19"/>
        <v>0</v>
      </c>
      <c r="AF185" s="319">
        <v>0</v>
      </c>
      <c r="AG185" s="282"/>
      <c r="AH185" s="416">
        <f t="shared" si="20"/>
        <v>0</v>
      </c>
      <c r="AI185" s="46"/>
      <c r="AK185" s="93">
        <v>15</v>
      </c>
      <c r="AL185" s="120" t="s">
        <v>359</v>
      </c>
      <c r="AM185" s="155"/>
      <c r="AN185" s="155"/>
      <c r="AO185" s="155"/>
      <c r="AP185" s="155"/>
      <c r="AQ185" s="155"/>
      <c r="AR185" s="155"/>
      <c r="AS185" s="38"/>
      <c r="AT185" s="410">
        <f>+U58</f>
        <v>245093.80000000002</v>
      </c>
      <c r="AU185" s="410">
        <f>+M58</f>
        <v>0</v>
      </c>
      <c r="AV185" s="294">
        <f t="shared" si="16"/>
        <v>245093.80000000002</v>
      </c>
      <c r="AW185" s="294">
        <v>322031</v>
      </c>
      <c r="AX185" s="410">
        <f>+AX176+AX184</f>
        <v>0</v>
      </c>
      <c r="AY185" s="494">
        <f t="shared" si="17"/>
        <v>322031</v>
      </c>
      <c r="AZ185" s="117">
        <f>+AT176+AT184</f>
        <v>2099158</v>
      </c>
      <c r="BB185" s="65">
        <v>1484953</v>
      </c>
    </row>
    <row r="186" spans="1:56" ht="15.75">
      <c r="A186" s="14"/>
      <c r="B186" s="175"/>
      <c r="C186" s="171"/>
      <c r="D186" s="176"/>
      <c r="E186" s="176"/>
      <c r="F186" s="176"/>
      <c r="G186" s="176"/>
      <c r="H186" s="171"/>
      <c r="I186" s="171"/>
      <c r="J186" s="171"/>
      <c r="K186" s="171"/>
      <c r="L186" s="171"/>
      <c r="M186" s="171"/>
      <c r="N186" s="171"/>
      <c r="O186" s="171"/>
      <c r="P186" s="171"/>
      <c r="Q186" s="171"/>
      <c r="T186" s="468">
        <v>6</v>
      </c>
      <c r="U186" s="475" t="s">
        <v>248</v>
      </c>
      <c r="V186" s="467"/>
      <c r="W186" s="467"/>
      <c r="X186" s="467"/>
      <c r="Y186" s="467"/>
      <c r="Z186" s="467"/>
      <c r="AA186" s="284">
        <f t="shared" si="18"/>
        <v>0</v>
      </c>
      <c r="AB186" s="282"/>
      <c r="AC186" s="409">
        <v>0</v>
      </c>
      <c r="AD186" s="409"/>
      <c r="AE186" s="409">
        <f t="shared" si="19"/>
        <v>0</v>
      </c>
      <c r="AF186" s="319">
        <v>0</v>
      </c>
      <c r="AG186" s="282"/>
      <c r="AH186" s="416">
        <f t="shared" si="20"/>
        <v>0</v>
      </c>
      <c r="AI186" s="46"/>
      <c r="AK186" s="93">
        <v>16</v>
      </c>
      <c r="AL186" s="122" t="s">
        <v>360</v>
      </c>
      <c r="AM186" s="155"/>
      <c r="AN186" s="155"/>
      <c r="AO186" s="155"/>
      <c r="AP186" s="155"/>
      <c r="AQ186" s="155"/>
      <c r="AR186" s="155"/>
      <c r="AS186" s="37"/>
      <c r="AT186" s="294">
        <f>+AT184-AT185</f>
        <v>1854064.2</v>
      </c>
      <c r="AU186" s="499">
        <f>+AU184-AU185</f>
        <v>0</v>
      </c>
      <c r="AV186" s="294">
        <f t="shared" si="16"/>
        <v>1854064.2</v>
      </c>
      <c r="AW186" s="294">
        <v>2444033</v>
      </c>
      <c r="AX186" s="294">
        <f>+AX184-AX185</f>
        <v>0</v>
      </c>
      <c r="AY186" s="294">
        <f>+AY184-AY185</f>
        <v>2444033</v>
      </c>
      <c r="AZ186" s="115">
        <f>+(AT185+G123)*0.1</f>
        <v>59687.380000000005</v>
      </c>
      <c r="BB186" s="65">
        <f>+AW185-BB185</f>
        <v>-1162922</v>
      </c>
    </row>
    <row r="187" spans="1:56" ht="15.75">
      <c r="A187" s="14"/>
      <c r="B187" s="175"/>
      <c r="C187" s="171"/>
      <c r="D187" s="176"/>
      <c r="E187" s="176"/>
      <c r="F187" s="176"/>
      <c r="G187" s="176"/>
      <c r="H187" s="171"/>
      <c r="I187" s="171"/>
      <c r="J187" s="171"/>
      <c r="K187" s="171"/>
      <c r="L187" s="171"/>
      <c r="M187" s="171"/>
      <c r="N187" s="171"/>
      <c r="O187" s="171"/>
      <c r="P187" s="171"/>
      <c r="Q187" s="171"/>
      <c r="T187" s="468">
        <v>7</v>
      </c>
      <c r="U187" s="475" t="s">
        <v>249</v>
      </c>
      <c r="V187" s="467"/>
      <c r="W187" s="467"/>
      <c r="X187" s="467"/>
      <c r="Y187" s="467"/>
      <c r="Z187" s="467"/>
      <c r="AA187" s="284">
        <f t="shared" si="18"/>
        <v>0</v>
      </c>
      <c r="AB187" s="282"/>
      <c r="AC187" s="409">
        <f>+G70+G72</f>
        <v>0</v>
      </c>
      <c r="AD187" s="409">
        <f>+H70+H72</f>
        <v>0</v>
      </c>
      <c r="AE187" s="409">
        <f t="shared" si="19"/>
        <v>0</v>
      </c>
      <c r="AF187" s="409">
        <v>0</v>
      </c>
      <c r="AG187" s="409">
        <f>+E70</f>
        <v>0</v>
      </c>
      <c r="AH187" s="416">
        <f t="shared" si="20"/>
        <v>0</v>
      </c>
      <c r="AI187" s="46"/>
      <c r="AK187" s="157">
        <v>17</v>
      </c>
      <c r="AL187" s="158" t="s">
        <v>361</v>
      </c>
      <c r="AM187" s="159"/>
      <c r="AN187" s="159"/>
      <c r="AO187" s="159"/>
      <c r="AP187" s="155"/>
      <c r="AQ187" s="155"/>
      <c r="AR187" s="155"/>
      <c r="AS187" s="37"/>
      <c r="AT187" s="294"/>
      <c r="AU187" s="294"/>
      <c r="AV187" s="294"/>
      <c r="AW187" s="294"/>
      <c r="AX187" s="294"/>
      <c r="AY187" s="494"/>
      <c r="AZ187" s="115">
        <f>+AT185-AZ186</f>
        <v>185406.42</v>
      </c>
      <c r="BB187" s="65"/>
      <c r="BD187" s="65"/>
    </row>
    <row r="188" spans="1:56" ht="15.75">
      <c r="A188" s="14"/>
      <c r="B188" s="175"/>
      <c r="C188" s="171"/>
      <c r="D188" s="176"/>
      <c r="E188" s="176"/>
      <c r="F188" s="176"/>
      <c r="G188" s="176"/>
      <c r="H188" s="171"/>
      <c r="I188" s="171"/>
      <c r="J188" s="171"/>
      <c r="K188" s="171"/>
      <c r="L188" s="171"/>
      <c r="M188" s="171"/>
      <c r="N188" s="171"/>
      <c r="O188" s="171"/>
      <c r="P188" s="171"/>
      <c r="Q188" s="171"/>
      <c r="T188" s="468"/>
      <c r="U188" s="475" t="s">
        <v>381</v>
      </c>
      <c r="V188" s="467"/>
      <c r="W188" s="467"/>
      <c r="X188" s="467"/>
      <c r="Y188" s="467"/>
      <c r="Z188" s="467"/>
      <c r="AA188" s="284">
        <f t="shared" si="18"/>
        <v>4839294</v>
      </c>
      <c r="AB188" s="282"/>
      <c r="AC188" s="409">
        <f>+AC167+AC172+AC178+AC185+AC186+AC187</f>
        <v>29813083</v>
      </c>
      <c r="AD188" s="409">
        <f>+AD167+AD172+AD178+AD185+AD186+AD187</f>
        <v>0</v>
      </c>
      <c r="AE188" s="409">
        <f t="shared" si="19"/>
        <v>29813083</v>
      </c>
      <c r="AF188" s="319">
        <v>24973789</v>
      </c>
      <c r="AG188" s="319">
        <f>+AG167+AG172+AG178+AG185+AG186+AG187</f>
        <v>0</v>
      </c>
      <c r="AH188" s="416">
        <f t="shared" si="20"/>
        <v>24973789</v>
      </c>
      <c r="AI188" s="46"/>
      <c r="AK188" s="157"/>
      <c r="AL188" s="158"/>
      <c r="AM188" s="159"/>
      <c r="AN188" s="159"/>
      <c r="AO188" s="159"/>
      <c r="AP188" s="159"/>
      <c r="AQ188" s="159"/>
      <c r="AR188" s="159"/>
      <c r="AS188" s="161"/>
      <c r="AT188" s="163"/>
      <c r="AU188" s="163"/>
      <c r="AV188" s="124"/>
      <c r="AW188" s="124"/>
      <c r="AX188" s="88"/>
      <c r="AY188" s="147"/>
      <c r="AZ188" s="115"/>
    </row>
    <row r="189" spans="1:56" ht="16.5" thickBot="1">
      <c r="A189" s="14"/>
      <c r="B189" s="175"/>
      <c r="C189" s="171"/>
      <c r="D189" s="176"/>
      <c r="E189" s="176"/>
      <c r="F189" s="176"/>
      <c r="G189" s="176"/>
      <c r="H189" s="171"/>
      <c r="I189" s="171"/>
      <c r="J189" s="171"/>
      <c r="K189" s="171"/>
      <c r="L189" s="171"/>
      <c r="M189" s="171"/>
      <c r="N189" s="171"/>
      <c r="O189" s="171"/>
      <c r="P189" s="171"/>
      <c r="Q189" s="171"/>
      <c r="T189" s="468" t="s">
        <v>285</v>
      </c>
      <c r="U189" s="470" t="s">
        <v>250</v>
      </c>
      <c r="V189" s="467"/>
      <c r="W189" s="467"/>
      <c r="X189" s="467"/>
      <c r="Y189" s="467"/>
      <c r="Z189" s="467"/>
      <c r="AA189" s="284">
        <f t="shared" si="18"/>
        <v>0</v>
      </c>
      <c r="AB189" s="282"/>
      <c r="AC189" s="409"/>
      <c r="AD189" s="409"/>
      <c r="AE189" s="409">
        <f t="shared" si="19"/>
        <v>0</v>
      </c>
      <c r="AF189" s="319"/>
      <c r="AG189" s="282"/>
      <c r="AH189" s="416">
        <f t="shared" si="20"/>
        <v>0</v>
      </c>
      <c r="AI189" s="46"/>
      <c r="AK189" s="94"/>
      <c r="AL189" s="123"/>
      <c r="AM189" s="31"/>
      <c r="AN189" s="31"/>
      <c r="AO189" s="31"/>
      <c r="AP189" s="31"/>
      <c r="AQ189" s="31"/>
      <c r="AR189" s="31"/>
      <c r="AS189" s="39"/>
      <c r="AT189" s="164"/>
      <c r="AU189" s="164"/>
      <c r="AV189" s="164"/>
      <c r="AW189" s="164"/>
      <c r="AX189" s="148"/>
      <c r="AY189" s="149"/>
      <c r="AZ189" s="115"/>
    </row>
    <row r="190" spans="1:56" ht="16.5" thickTop="1">
      <c r="A190" s="14"/>
      <c r="B190" s="175"/>
      <c r="C190" s="171"/>
      <c r="D190" s="176"/>
      <c r="E190" s="176"/>
      <c r="F190" s="176"/>
      <c r="G190" s="176"/>
      <c r="H190" s="171"/>
      <c r="I190" s="171"/>
      <c r="J190" s="171"/>
      <c r="K190" s="171"/>
      <c r="L190" s="171"/>
      <c r="M190" s="171"/>
      <c r="N190" s="171"/>
      <c r="O190" s="171"/>
      <c r="P190" s="171"/>
      <c r="Q190" s="171"/>
      <c r="T190" s="468">
        <v>1</v>
      </c>
      <c r="U190" s="470" t="s">
        <v>251</v>
      </c>
      <c r="V190" s="467"/>
      <c r="W190" s="467"/>
      <c r="X190" s="467"/>
      <c r="Y190" s="467"/>
      <c r="Z190" s="467"/>
      <c r="AA190" s="284">
        <f t="shared" si="18"/>
        <v>0</v>
      </c>
      <c r="AB190" s="282"/>
      <c r="AC190" s="409">
        <f>+AC191+AC192+AC193+AC194</f>
        <v>0</v>
      </c>
      <c r="AD190" s="409">
        <f>+AD191+AD192+AD193+AD194</f>
        <v>0</v>
      </c>
      <c r="AE190" s="409">
        <f t="shared" si="19"/>
        <v>0</v>
      </c>
      <c r="AF190" s="319">
        <v>0</v>
      </c>
      <c r="AG190" s="319">
        <f>+AG191+AG192+AG193+AG194</f>
        <v>0</v>
      </c>
      <c r="AH190" s="416">
        <f t="shared" si="20"/>
        <v>0</v>
      </c>
      <c r="AI190" s="46"/>
      <c r="AT190" s="62">
        <f>+G154</f>
        <v>2099158</v>
      </c>
      <c r="AU190" s="62"/>
      <c r="AV190" s="62">
        <f>+I154</f>
        <v>2099158</v>
      </c>
      <c r="AW190" s="62">
        <f>+D154</f>
        <v>2766064</v>
      </c>
      <c r="AX190" s="338">
        <f>+E154</f>
        <v>0</v>
      </c>
      <c r="AY190" s="62">
        <f>+F154</f>
        <v>2766064</v>
      </c>
      <c r="AZ190" s="65"/>
    </row>
    <row r="191" spans="1:56" ht="15">
      <c r="A191" s="14"/>
      <c r="B191" s="175"/>
      <c r="C191" s="171"/>
      <c r="D191" s="176"/>
      <c r="E191" s="176"/>
      <c r="F191" s="176"/>
      <c r="G191" s="176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T191" s="471" t="s">
        <v>376</v>
      </c>
      <c r="U191" s="472" t="s">
        <v>252</v>
      </c>
      <c r="V191" s="467"/>
      <c r="W191" s="467"/>
      <c r="X191" s="467"/>
      <c r="Y191" s="467"/>
      <c r="Z191" s="467"/>
      <c r="AA191" s="284">
        <f t="shared" si="18"/>
        <v>0</v>
      </c>
      <c r="AB191" s="282"/>
      <c r="AC191" s="418"/>
      <c r="AD191" s="418"/>
      <c r="AE191" s="409">
        <f t="shared" si="19"/>
        <v>0</v>
      </c>
      <c r="AF191" s="484"/>
      <c r="AG191" s="282"/>
      <c r="AH191" s="416">
        <f t="shared" si="20"/>
        <v>0</v>
      </c>
      <c r="AI191" s="47"/>
      <c r="AK191" s="14"/>
      <c r="AL191" s="14"/>
      <c r="AM191" s="14"/>
      <c r="AN191" s="51"/>
      <c r="AO191" s="51"/>
      <c r="AP191" s="14"/>
      <c r="AQ191" s="14"/>
      <c r="AR191" s="14"/>
      <c r="AS191" s="14"/>
      <c r="AT191" s="125">
        <f>+AT184-AT190</f>
        <v>0</v>
      </c>
      <c r="AU191" s="125"/>
      <c r="AV191" s="125">
        <f>+AV184-AV190</f>
        <v>0</v>
      </c>
      <c r="AW191" s="125">
        <f>+AW184-AW190</f>
        <v>0</v>
      </c>
      <c r="AX191" s="339">
        <f>+AX184-AX190</f>
        <v>0</v>
      </c>
      <c r="AY191" s="125">
        <f>+AY184-AY190</f>
        <v>0</v>
      </c>
      <c r="AZ191" s="140">
        <f>+AZ187-AT190</f>
        <v>-1913751.58</v>
      </c>
    </row>
    <row r="192" spans="1:56" ht="15.75">
      <c r="A192" s="14"/>
      <c r="B192" s="175"/>
      <c r="C192" s="171"/>
      <c r="D192" s="176"/>
      <c r="E192" s="176"/>
      <c r="F192" s="176"/>
      <c r="G192" s="176"/>
      <c r="H192" s="171"/>
      <c r="I192" s="171"/>
      <c r="J192" s="171"/>
      <c r="K192" s="171"/>
      <c r="L192" s="171"/>
      <c r="M192" s="171"/>
      <c r="N192" s="171"/>
      <c r="O192" s="171"/>
      <c r="P192" s="171"/>
      <c r="Q192" s="171"/>
      <c r="T192" s="471" t="s">
        <v>377</v>
      </c>
      <c r="U192" s="472" t="s">
        <v>253</v>
      </c>
      <c r="V192" s="467"/>
      <c r="W192" s="467"/>
      <c r="X192" s="467"/>
      <c r="Y192" s="467"/>
      <c r="Z192" s="467"/>
      <c r="AA192" s="284">
        <f t="shared" si="18"/>
        <v>0</v>
      </c>
      <c r="AB192" s="282"/>
      <c r="AC192" s="418"/>
      <c r="AD192" s="418"/>
      <c r="AE192" s="409">
        <f t="shared" si="19"/>
        <v>0</v>
      </c>
      <c r="AF192" s="484"/>
      <c r="AG192" s="282"/>
      <c r="AH192" s="416">
        <f t="shared" si="20"/>
        <v>0</v>
      </c>
      <c r="AI192" s="47"/>
      <c r="AK192" s="67"/>
      <c r="AL192" s="501" t="s">
        <v>428</v>
      </c>
      <c r="AM192" s="501"/>
      <c r="AN192" s="501"/>
      <c r="AO192" s="501"/>
      <c r="AP192" s="501"/>
      <c r="AQ192" s="501"/>
      <c r="AR192" s="501"/>
      <c r="AS192" s="501"/>
      <c r="AT192" s="165">
        <f>+AC251</f>
        <v>1854064</v>
      </c>
      <c r="AU192" s="14"/>
      <c r="AV192" s="42">
        <f>+AE251</f>
        <v>1854064</v>
      </c>
      <c r="AW192" s="165">
        <f>+AF251</f>
        <v>2444033</v>
      </c>
      <c r="AX192" s="339">
        <f>+AG251</f>
        <v>0</v>
      </c>
      <c r="AY192" s="165">
        <f>+AH251</f>
        <v>2444033</v>
      </c>
      <c r="AZ192" s="14"/>
    </row>
    <row r="193" spans="1:54" ht="16.5" thickBot="1">
      <c r="A193" s="14"/>
      <c r="B193" s="175"/>
      <c r="C193" s="171"/>
      <c r="D193" s="176"/>
      <c r="E193" s="176"/>
      <c r="F193" s="176"/>
      <c r="G193" s="176"/>
      <c r="H193" s="171"/>
      <c r="I193" s="171"/>
      <c r="J193" s="171"/>
      <c r="K193" s="171"/>
      <c r="L193" s="171"/>
      <c r="M193" s="171"/>
      <c r="N193" s="171"/>
      <c r="O193" s="171"/>
      <c r="P193" s="171"/>
      <c r="Q193" s="171"/>
      <c r="T193" s="471" t="s">
        <v>378</v>
      </c>
      <c r="U193" s="472" t="s">
        <v>254</v>
      </c>
      <c r="V193" s="467"/>
      <c r="W193" s="467"/>
      <c r="X193" s="467"/>
      <c r="Y193" s="467"/>
      <c r="Z193" s="467"/>
      <c r="AA193" s="284">
        <f t="shared" si="18"/>
        <v>0</v>
      </c>
      <c r="AB193" s="282"/>
      <c r="AC193" s="411"/>
      <c r="AD193" s="411"/>
      <c r="AE193" s="409">
        <f t="shared" si="19"/>
        <v>0</v>
      </c>
      <c r="AF193" s="412"/>
      <c r="AG193" s="282"/>
      <c r="AH193" s="416">
        <f t="shared" si="20"/>
        <v>0</v>
      </c>
      <c r="AI193" s="50"/>
      <c r="AK193" s="67"/>
      <c r="AL193" s="2" t="s">
        <v>225</v>
      </c>
      <c r="AM193" s="68"/>
      <c r="AN193"/>
      <c r="AO193"/>
      <c r="AP193"/>
      <c r="AQ193"/>
      <c r="AR193"/>
      <c r="AS193"/>
      <c r="AT193" s="167">
        <f>+AT186-AT192</f>
        <v>0.19999999995343387</v>
      </c>
      <c r="AU193" s="14"/>
      <c r="AV193" s="167">
        <f>+AV186-AV192</f>
        <v>0.19999999995343387</v>
      </c>
      <c r="AW193" s="166">
        <f>+AW186-AW192</f>
        <v>0</v>
      </c>
      <c r="AX193" s="340">
        <f>+AX186-AX192</f>
        <v>0</v>
      </c>
      <c r="AY193" s="166">
        <f>+AY186-AY192</f>
        <v>0</v>
      </c>
      <c r="AZ193" s="43"/>
    </row>
    <row r="194" spans="1:54" ht="17.25" customHeight="1" thickTop="1">
      <c r="A194" s="14"/>
      <c r="B194" s="180"/>
      <c r="C194" s="16"/>
      <c r="D194" s="42"/>
      <c r="E194" s="42"/>
      <c r="F194" s="42"/>
      <c r="G194" s="42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T194" s="471" t="s">
        <v>379</v>
      </c>
      <c r="U194" s="472" t="s">
        <v>255</v>
      </c>
      <c r="V194" s="467"/>
      <c r="W194" s="467"/>
      <c r="X194" s="467"/>
      <c r="Y194" s="467"/>
      <c r="Z194" s="467"/>
      <c r="AA194" s="284">
        <f t="shared" si="18"/>
        <v>0</v>
      </c>
      <c r="AB194" s="282"/>
      <c r="AC194" s="411"/>
      <c r="AD194" s="411"/>
      <c r="AE194" s="409">
        <f t="shared" si="19"/>
        <v>0</v>
      </c>
      <c r="AF194" s="412"/>
      <c r="AG194" s="282"/>
      <c r="AH194" s="416">
        <f t="shared" si="20"/>
        <v>0</v>
      </c>
      <c r="AI194" s="50"/>
      <c r="AK194" s="112"/>
      <c r="AL194" s="113"/>
      <c r="AM194" s="111" t="s">
        <v>214</v>
      </c>
      <c r="AN194" s="106" t="s">
        <v>22</v>
      </c>
      <c r="AO194" s="106" t="s">
        <v>24</v>
      </c>
      <c r="AP194" s="106" t="s">
        <v>26</v>
      </c>
      <c r="AQ194" s="106" t="s">
        <v>27</v>
      </c>
      <c r="AR194" s="107" t="s">
        <v>39</v>
      </c>
      <c r="AS194" s="126"/>
      <c r="AT194" s="14"/>
      <c r="AU194" s="14"/>
      <c r="AV194" s="14"/>
      <c r="AW194" s="21"/>
      <c r="AX194" s="55"/>
      <c r="AY194" s="55"/>
      <c r="AZ194" s="141">
        <f>+AZ191-AW194</f>
        <v>-1913751.58</v>
      </c>
    </row>
    <row r="195" spans="1:54" ht="15">
      <c r="A195" s="14"/>
      <c r="B195" s="180"/>
      <c r="C195" s="16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T195" s="474"/>
      <c r="U195" s="473" t="s">
        <v>385</v>
      </c>
      <c r="V195" s="467"/>
      <c r="W195" s="467"/>
      <c r="X195" s="467"/>
      <c r="Y195" s="467"/>
      <c r="Z195" s="467"/>
      <c r="AA195" s="284">
        <f t="shared" si="18"/>
        <v>0</v>
      </c>
      <c r="AB195" s="282"/>
      <c r="AC195" s="411">
        <f>SUM(AC191:AC194)</f>
        <v>0</v>
      </c>
      <c r="AD195" s="411">
        <f>SUM(AD191:AD194)</f>
        <v>0</v>
      </c>
      <c r="AE195" s="409">
        <f t="shared" si="19"/>
        <v>0</v>
      </c>
      <c r="AF195" s="412">
        <v>0</v>
      </c>
      <c r="AG195" s="412">
        <f>SUM(AG191:AG194)</f>
        <v>0</v>
      </c>
      <c r="AH195" s="416">
        <f t="shared" si="20"/>
        <v>0</v>
      </c>
      <c r="AI195" s="50"/>
      <c r="AK195" s="114"/>
      <c r="AL195" s="24"/>
      <c r="AM195" s="108" t="s">
        <v>156</v>
      </c>
      <c r="AN195" s="108" t="s">
        <v>23</v>
      </c>
      <c r="AO195" s="109" t="s">
        <v>25</v>
      </c>
      <c r="AP195" s="109" t="s">
        <v>153</v>
      </c>
      <c r="AQ195" s="109" t="s">
        <v>28</v>
      </c>
      <c r="AR195" s="110"/>
      <c r="AS195" s="126"/>
      <c r="AT195" s="165">
        <f>AT190-AT184</f>
        <v>0</v>
      </c>
      <c r="AU195" s="14"/>
      <c r="AV195" s="42"/>
      <c r="AW195" s="55"/>
      <c r="AX195" s="55"/>
      <c r="AY195" s="55"/>
      <c r="AZ195" s="55"/>
    </row>
    <row r="196" spans="1:54" ht="15.75">
      <c r="A196" s="14"/>
      <c r="B196" s="139"/>
      <c r="C196" s="16"/>
      <c r="D196" s="42"/>
      <c r="E196" s="42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T196" s="468">
        <v>2</v>
      </c>
      <c r="U196" s="475" t="s">
        <v>256</v>
      </c>
      <c r="V196" s="467"/>
      <c r="W196" s="467"/>
      <c r="X196" s="467"/>
      <c r="Y196" s="467"/>
      <c r="Z196" s="467"/>
      <c r="AA196" s="284">
        <f t="shared" si="18"/>
        <v>-599628</v>
      </c>
      <c r="AB196" s="282"/>
      <c r="AC196" s="408">
        <f>+AC197+AC198+AC199+AC200</f>
        <v>16592372</v>
      </c>
      <c r="AD196" s="408">
        <v>0</v>
      </c>
      <c r="AE196" s="409">
        <f t="shared" si="19"/>
        <v>16592372</v>
      </c>
      <c r="AF196" s="410">
        <v>17192000</v>
      </c>
      <c r="AG196" s="410">
        <f>+AG197+AG198+AG199+AG200</f>
        <v>0</v>
      </c>
      <c r="AH196" s="416">
        <f t="shared" si="20"/>
        <v>17192000</v>
      </c>
      <c r="AI196" s="34">
        <f>+AE196-AH196</f>
        <v>-599628</v>
      </c>
      <c r="AK196" s="103"/>
      <c r="AL196" s="316" t="s">
        <v>48</v>
      </c>
      <c r="AM196" s="104">
        <v>100000</v>
      </c>
      <c r="AN196" s="104">
        <v>0</v>
      </c>
      <c r="AO196" s="104">
        <v>0</v>
      </c>
      <c r="AP196" s="71">
        <f>AH249</f>
        <v>11748140</v>
      </c>
      <c r="AQ196" s="71">
        <v>1030196</v>
      </c>
      <c r="AR196" s="105">
        <f>AP196+AQ196</f>
        <v>12778336</v>
      </c>
      <c r="AS196" s="126"/>
      <c r="AT196" s="14"/>
      <c r="AU196" s="14"/>
      <c r="AV196" s="42"/>
      <c r="AW196" s="42"/>
      <c r="AX196" s="60"/>
      <c r="AY196" s="60"/>
      <c r="AZ196" s="55"/>
    </row>
    <row r="197" spans="1:54" ht="15">
      <c r="A197" s="14"/>
      <c r="B197" s="139"/>
      <c r="C197" s="16"/>
      <c r="D197" s="42"/>
      <c r="E197" s="42"/>
      <c r="F197" s="14"/>
      <c r="G197" s="14"/>
      <c r="H197" s="42"/>
      <c r="I197" s="14"/>
      <c r="J197" s="14"/>
      <c r="K197" s="14"/>
      <c r="L197" s="14"/>
      <c r="M197" s="14"/>
      <c r="N197" s="14"/>
      <c r="O197" s="14"/>
      <c r="P197" s="14"/>
      <c r="Q197" s="14"/>
      <c r="T197" s="471" t="s">
        <v>376</v>
      </c>
      <c r="U197" s="472" t="s">
        <v>257</v>
      </c>
      <c r="V197" s="467"/>
      <c r="W197" s="467"/>
      <c r="X197" s="467"/>
      <c r="Y197" s="467"/>
      <c r="Z197" s="467"/>
      <c r="AA197" s="284">
        <f t="shared" si="18"/>
        <v>0</v>
      </c>
      <c r="AB197" s="282"/>
      <c r="AC197" s="411">
        <f>+G22</f>
        <v>0</v>
      </c>
      <c r="AD197" s="411">
        <f>+H22</f>
        <v>0</v>
      </c>
      <c r="AE197" s="409">
        <f t="shared" si="19"/>
        <v>0</v>
      </c>
      <c r="AF197" s="412">
        <v>0</v>
      </c>
      <c r="AG197" s="412">
        <f>E22</f>
        <v>0</v>
      </c>
      <c r="AH197" s="416">
        <f t="shared" si="20"/>
        <v>0</v>
      </c>
      <c r="AI197" s="50">
        <f>+-AT175</f>
        <v>-2518434</v>
      </c>
      <c r="AK197" s="69"/>
      <c r="AL197" s="73" t="s">
        <v>61</v>
      </c>
      <c r="AM197" s="71">
        <v>0</v>
      </c>
      <c r="AN197" s="71">
        <v>0</v>
      </c>
      <c r="AO197" s="71">
        <v>0</v>
      </c>
      <c r="AP197" s="71">
        <v>0</v>
      </c>
      <c r="AQ197" s="71">
        <v>0</v>
      </c>
      <c r="AR197" s="72">
        <v>0</v>
      </c>
      <c r="AS197" s="126"/>
      <c r="AT197" s="14"/>
      <c r="AU197" s="14"/>
      <c r="AV197" s="14"/>
      <c r="AW197" s="55"/>
      <c r="AX197" s="55"/>
      <c r="AY197" s="55"/>
      <c r="AZ197" s="55"/>
    </row>
    <row r="198" spans="1:54" ht="15">
      <c r="A198" s="14"/>
      <c r="B198" s="180"/>
      <c r="C198" s="14"/>
      <c r="D198" s="14"/>
      <c r="E198" s="14"/>
      <c r="F198" s="14"/>
      <c r="G198" s="14"/>
      <c r="H198" s="42"/>
      <c r="I198" s="14"/>
      <c r="J198" s="14"/>
      <c r="K198" s="14"/>
      <c r="L198" s="14"/>
      <c r="M198" s="14"/>
      <c r="N198" s="14"/>
      <c r="O198" s="14"/>
      <c r="P198" s="14"/>
      <c r="Q198" s="14"/>
      <c r="T198" s="471" t="s">
        <v>377</v>
      </c>
      <c r="U198" s="472" t="s">
        <v>258</v>
      </c>
      <c r="V198" s="467"/>
      <c r="W198" s="467"/>
      <c r="X198" s="467"/>
      <c r="Y198" s="467"/>
      <c r="Z198" s="467"/>
      <c r="AA198" s="284">
        <f t="shared" si="18"/>
        <v>-221551</v>
      </c>
      <c r="AB198" s="370"/>
      <c r="AC198" s="411">
        <f>+G23-N29</f>
        <v>10856099</v>
      </c>
      <c r="AD198" s="411">
        <f>+H23-M29</f>
        <v>0</v>
      </c>
      <c r="AE198" s="409">
        <f t="shared" si="19"/>
        <v>10856099</v>
      </c>
      <c r="AF198" s="412">
        <v>11077650</v>
      </c>
      <c r="AG198" s="384">
        <f>+E23-P29</f>
        <v>0</v>
      </c>
      <c r="AH198" s="380">
        <f t="shared" si="20"/>
        <v>11077650</v>
      </c>
      <c r="AI198" s="50">
        <f>SUM(AI196:AI197)</f>
        <v>-3118062</v>
      </c>
      <c r="AK198" s="69"/>
      <c r="AL198" s="70" t="s">
        <v>41</v>
      </c>
      <c r="AM198" s="71">
        <f t="shared" ref="AM198:AR198" si="22">AM196+AM197</f>
        <v>100000</v>
      </c>
      <c r="AN198" s="71">
        <f t="shared" si="22"/>
        <v>0</v>
      </c>
      <c r="AO198" s="71">
        <f t="shared" si="22"/>
        <v>0</v>
      </c>
      <c r="AP198" s="71">
        <f t="shared" si="22"/>
        <v>11748140</v>
      </c>
      <c r="AQ198" s="71">
        <f t="shared" si="22"/>
        <v>1030196</v>
      </c>
      <c r="AR198" s="72">
        <f t="shared" si="22"/>
        <v>12778336</v>
      </c>
      <c r="AS198" s="126"/>
      <c r="AT198" s="14"/>
      <c r="AU198" s="14"/>
      <c r="AV198" s="165"/>
      <c r="AW198" s="55"/>
      <c r="AX198" s="55"/>
      <c r="AY198" s="55"/>
      <c r="AZ198" s="55"/>
    </row>
    <row r="199" spans="1:54" ht="15">
      <c r="A199" s="14"/>
      <c r="B199" s="180"/>
      <c r="C199" s="16"/>
      <c r="D199" s="14"/>
      <c r="E199" s="14"/>
      <c r="F199" s="14"/>
      <c r="G199" s="14"/>
      <c r="H199" s="42"/>
      <c r="I199" s="14"/>
      <c r="J199" s="14"/>
      <c r="K199" s="14"/>
      <c r="L199" s="14"/>
      <c r="M199" s="14"/>
      <c r="N199" s="14"/>
      <c r="O199" s="14"/>
      <c r="P199" s="14"/>
      <c r="Q199" s="14"/>
      <c r="T199" s="471" t="s">
        <v>378</v>
      </c>
      <c r="U199" s="472" t="s">
        <v>259</v>
      </c>
      <c r="V199" s="467"/>
      <c r="W199" s="467"/>
      <c r="X199" s="467"/>
      <c r="Y199" s="467"/>
      <c r="Z199" s="467"/>
      <c r="AA199" s="284">
        <f t="shared" si="18"/>
        <v>-1608707</v>
      </c>
      <c r="AB199" s="370"/>
      <c r="AC199" s="411">
        <f>+G24-N30+G25-N31</f>
        <v>5182812</v>
      </c>
      <c r="AD199" s="411">
        <v>-1373868</v>
      </c>
      <c r="AE199" s="409">
        <f t="shared" si="19"/>
        <v>3808944</v>
      </c>
      <c r="AF199" s="413">
        <v>5417651</v>
      </c>
      <c r="AG199" s="385"/>
      <c r="AH199" s="380">
        <f t="shared" si="20"/>
        <v>5417651</v>
      </c>
      <c r="AI199" s="50"/>
      <c r="AK199" s="69"/>
      <c r="AL199" s="73" t="s">
        <v>42</v>
      </c>
      <c r="AM199" s="71">
        <v>0</v>
      </c>
      <c r="AN199" s="71">
        <v>0</v>
      </c>
      <c r="AO199" s="71">
        <v>0</v>
      </c>
      <c r="AP199" s="71">
        <v>0</v>
      </c>
      <c r="AQ199" s="71">
        <f>+AF251</f>
        <v>2444033</v>
      </c>
      <c r="AR199" s="72">
        <f>SUM(AM199:AQ199)</f>
        <v>2444033</v>
      </c>
      <c r="AS199" s="126"/>
      <c r="AT199" s="14"/>
      <c r="AU199" s="14"/>
      <c r="AV199" s="14"/>
      <c r="AW199" s="55"/>
      <c r="AX199" s="55"/>
      <c r="AY199" s="55"/>
      <c r="AZ199" s="55"/>
      <c r="BA199" s="14"/>
      <c r="BB199" s="14"/>
    </row>
    <row r="200" spans="1:54" ht="15">
      <c r="A200" s="14"/>
      <c r="B200" s="180"/>
      <c r="C200" s="14"/>
      <c r="D200" s="14"/>
      <c r="E200" s="14"/>
      <c r="F200" s="14"/>
      <c r="G200" s="14"/>
      <c r="H200" s="42"/>
      <c r="I200" s="14"/>
      <c r="J200" s="14"/>
      <c r="K200" s="14"/>
      <c r="L200" s="14"/>
      <c r="M200" s="14"/>
      <c r="N200" s="14"/>
      <c r="O200" s="14"/>
      <c r="P200" s="14"/>
      <c r="Q200" s="14"/>
      <c r="T200" s="471" t="s">
        <v>379</v>
      </c>
      <c r="U200" s="477" t="s">
        <v>116</v>
      </c>
      <c r="V200" s="478"/>
      <c r="W200" s="478"/>
      <c r="X200" s="478"/>
      <c r="Y200" s="478"/>
      <c r="Z200" s="478"/>
      <c r="AA200" s="284">
        <f t="shared" si="18"/>
        <v>-143238</v>
      </c>
      <c r="AB200" s="370"/>
      <c r="AC200" s="411">
        <f>+G26-N32+G39-N40</f>
        <v>553461</v>
      </c>
      <c r="AD200" s="411">
        <f>+H26-M32+H39-M40</f>
        <v>0</v>
      </c>
      <c r="AE200" s="409">
        <f t="shared" si="19"/>
        <v>553461</v>
      </c>
      <c r="AF200" s="411">
        <v>696699</v>
      </c>
      <c r="AG200" s="383">
        <f>+E26-P32+E39-P40</f>
        <v>0</v>
      </c>
      <c r="AH200" s="380">
        <f t="shared" si="20"/>
        <v>696699</v>
      </c>
      <c r="AI200" s="50"/>
      <c r="AK200" s="69"/>
      <c r="AL200" s="73" t="s">
        <v>43</v>
      </c>
      <c r="AM200" s="71">
        <v>0</v>
      </c>
      <c r="AN200" s="71"/>
      <c r="AO200" s="71">
        <v>0</v>
      </c>
      <c r="AP200" s="71">
        <v>0</v>
      </c>
      <c r="AQ200" s="71">
        <v>-500000</v>
      </c>
      <c r="AR200" s="85">
        <f>SUM(AM200:AQ200)</f>
        <v>-500000</v>
      </c>
      <c r="AS200" s="126"/>
      <c r="AT200" s="1"/>
      <c r="AU200" s="1"/>
      <c r="AV200" s="334"/>
      <c r="AW200" s="17"/>
      <c r="AX200" s="55"/>
      <c r="AY200" s="55"/>
      <c r="AZ200" s="1"/>
      <c r="BA200" s="1"/>
      <c r="BB200" s="14"/>
    </row>
    <row r="201" spans="1:54" ht="15">
      <c r="A201" s="14"/>
      <c r="B201" s="180"/>
      <c r="C201" s="14"/>
      <c r="D201" s="14"/>
      <c r="E201" s="14"/>
      <c r="F201" s="14"/>
      <c r="G201" s="14"/>
      <c r="H201" s="42"/>
      <c r="I201" s="14"/>
      <c r="J201" s="14"/>
      <c r="K201" s="14"/>
      <c r="L201" s="14"/>
      <c r="M201" s="14"/>
      <c r="N201" s="14"/>
      <c r="O201" s="14"/>
      <c r="P201" s="14"/>
      <c r="Q201" s="14"/>
      <c r="T201" s="474"/>
      <c r="U201" s="473" t="s">
        <v>39</v>
      </c>
      <c r="V201" s="467"/>
      <c r="W201" s="467"/>
      <c r="X201" s="467"/>
      <c r="Y201" s="467"/>
      <c r="Z201" s="467"/>
      <c r="AA201" s="284">
        <f t="shared" si="18"/>
        <v>-1973496</v>
      </c>
      <c r="AB201" s="370"/>
      <c r="AC201" s="411">
        <f>SUM(AC197:AC200)</f>
        <v>16592372</v>
      </c>
      <c r="AD201" s="411">
        <f>SUM(AD197:AD200)</f>
        <v>-1373868</v>
      </c>
      <c r="AE201" s="409">
        <f t="shared" si="19"/>
        <v>15218504</v>
      </c>
      <c r="AF201" s="411">
        <v>17192000</v>
      </c>
      <c r="AG201" s="383">
        <f>SUM(AG197:AG200)</f>
        <v>0</v>
      </c>
      <c r="AH201" s="416">
        <f t="shared" si="20"/>
        <v>17192000</v>
      </c>
      <c r="AI201" s="50"/>
      <c r="AK201" s="69"/>
      <c r="AL201" s="73" t="s">
        <v>44</v>
      </c>
      <c r="AM201" s="71"/>
      <c r="AN201" s="71">
        <v>0</v>
      </c>
      <c r="AO201" s="71">
        <v>0</v>
      </c>
      <c r="AP201" s="71">
        <v>0</v>
      </c>
      <c r="AQ201" s="71">
        <v>-530196</v>
      </c>
      <c r="AR201" s="72">
        <v>-400000</v>
      </c>
      <c r="AS201" s="126"/>
      <c r="AT201" s="1"/>
      <c r="AU201" s="1"/>
      <c r="AV201" s="1"/>
      <c r="AW201" s="25"/>
      <c r="AX201" s="61"/>
      <c r="AY201" s="61"/>
      <c r="AZ201" s="25"/>
      <c r="BA201" s="82"/>
      <c r="BB201" s="14"/>
    </row>
    <row r="202" spans="1:54" ht="15.75">
      <c r="A202" s="14"/>
      <c r="B202" s="180"/>
      <c r="C202" s="14"/>
      <c r="D202" s="14"/>
      <c r="E202" s="14"/>
      <c r="F202" s="14"/>
      <c r="G202" s="14"/>
      <c r="H202" s="42"/>
      <c r="I202" s="14"/>
      <c r="J202" s="14"/>
      <c r="K202" s="14"/>
      <c r="L202" s="14"/>
      <c r="M202" s="14"/>
      <c r="N202" s="14"/>
      <c r="O202" s="14"/>
      <c r="P202" s="14"/>
      <c r="Q202" s="14"/>
      <c r="T202" s="468">
        <v>3</v>
      </c>
      <c r="U202" s="475" t="s">
        <v>260</v>
      </c>
      <c r="V202" s="467"/>
      <c r="W202" s="467"/>
      <c r="X202" s="467"/>
      <c r="Y202" s="467"/>
      <c r="Z202" s="467"/>
      <c r="AA202" s="284">
        <f t="shared" si="18"/>
        <v>0</v>
      </c>
      <c r="AB202" s="370"/>
      <c r="AC202" s="408"/>
      <c r="AD202" s="408"/>
      <c r="AE202" s="409">
        <f t="shared" si="19"/>
        <v>0</v>
      </c>
      <c r="AF202" s="410"/>
      <c r="AG202" s="370"/>
      <c r="AH202" s="416">
        <f t="shared" si="20"/>
        <v>0</v>
      </c>
      <c r="AI202" s="34"/>
      <c r="AK202" s="69"/>
      <c r="AL202" s="73" t="s">
        <v>45</v>
      </c>
      <c r="AM202" s="71">
        <v>0</v>
      </c>
      <c r="AN202" s="71">
        <v>0</v>
      </c>
      <c r="AO202" s="71"/>
      <c r="AP202" s="71">
        <v>0</v>
      </c>
      <c r="AQ202" s="71">
        <f>-AM202</f>
        <v>0</v>
      </c>
      <c r="AR202" s="72">
        <f>SUM(AM202:AQ202)</f>
        <v>0</v>
      </c>
      <c r="AS202" s="127"/>
      <c r="AT202" s="25"/>
      <c r="AU202" s="25"/>
      <c r="AV202" s="25"/>
      <c r="AW202" s="83"/>
      <c r="AX202" s="55"/>
      <c r="AY202" s="55"/>
      <c r="AZ202" s="25"/>
      <c r="BA202" s="84"/>
      <c r="BB202" s="14"/>
    </row>
    <row r="203" spans="1:54" ht="15.75">
      <c r="A203" s="14"/>
      <c r="B203" s="180"/>
      <c r="C203" s="14"/>
      <c r="D203" s="14"/>
      <c r="E203" s="14"/>
      <c r="F203" s="14"/>
      <c r="G203" s="14"/>
      <c r="H203" s="42"/>
      <c r="I203" s="14"/>
      <c r="J203" s="14"/>
      <c r="K203" s="14"/>
      <c r="L203" s="14"/>
      <c r="M203" s="14"/>
      <c r="N203" s="14"/>
      <c r="O203" s="14"/>
      <c r="P203" s="14"/>
      <c r="Q203" s="14"/>
      <c r="T203" s="468">
        <v>4</v>
      </c>
      <c r="U203" s="475" t="s">
        <v>261</v>
      </c>
      <c r="V203" s="467"/>
      <c r="W203" s="467"/>
      <c r="X203" s="467"/>
      <c r="Y203" s="467"/>
      <c r="Z203" s="467"/>
      <c r="AA203" s="284">
        <f t="shared" si="18"/>
        <v>0</v>
      </c>
      <c r="AB203" s="370"/>
      <c r="AC203" s="408">
        <f>+AC204+AC205+AC206</f>
        <v>0</v>
      </c>
      <c r="AD203" s="408">
        <f>+AD204+AD205+AD206</f>
        <v>0</v>
      </c>
      <c r="AE203" s="409">
        <f t="shared" si="19"/>
        <v>0</v>
      </c>
      <c r="AF203" s="410">
        <v>0</v>
      </c>
      <c r="AG203" s="371">
        <f>+AG204+AG205+AG206</f>
        <v>0</v>
      </c>
      <c r="AH203" s="416">
        <f t="shared" si="20"/>
        <v>0</v>
      </c>
      <c r="AI203" s="34"/>
      <c r="AK203" s="69"/>
      <c r="AL203" s="73" t="s">
        <v>155</v>
      </c>
      <c r="AM203" s="71">
        <v>0</v>
      </c>
      <c r="AN203" s="71">
        <v>0</v>
      </c>
      <c r="AO203" s="71">
        <v>0</v>
      </c>
      <c r="AP203" s="71">
        <v>0</v>
      </c>
      <c r="AQ203" s="71">
        <f>-AO203</f>
        <v>0</v>
      </c>
      <c r="AR203" s="72"/>
      <c r="AS203" s="126"/>
      <c r="AT203" s="25"/>
      <c r="AU203" s="25"/>
      <c r="AV203" s="25"/>
      <c r="AW203" s="83"/>
      <c r="AX203" s="55"/>
      <c r="AY203" s="55"/>
      <c r="AZ203" s="25"/>
      <c r="BA203" s="84"/>
      <c r="BB203" s="14"/>
    </row>
    <row r="204" spans="1:54" ht="15">
      <c r="A204" s="14"/>
      <c r="B204" s="180"/>
      <c r="C204" s="14"/>
      <c r="D204" s="14"/>
      <c r="E204" s="14"/>
      <c r="F204" s="14"/>
      <c r="G204" s="14"/>
      <c r="H204" s="42"/>
      <c r="I204" s="14"/>
      <c r="J204" s="14"/>
      <c r="K204" s="14"/>
      <c r="L204" s="14"/>
      <c r="M204" s="14"/>
      <c r="N204" s="14"/>
      <c r="O204" s="14"/>
      <c r="P204" s="14"/>
      <c r="Q204" s="14"/>
      <c r="T204" s="471" t="s">
        <v>376</v>
      </c>
      <c r="U204" s="472" t="s">
        <v>262</v>
      </c>
      <c r="V204" s="467"/>
      <c r="W204" s="467"/>
      <c r="X204" s="467"/>
      <c r="Y204" s="467"/>
      <c r="Z204" s="467"/>
      <c r="AA204" s="284">
        <f t="shared" si="18"/>
        <v>0</v>
      </c>
      <c r="AB204" s="370"/>
      <c r="AC204" s="411"/>
      <c r="AD204" s="411"/>
      <c r="AE204" s="409">
        <f t="shared" si="19"/>
        <v>0</v>
      </c>
      <c r="AF204" s="412"/>
      <c r="AG204" s="370"/>
      <c r="AH204" s="416">
        <f t="shared" si="20"/>
        <v>0</v>
      </c>
      <c r="AI204" s="50"/>
      <c r="AK204" s="69"/>
      <c r="AL204" s="317" t="s">
        <v>420</v>
      </c>
      <c r="AM204" s="71">
        <f t="shared" ref="AM204:AR204" si="23">SUM(AM197:AM202)</f>
        <v>100000</v>
      </c>
      <c r="AN204" s="71">
        <f t="shared" si="23"/>
        <v>0</v>
      </c>
      <c r="AO204" s="71">
        <f t="shared" si="23"/>
        <v>0</v>
      </c>
      <c r="AP204" s="71">
        <f t="shared" si="23"/>
        <v>11748140</v>
      </c>
      <c r="AQ204" s="71">
        <f t="shared" si="23"/>
        <v>2444033</v>
      </c>
      <c r="AR204" s="71">
        <f t="shared" si="23"/>
        <v>14322369</v>
      </c>
      <c r="AS204" s="76" t="str">
        <f>IF((AR204-AF252)=0,"OK","E pa kuadruar")</f>
        <v>E pa kuadruar</v>
      </c>
      <c r="AT204" s="192">
        <f>+AF252</f>
        <v>14302173</v>
      </c>
      <c r="AU204" s="82">
        <f>+AF252</f>
        <v>14302173</v>
      </c>
      <c r="AV204" s="25"/>
      <c r="AW204" s="83"/>
      <c r="AX204" s="55"/>
      <c r="AY204" s="55"/>
      <c r="AZ204" s="25"/>
      <c r="BA204" s="82"/>
      <c r="BB204" s="14"/>
    </row>
    <row r="205" spans="1:54" ht="15">
      <c r="A205" s="14"/>
      <c r="B205" s="180"/>
      <c r="C205" s="14"/>
      <c r="D205" s="14"/>
      <c r="E205" s="14"/>
      <c r="F205" s="14"/>
      <c r="G205" s="14"/>
      <c r="H205" s="42"/>
      <c r="I205" s="14"/>
      <c r="J205" s="14"/>
      <c r="K205" s="14"/>
      <c r="L205" s="14"/>
      <c r="M205" s="14"/>
      <c r="N205" s="14"/>
      <c r="O205" s="14"/>
      <c r="P205" s="14"/>
      <c r="Q205" s="14"/>
      <c r="T205" s="471" t="s">
        <v>377</v>
      </c>
      <c r="U205" s="472" t="s">
        <v>263</v>
      </c>
      <c r="V205" s="467"/>
      <c r="W205" s="467"/>
      <c r="X205" s="467"/>
      <c r="Y205" s="467"/>
      <c r="Z205" s="467"/>
      <c r="AA205" s="284">
        <f t="shared" si="18"/>
        <v>0</v>
      </c>
      <c r="AB205" s="370"/>
      <c r="AC205" s="411">
        <f>+G21-N28</f>
        <v>0</v>
      </c>
      <c r="AD205" s="411">
        <f>+H21-M28</f>
        <v>0</v>
      </c>
      <c r="AE205" s="409">
        <f t="shared" si="19"/>
        <v>0</v>
      </c>
      <c r="AF205" s="412">
        <v>0</v>
      </c>
      <c r="AG205" s="384">
        <f>+E21-R28</f>
        <v>0</v>
      </c>
      <c r="AH205" s="416">
        <f t="shared" si="20"/>
        <v>0</v>
      </c>
      <c r="AI205" s="50" t="s">
        <v>117</v>
      </c>
      <c r="AK205" s="69"/>
      <c r="AL205" s="73" t="s">
        <v>42</v>
      </c>
      <c r="AM205" s="71">
        <v>0</v>
      </c>
      <c r="AN205" s="71">
        <v>0</v>
      </c>
      <c r="AO205" s="71">
        <v>0</v>
      </c>
      <c r="AP205" s="71">
        <v>2144033</v>
      </c>
      <c r="AQ205" s="71">
        <f>+AE251</f>
        <v>1854064</v>
      </c>
      <c r="AR205" s="72">
        <f>SUM(AM205:AQ205)</f>
        <v>3998097</v>
      </c>
      <c r="AS205" s="126"/>
      <c r="AT205" s="25"/>
      <c r="AU205" s="25"/>
      <c r="AV205" s="25"/>
      <c r="AW205" s="83"/>
      <c r="AX205" s="55"/>
      <c r="AY205" s="55"/>
      <c r="AZ205" s="1"/>
      <c r="BA205" s="82"/>
      <c r="BB205" s="14"/>
    </row>
    <row r="206" spans="1:54" ht="15">
      <c r="A206" s="14"/>
      <c r="B206" s="180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T206" s="471" t="s">
        <v>378</v>
      </c>
      <c r="U206" s="472" t="s">
        <v>264</v>
      </c>
      <c r="V206" s="467"/>
      <c r="W206" s="467"/>
      <c r="X206" s="467"/>
      <c r="Y206" s="467"/>
      <c r="Z206" s="467"/>
      <c r="AA206" s="284">
        <f t="shared" si="18"/>
        <v>0</v>
      </c>
      <c r="AB206" s="370"/>
      <c r="AC206" s="411"/>
      <c r="AD206" s="411"/>
      <c r="AE206" s="409">
        <f t="shared" si="19"/>
        <v>0</v>
      </c>
      <c r="AF206" s="412"/>
      <c r="AG206" s="370"/>
      <c r="AH206" s="416">
        <f t="shared" si="20"/>
        <v>0</v>
      </c>
      <c r="AI206" s="50"/>
      <c r="AK206" s="69"/>
      <c r="AL206" s="73" t="s">
        <v>154</v>
      </c>
      <c r="AM206" s="71">
        <v>0</v>
      </c>
      <c r="AN206" s="71">
        <v>0</v>
      </c>
      <c r="AO206" s="71">
        <v>0</v>
      </c>
      <c r="AP206" s="71">
        <v>-289969</v>
      </c>
      <c r="AQ206" s="74">
        <f>+-AM224</f>
        <v>-300000</v>
      </c>
      <c r="AR206" s="85">
        <f>SUM(AM206:AQ206)</f>
        <v>-589969</v>
      </c>
      <c r="AS206" s="126"/>
      <c r="AT206" s="1"/>
      <c r="AU206" s="1"/>
      <c r="AV206" s="1"/>
      <c r="AW206" s="1"/>
      <c r="AX206" s="55"/>
      <c r="AY206" s="55"/>
      <c r="AZ206" s="1"/>
      <c r="BA206" s="1"/>
      <c r="BB206" s="14"/>
    </row>
    <row r="207" spans="1:54" ht="15">
      <c r="A207" s="14"/>
      <c r="B207" s="180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T207" s="474"/>
      <c r="U207" s="473" t="s">
        <v>39</v>
      </c>
      <c r="V207" s="467"/>
      <c r="W207" s="467"/>
      <c r="X207" s="467"/>
      <c r="Y207" s="467"/>
      <c r="Z207" s="467"/>
      <c r="AA207" s="284">
        <f t="shared" si="18"/>
        <v>0</v>
      </c>
      <c r="AB207" s="370"/>
      <c r="AC207" s="411">
        <f>SUM(AC204:AC206)</f>
        <v>0</v>
      </c>
      <c r="AD207" s="411">
        <f>SUM(AD204:AD206)</f>
        <v>0</v>
      </c>
      <c r="AE207" s="409">
        <f t="shared" si="19"/>
        <v>0</v>
      </c>
      <c r="AF207" s="412">
        <v>0</v>
      </c>
      <c r="AG207" s="384">
        <f>SUM(AG204:AG206)</f>
        <v>0</v>
      </c>
      <c r="AH207" s="416">
        <f t="shared" si="20"/>
        <v>0</v>
      </c>
      <c r="AI207" s="50"/>
      <c r="AK207" s="69"/>
      <c r="AL207" s="73" t="s">
        <v>46</v>
      </c>
      <c r="AM207" s="74">
        <v>0</v>
      </c>
      <c r="AN207" s="71">
        <v>0</v>
      </c>
      <c r="AO207" s="71">
        <v>0</v>
      </c>
      <c r="AP207" s="71">
        <v>-1444064</v>
      </c>
      <c r="AQ207" s="74">
        <v>0</v>
      </c>
      <c r="AR207" s="72">
        <v>-1444064</v>
      </c>
      <c r="AS207" s="126"/>
      <c r="AT207" s="77"/>
      <c r="AU207" s="77"/>
      <c r="AV207" s="77"/>
      <c r="AW207" s="55"/>
      <c r="AZ207" s="55"/>
      <c r="BA207" s="14"/>
      <c r="BB207" s="14"/>
    </row>
    <row r="208" spans="1:54" ht="15.75">
      <c r="A208" s="14"/>
      <c r="B208" s="180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T208" s="468">
        <v>5</v>
      </c>
      <c r="U208" s="475" t="s">
        <v>265</v>
      </c>
      <c r="V208" s="467"/>
      <c r="W208" s="467"/>
      <c r="X208" s="467"/>
      <c r="Y208" s="467"/>
      <c r="Z208" s="467"/>
      <c r="AA208" s="284">
        <f t="shared" si="18"/>
        <v>0</v>
      </c>
      <c r="AB208" s="370"/>
      <c r="AC208" s="408">
        <v>0</v>
      </c>
      <c r="AD208" s="408"/>
      <c r="AE208" s="409">
        <f t="shared" si="19"/>
        <v>0</v>
      </c>
      <c r="AF208" s="410">
        <v>0</v>
      </c>
      <c r="AG208" s="370"/>
      <c r="AH208" s="416">
        <f t="shared" si="20"/>
        <v>0</v>
      </c>
      <c r="AI208" s="34"/>
      <c r="AK208" s="69"/>
      <c r="AL208" s="73" t="s">
        <v>44</v>
      </c>
      <c r="AM208" s="74">
        <v>0</v>
      </c>
      <c r="AN208" s="71">
        <v>0</v>
      </c>
      <c r="AO208" s="71">
        <v>0</v>
      </c>
      <c r="AP208" s="71">
        <v>2144033</v>
      </c>
      <c r="AQ208" s="74">
        <f>+-AM223</f>
        <v>-2144033</v>
      </c>
      <c r="AR208" s="72">
        <v>-430196</v>
      </c>
      <c r="AS208" s="126"/>
      <c r="AT208" s="14"/>
      <c r="AU208" s="14"/>
      <c r="AV208" s="14"/>
      <c r="AW208" s="58"/>
      <c r="AZ208" s="58"/>
      <c r="BA208" s="14"/>
      <c r="BB208" s="14"/>
    </row>
    <row r="209" spans="1:54" ht="15.75">
      <c r="A209" s="14"/>
      <c r="B209" s="180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T209" s="468">
        <v>6</v>
      </c>
      <c r="U209" s="475" t="s">
        <v>387</v>
      </c>
      <c r="V209" s="467"/>
      <c r="W209" s="467"/>
      <c r="X209" s="467"/>
      <c r="Y209" s="467"/>
      <c r="Z209" s="467"/>
      <c r="AA209" s="284">
        <f t="shared" si="18"/>
        <v>0</v>
      </c>
      <c r="AB209" s="370"/>
      <c r="AC209" s="408">
        <f>+G27</f>
        <v>0</v>
      </c>
      <c r="AD209" s="408">
        <f>+H27</f>
        <v>0</v>
      </c>
      <c r="AE209" s="409">
        <f t="shared" si="19"/>
        <v>0</v>
      </c>
      <c r="AF209" s="410">
        <v>0</v>
      </c>
      <c r="AG209" s="371">
        <f>+E27</f>
        <v>0</v>
      </c>
      <c r="AH209" s="416">
        <f t="shared" si="20"/>
        <v>0</v>
      </c>
      <c r="AI209" s="34"/>
      <c r="AK209" s="69"/>
      <c r="AL209" s="73" t="s">
        <v>47</v>
      </c>
      <c r="AM209" s="71">
        <v>0</v>
      </c>
      <c r="AN209" s="71">
        <v>0</v>
      </c>
      <c r="AO209" s="71">
        <v>0</v>
      </c>
      <c r="AP209" s="71">
        <v>0</v>
      </c>
      <c r="AQ209" s="71">
        <v>0</v>
      </c>
      <c r="AR209" s="72">
        <v>0</v>
      </c>
      <c r="AS209" s="126"/>
      <c r="AT209" s="14"/>
      <c r="AU209" s="14"/>
      <c r="AV209" s="14"/>
      <c r="AW209" s="55"/>
      <c r="AZ209" s="55"/>
      <c r="BA209" s="14"/>
      <c r="BB209" s="14"/>
    </row>
    <row r="210" spans="1:54" ht="15.75">
      <c r="A210" s="14"/>
      <c r="B210" s="180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T210" s="474"/>
      <c r="U210" s="475" t="s">
        <v>388</v>
      </c>
      <c r="V210" s="467"/>
      <c r="W210" s="467"/>
      <c r="X210" s="467"/>
      <c r="Y210" s="467"/>
      <c r="Z210" s="467"/>
      <c r="AA210" s="284">
        <f t="shared" si="18"/>
        <v>-599628</v>
      </c>
      <c r="AB210" s="370"/>
      <c r="AC210" s="408">
        <f>+AC190+AC196+AC202+AC203+AC208+AC209</f>
        <v>16592372</v>
      </c>
      <c r="AD210" s="408">
        <f>+AD190+AD196+AD202+AD203+AD208+AD209</f>
        <v>0</v>
      </c>
      <c r="AE210" s="409">
        <f t="shared" si="19"/>
        <v>16592372</v>
      </c>
      <c r="AF210" s="410">
        <v>17192000</v>
      </c>
      <c r="AG210" s="371">
        <f>+AG190+AG196+AG202+AG203+AG208+AG209</f>
        <v>0</v>
      </c>
      <c r="AH210" s="416">
        <f t="shared" si="20"/>
        <v>17192000</v>
      </c>
      <c r="AI210" s="34"/>
      <c r="AK210" s="69"/>
      <c r="AL210" s="75"/>
      <c r="AM210" s="71"/>
      <c r="AN210" s="71"/>
      <c r="AO210" s="71"/>
      <c r="AP210" s="71"/>
      <c r="AQ210" s="71">
        <v>0</v>
      </c>
      <c r="AR210" s="72">
        <f>SUM(AM210:AQ210)</f>
        <v>0</v>
      </c>
      <c r="AS210" s="126"/>
      <c r="AT210" s="14"/>
      <c r="AU210" s="14"/>
      <c r="AV210" s="14"/>
      <c r="AW210" s="55"/>
      <c r="AZ210" s="55"/>
      <c r="BA210" s="14"/>
      <c r="BB210" s="14"/>
    </row>
    <row r="211" spans="1:54" ht="16.5" thickBot="1">
      <c r="A211" s="14"/>
      <c r="B211" s="180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T211" s="479"/>
      <c r="U211" s="480"/>
      <c r="V211" s="481" t="s">
        <v>386</v>
      </c>
      <c r="W211" s="481"/>
      <c r="X211" s="481"/>
      <c r="Y211" s="482"/>
      <c r="Z211" s="483"/>
      <c r="AA211" s="284">
        <f t="shared" si="18"/>
        <v>4239666</v>
      </c>
      <c r="AB211" s="386"/>
      <c r="AC211" s="414">
        <f>+AC188+AC210</f>
        <v>46405455</v>
      </c>
      <c r="AD211" s="414">
        <f>+AD188+AD210</f>
        <v>0</v>
      </c>
      <c r="AE211" s="409">
        <f t="shared" si="19"/>
        <v>46405455</v>
      </c>
      <c r="AF211" s="415">
        <v>42165789</v>
      </c>
      <c r="AG211" s="387">
        <f>+AG188+AG210</f>
        <v>0</v>
      </c>
      <c r="AH211" s="415">
        <f>+AH188+AH210</f>
        <v>42165789</v>
      </c>
      <c r="AI211" s="34">
        <f>+AH211-361045754</f>
        <v>-318879965</v>
      </c>
      <c r="AJ211" s="62"/>
      <c r="AK211" s="97"/>
      <c r="AL211" s="318" t="s">
        <v>422</v>
      </c>
      <c r="AM211" s="99">
        <f t="shared" ref="AM211:AR211" si="24">SUM(AM204:AM210)</f>
        <v>100000</v>
      </c>
      <c r="AN211" s="99">
        <f t="shared" si="24"/>
        <v>0</v>
      </c>
      <c r="AO211" s="99">
        <f t="shared" si="24"/>
        <v>0</v>
      </c>
      <c r="AP211" s="99">
        <f t="shared" si="24"/>
        <v>14302173</v>
      </c>
      <c r="AQ211" s="99">
        <f>SUM(AQ204:AQ210)</f>
        <v>1854064</v>
      </c>
      <c r="AR211" s="100">
        <f t="shared" si="24"/>
        <v>15856237</v>
      </c>
      <c r="AS211" s="126"/>
      <c r="AT211" s="14"/>
      <c r="AU211" s="165">
        <f>+AE252</f>
        <v>15856237</v>
      </c>
      <c r="AV211" s="14"/>
      <c r="AW211" s="60"/>
      <c r="AZ211" s="55"/>
      <c r="BA211" s="14"/>
      <c r="BB211" s="14"/>
    </row>
    <row r="212" spans="1:54" ht="17.25" thickTop="1" thickBot="1">
      <c r="A212" s="14"/>
      <c r="B212" s="180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T212" s="388"/>
      <c r="U212" s="389"/>
      <c r="V212" s="390"/>
      <c r="W212" s="390"/>
      <c r="X212" s="390"/>
      <c r="Y212" s="391"/>
      <c r="Z212" s="392"/>
      <c r="AA212" s="392"/>
      <c r="AB212" s="393"/>
      <c r="AC212" s="394"/>
      <c r="AD212" s="395"/>
      <c r="AE212" s="395"/>
      <c r="AF212" s="396"/>
      <c r="AG212" s="3"/>
      <c r="AH212" s="397">
        <f>+AF211+AG211</f>
        <v>42165789</v>
      </c>
      <c r="AI212" s="34">
        <v>1165590749</v>
      </c>
      <c r="AJ212" s="62"/>
      <c r="AK212" s="97"/>
      <c r="AL212" s="98"/>
      <c r="AM212" s="99"/>
      <c r="AN212" s="99"/>
      <c r="AO212" s="99"/>
      <c r="AP212" s="99"/>
      <c r="AQ212" s="99"/>
      <c r="AR212" s="100"/>
      <c r="AS212" s="126"/>
      <c r="AT212" s="14"/>
      <c r="AU212" s="14"/>
      <c r="AV212" s="14"/>
      <c r="AW212" s="60"/>
      <c r="AZ212" s="55"/>
      <c r="BA212" s="14"/>
      <c r="BB212" s="14"/>
    </row>
    <row r="213" spans="1:54" ht="41.25" customHeight="1" thickTop="1">
      <c r="A213" s="14"/>
      <c r="B213" s="180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T213" s="398" t="s">
        <v>287</v>
      </c>
      <c r="U213" s="399" t="s">
        <v>389</v>
      </c>
      <c r="V213" s="376"/>
      <c r="W213" s="376"/>
      <c r="X213" s="376"/>
      <c r="Y213" s="376"/>
      <c r="Z213" s="376"/>
      <c r="AA213" s="376"/>
      <c r="AB213" s="331" t="s">
        <v>21</v>
      </c>
      <c r="AC213" s="331" t="s">
        <v>424</v>
      </c>
      <c r="AD213" s="331" t="s">
        <v>362</v>
      </c>
      <c r="AE213" s="331" t="s">
        <v>421</v>
      </c>
      <c r="AF213" s="331" t="s">
        <v>33</v>
      </c>
      <c r="AG213" s="331" t="s">
        <v>56</v>
      </c>
      <c r="AH213" s="332" t="s">
        <v>421</v>
      </c>
      <c r="AI213" s="63">
        <f>+AH211-AI212</f>
        <v>-1123424960</v>
      </c>
      <c r="AJ213" s="303"/>
      <c r="AK213" s="304"/>
      <c r="AL213" s="101"/>
      <c r="AM213" s="102"/>
      <c r="AN213" s="102"/>
      <c r="AO213" s="102"/>
      <c r="AP213" s="102"/>
      <c r="AQ213" s="102"/>
      <c r="AR213" s="102"/>
      <c r="AS213" s="126"/>
      <c r="AT213" s="14"/>
      <c r="AU213" s="14"/>
      <c r="AV213" s="14"/>
      <c r="AW213" s="55"/>
      <c r="AZ213" s="55"/>
      <c r="BA213" s="14"/>
      <c r="BB213" s="14"/>
    </row>
    <row r="214" spans="1:54" ht="15.75">
      <c r="A214" s="14"/>
      <c r="B214" s="180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T214" s="378" t="s">
        <v>284</v>
      </c>
      <c r="U214" s="400" t="s">
        <v>390</v>
      </c>
      <c r="V214" s="377"/>
      <c r="W214" s="377"/>
      <c r="X214" s="377"/>
      <c r="Y214" s="377"/>
      <c r="Z214" s="377"/>
      <c r="AA214" s="377"/>
      <c r="AB214" s="282"/>
      <c r="AC214" s="409"/>
      <c r="AD214" s="409"/>
      <c r="AE214" s="409"/>
      <c r="AF214" s="319"/>
      <c r="AG214" s="282"/>
      <c r="AH214" s="283"/>
      <c r="AI214" s="306"/>
      <c r="AJ214" s="96"/>
      <c r="AK214" s="96"/>
      <c r="AL214" s="11"/>
      <c r="AM214" s="11"/>
      <c r="AN214" s="11"/>
      <c r="AO214" s="11"/>
      <c r="AP214" s="11"/>
      <c r="AQ214" s="11"/>
      <c r="AR214" s="11"/>
      <c r="AS214" s="126"/>
      <c r="AT214" s="77"/>
      <c r="AU214" s="77"/>
      <c r="AV214" s="77"/>
      <c r="AW214" s="55"/>
      <c r="AZ214" s="55"/>
      <c r="BA214" s="14"/>
      <c r="BB214" s="14"/>
    </row>
    <row r="215" spans="1:54" ht="15.75">
      <c r="A215" s="14"/>
      <c r="B215" s="180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T215" s="378">
        <v>1</v>
      </c>
      <c r="U215" s="400" t="s">
        <v>37</v>
      </c>
      <c r="V215" s="377"/>
      <c r="W215" s="377"/>
      <c r="X215" s="377"/>
      <c r="Y215" s="377"/>
      <c r="Z215" s="377"/>
      <c r="AA215" s="377"/>
      <c r="AB215" s="282"/>
      <c r="AC215" s="409">
        <v>0</v>
      </c>
      <c r="AD215" s="409"/>
      <c r="AE215" s="409">
        <f>+AC215+AD215</f>
        <v>0</v>
      </c>
      <c r="AF215" s="319">
        <f>+AG215+AH215</f>
        <v>0</v>
      </c>
      <c r="AG215" s="282"/>
      <c r="AH215" s="416">
        <v>0</v>
      </c>
      <c r="AI215" s="306"/>
      <c r="AJ215" s="96"/>
      <c r="AK215" s="96"/>
      <c r="AL215" s="11"/>
      <c r="AM215" s="11"/>
      <c r="AN215" s="11"/>
      <c r="AO215" s="11"/>
      <c r="AP215" s="190"/>
      <c r="AQ215" s="128"/>
      <c r="AR215" s="11"/>
      <c r="AS215" s="126"/>
      <c r="AT215" s="14"/>
      <c r="AU215" s="14"/>
      <c r="AV215" s="14"/>
      <c r="AW215" s="55"/>
      <c r="AZ215" s="55"/>
      <c r="BA215" s="14"/>
      <c r="BB215" s="14"/>
    </row>
    <row r="216" spans="1:54" ht="15.75">
      <c r="A216" s="14"/>
      <c r="B216" s="180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T216" s="378">
        <v>2</v>
      </c>
      <c r="U216" s="400" t="s">
        <v>266</v>
      </c>
      <c r="V216" s="377"/>
      <c r="W216" s="377"/>
      <c r="X216" s="377"/>
      <c r="Y216" s="377"/>
      <c r="Z216" s="377"/>
      <c r="AA216" s="379">
        <f>AE216-AH216</f>
        <v>1166917</v>
      </c>
      <c r="AB216" s="282"/>
      <c r="AC216" s="409">
        <f>+AC217+AC218+AC219</f>
        <v>6211153</v>
      </c>
      <c r="AD216" s="417">
        <f>+AD217+AD218+AD219</f>
        <v>1159992</v>
      </c>
      <c r="AE216" s="409">
        <f t="shared" ref="AE216:AE253" si="25">+AC216+AD216</f>
        <v>7371145</v>
      </c>
      <c r="AF216" s="319">
        <f t="shared" ref="AF216:AF252" si="26">+AG216+AH216</f>
        <v>7364220</v>
      </c>
      <c r="AG216" s="319">
        <v>1159992</v>
      </c>
      <c r="AH216" s="416">
        <v>6204228</v>
      </c>
      <c r="AI216" s="307"/>
      <c r="AJ216" s="96"/>
      <c r="AK216" s="18"/>
      <c r="AL216"/>
      <c r="AM216" s="68"/>
      <c r="AN216"/>
      <c r="AO216"/>
      <c r="AP216" s="22">
        <f>AP211</f>
        <v>14302173</v>
      </c>
      <c r="AQ216" s="22">
        <f>+AE250+AE251</f>
        <v>1854064</v>
      </c>
      <c r="AR216" s="500">
        <f>+AE252</f>
        <v>15856237</v>
      </c>
      <c r="AS216" s="126"/>
      <c r="AT216" s="14"/>
      <c r="AU216" s="14"/>
      <c r="AV216" s="14"/>
      <c r="AW216" s="55"/>
      <c r="AZ216" s="55"/>
    </row>
    <row r="217" spans="1:54" ht="15.75">
      <c r="A217" s="14"/>
      <c r="B217" s="180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T217" s="381" t="s">
        <v>376</v>
      </c>
      <c r="U217" s="401" t="s">
        <v>267</v>
      </c>
      <c r="V217" s="377"/>
      <c r="W217" s="377"/>
      <c r="X217" s="377"/>
      <c r="Y217" s="377"/>
      <c r="Z217" s="377"/>
      <c r="AA217" s="379">
        <f t="shared" ref="AA217:AA253" si="27">AE217-AH217</f>
        <v>6925</v>
      </c>
      <c r="AB217" s="282"/>
      <c r="AC217" s="418">
        <f>SUM(N73:N84)</f>
        <v>6211153</v>
      </c>
      <c r="AD217" s="419">
        <f>SUM(M73:M84)</f>
        <v>0</v>
      </c>
      <c r="AE217" s="409">
        <f t="shared" si="25"/>
        <v>6211153</v>
      </c>
      <c r="AF217" s="319">
        <f t="shared" si="26"/>
        <v>6204228</v>
      </c>
      <c r="AG217" s="420">
        <v>0</v>
      </c>
      <c r="AH217" s="416">
        <v>6204228</v>
      </c>
      <c r="AI217" s="307" t="s">
        <v>18</v>
      </c>
      <c r="AJ217" s="96"/>
      <c r="AK217" s="18"/>
      <c r="AL217"/>
      <c r="AM217" s="76" t="str">
        <f>IF((AM211-AC244)=0,"OK","E pa kuadruar")</f>
        <v>OK</v>
      </c>
      <c r="AN217"/>
      <c r="AO217"/>
      <c r="AP217" s="76" t="s">
        <v>432</v>
      </c>
      <c r="AQ217" s="76" t="str">
        <f>IF((AQ211-(AE250+AE251))=0,"OK","E pa kuadruar")</f>
        <v>OK</v>
      </c>
      <c r="AR217" s="76" t="str">
        <f>IF((AR211-AE252)=0,"OK","E pa kuadruar")</f>
        <v>OK</v>
      </c>
      <c r="AS217" s="126"/>
      <c r="AT217" s="14"/>
      <c r="AU217" s="14"/>
      <c r="AV217" s="14"/>
      <c r="AW217" s="55"/>
      <c r="AZ217" s="55"/>
    </row>
    <row r="218" spans="1:54" ht="15.75">
      <c r="A218" s="14"/>
      <c r="B218" s="180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T218" s="381" t="s">
        <v>377</v>
      </c>
      <c r="U218" s="401" t="s">
        <v>268</v>
      </c>
      <c r="V218" s="377"/>
      <c r="W218" s="377"/>
      <c r="X218" s="377"/>
      <c r="Y218" s="377"/>
      <c r="Z218" s="377"/>
      <c r="AA218" s="379">
        <f t="shared" si="27"/>
        <v>1159992</v>
      </c>
      <c r="AB218" s="282"/>
      <c r="AC218" s="418"/>
      <c r="AD218" s="419">
        <v>1159992</v>
      </c>
      <c r="AE218" s="409">
        <f t="shared" si="25"/>
        <v>1159992</v>
      </c>
      <c r="AF218" s="319">
        <f t="shared" si="26"/>
        <v>1159992</v>
      </c>
      <c r="AG218" s="282">
        <v>1159992</v>
      </c>
      <c r="AH218" s="416"/>
      <c r="AI218" s="307" t="s">
        <v>118</v>
      </c>
      <c r="AJ218" s="96"/>
      <c r="AK218" s="52"/>
      <c r="AL218" s="56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55"/>
      <c r="AZ218" s="55"/>
    </row>
    <row r="219" spans="1:54" ht="16.5" thickBot="1">
      <c r="A219" s="14"/>
      <c r="B219" s="180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T219" s="381" t="s">
        <v>378</v>
      </c>
      <c r="U219" s="401" t="s">
        <v>269</v>
      </c>
      <c r="V219" s="377"/>
      <c r="W219" s="377"/>
      <c r="X219" s="377"/>
      <c r="Y219" s="377"/>
      <c r="Z219" s="377"/>
      <c r="AA219" s="379">
        <f t="shared" si="27"/>
        <v>0</v>
      </c>
      <c r="AB219" s="282"/>
      <c r="AC219" s="418"/>
      <c r="AD219" s="419"/>
      <c r="AE219" s="409">
        <f t="shared" si="25"/>
        <v>0</v>
      </c>
      <c r="AF219" s="319">
        <f t="shared" si="26"/>
        <v>0</v>
      </c>
      <c r="AG219" s="282"/>
      <c r="AH219" s="416"/>
      <c r="AI219" s="306"/>
      <c r="AJ219" s="96"/>
      <c r="AK219" s="52"/>
      <c r="AL219" s="56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55"/>
      <c r="AZ219" s="55"/>
    </row>
    <row r="220" spans="1:54" ht="15.75" thickTop="1">
      <c r="A220" s="14"/>
      <c r="B220" s="180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T220" s="381"/>
      <c r="U220" s="402" t="s">
        <v>39</v>
      </c>
      <c r="V220" s="377"/>
      <c r="W220" s="377"/>
      <c r="X220" s="377"/>
      <c r="Y220" s="377"/>
      <c r="Z220" s="377"/>
      <c r="AA220" s="379">
        <f t="shared" si="27"/>
        <v>1166917</v>
      </c>
      <c r="AB220" s="282"/>
      <c r="AC220" s="418">
        <f>SUM(AC217:AC219)</f>
        <v>6211153</v>
      </c>
      <c r="AD220" s="419">
        <f>SUM(AD217:AD219)</f>
        <v>1159992</v>
      </c>
      <c r="AE220" s="409">
        <f t="shared" si="25"/>
        <v>7371145</v>
      </c>
      <c r="AF220" s="319">
        <f t="shared" si="26"/>
        <v>7364220</v>
      </c>
      <c r="AG220" s="421">
        <v>1159992</v>
      </c>
      <c r="AH220" s="416">
        <v>6204228</v>
      </c>
      <c r="AI220" s="308"/>
      <c r="AJ220" s="96"/>
      <c r="AK220" s="309"/>
      <c r="AL220" s="78" t="s">
        <v>49</v>
      </c>
      <c r="AM220" s="79"/>
      <c r="AN220" s="14"/>
      <c r="AO220" s="14"/>
      <c r="AP220" s="14"/>
      <c r="AQ220" s="14"/>
      <c r="AR220" s="14"/>
      <c r="AS220" s="14"/>
      <c r="AT220" s="14"/>
      <c r="AU220" s="14"/>
      <c r="AV220" s="14"/>
      <c r="AW220" s="61"/>
      <c r="AZ220" s="61"/>
    </row>
    <row r="221" spans="1:54" ht="15">
      <c r="A221" s="14"/>
      <c r="B221" s="180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T221" s="378">
        <v>3</v>
      </c>
      <c r="U221" s="400" t="s">
        <v>270</v>
      </c>
      <c r="V221" s="377"/>
      <c r="W221" s="377"/>
      <c r="X221" s="377"/>
      <c r="Y221" s="377"/>
      <c r="Z221" s="377"/>
      <c r="AA221" s="379">
        <f t="shared" si="27"/>
        <v>3579077</v>
      </c>
      <c r="AB221" s="282"/>
      <c r="AC221" s="409">
        <f>+AC222+AC223+AC224+AC225+AC226</f>
        <v>23414873</v>
      </c>
      <c r="AD221" s="417">
        <f>+AD222+AD223+AD224+AD225+AD226</f>
        <v>0</v>
      </c>
      <c r="AE221" s="409">
        <f t="shared" si="25"/>
        <v>23414873</v>
      </c>
      <c r="AF221" s="319">
        <f t="shared" si="26"/>
        <v>19835796</v>
      </c>
      <c r="AG221" s="422">
        <v>0</v>
      </c>
      <c r="AH221" s="416">
        <v>19835796</v>
      </c>
      <c r="AI221" s="308"/>
      <c r="AJ221" s="96"/>
      <c r="AK221" s="310"/>
      <c r="AL221" s="75" t="s">
        <v>50</v>
      </c>
      <c r="AM221" s="81">
        <f>+AH251+AH250</f>
        <v>2444033</v>
      </c>
      <c r="AN221" s="14"/>
      <c r="AO221" s="14"/>
      <c r="AP221" s="14"/>
      <c r="AQ221" s="14"/>
      <c r="AR221" s="14"/>
      <c r="AS221" s="14"/>
      <c r="AT221" s="14"/>
      <c r="AU221" s="14"/>
      <c r="AV221" s="14"/>
      <c r="AW221" s="55"/>
      <c r="AZ221" s="60"/>
    </row>
    <row r="222" spans="1:54" ht="15">
      <c r="A222" s="14"/>
      <c r="B222" s="180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T222" s="381" t="s">
        <v>376</v>
      </c>
      <c r="U222" s="401" t="s">
        <v>271</v>
      </c>
      <c r="V222" s="377"/>
      <c r="W222" s="377"/>
      <c r="X222" s="377"/>
      <c r="Y222" s="377"/>
      <c r="Z222" s="377"/>
      <c r="AA222" s="379">
        <f t="shared" si="27"/>
        <v>3055487</v>
      </c>
      <c r="AB222" s="282"/>
      <c r="AC222" s="418">
        <f>+N46</f>
        <v>21902391</v>
      </c>
      <c r="AD222" s="419">
        <f>+M46</f>
        <v>0</v>
      </c>
      <c r="AE222" s="409">
        <f t="shared" si="25"/>
        <v>21902391</v>
      </c>
      <c r="AF222" s="319">
        <f t="shared" si="26"/>
        <v>18846904</v>
      </c>
      <c r="AG222" s="418">
        <v>0</v>
      </c>
      <c r="AH222" s="416">
        <v>18846904</v>
      </c>
      <c r="AI222" s="308"/>
      <c r="AJ222" s="96"/>
      <c r="AK222" s="310">
        <v>1</v>
      </c>
      <c r="AL222" s="80" t="s">
        <v>51</v>
      </c>
      <c r="AM222" s="81">
        <f>+AC244-AF244</f>
        <v>0</v>
      </c>
      <c r="AN222" s="14"/>
      <c r="AO222" s="14"/>
      <c r="AP222" s="14"/>
      <c r="AQ222" s="14"/>
      <c r="AR222" s="14"/>
      <c r="AS222" s="14"/>
      <c r="AT222" s="14"/>
      <c r="AU222" s="14"/>
      <c r="AV222" s="14"/>
      <c r="AW222" s="55"/>
      <c r="AZ222" s="55"/>
    </row>
    <row r="223" spans="1:54" ht="15">
      <c r="A223" s="14"/>
      <c r="B223" s="180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T223" s="381" t="s">
        <v>377</v>
      </c>
      <c r="U223" s="401" t="s">
        <v>272</v>
      </c>
      <c r="V223" s="377"/>
      <c r="W223" s="377"/>
      <c r="X223" s="377"/>
      <c r="Y223" s="377"/>
      <c r="Z223" s="377"/>
      <c r="AA223" s="379">
        <f t="shared" si="27"/>
        <v>-117775</v>
      </c>
      <c r="AB223" s="282"/>
      <c r="AC223" s="418">
        <f>+N52</f>
        <v>0</v>
      </c>
      <c r="AD223" s="419">
        <f>+M52</f>
        <v>0</v>
      </c>
      <c r="AE223" s="409">
        <f t="shared" si="25"/>
        <v>0</v>
      </c>
      <c r="AF223" s="319">
        <f t="shared" si="26"/>
        <v>117775</v>
      </c>
      <c r="AG223" s="418">
        <v>0</v>
      </c>
      <c r="AH223" s="416">
        <v>117775</v>
      </c>
      <c r="AI223" s="308"/>
      <c r="AJ223" s="96"/>
      <c r="AK223" s="310">
        <v>2</v>
      </c>
      <c r="AL223" s="80" t="s">
        <v>52</v>
      </c>
      <c r="AM223" s="81">
        <f>+(AC247-AF247)+(AC248-AF248)+(AC249-AF249)</f>
        <v>2144033</v>
      </c>
      <c r="AN223" s="14"/>
      <c r="AO223" s="14"/>
      <c r="AP223" s="14"/>
      <c r="AQ223" s="333"/>
      <c r="AR223" s="14"/>
      <c r="AS223" s="14"/>
      <c r="AT223" s="14"/>
      <c r="AU223" s="14"/>
      <c r="AV223" s="14"/>
      <c r="AW223" s="60"/>
      <c r="AZ223" s="21"/>
    </row>
    <row r="224" spans="1:54" ht="15">
      <c r="A224" s="14"/>
      <c r="B224" s="180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T224" s="381" t="s">
        <v>378</v>
      </c>
      <c r="U224" s="401" t="s">
        <v>273</v>
      </c>
      <c r="V224" s="377"/>
      <c r="W224" s="377"/>
      <c r="X224" s="377"/>
      <c r="Y224" s="377"/>
      <c r="Z224" s="377"/>
      <c r="AA224" s="379">
        <f t="shared" si="27"/>
        <v>393125</v>
      </c>
      <c r="AB224" s="282"/>
      <c r="AC224" s="418">
        <f>+N55+N56+N57+N58+N59+N60+N61+N62+N63+N64</f>
        <v>1264242</v>
      </c>
      <c r="AD224" s="419">
        <f>+M55+M56+M57+M58+M59+M60+M61+M62+M63+M64</f>
        <v>0</v>
      </c>
      <c r="AE224" s="409">
        <f t="shared" si="25"/>
        <v>1264242</v>
      </c>
      <c r="AF224" s="319">
        <f t="shared" si="26"/>
        <v>871117</v>
      </c>
      <c r="AG224" s="418">
        <v>0</v>
      </c>
      <c r="AH224" s="416">
        <v>871117</v>
      </c>
      <c r="AI224" s="307"/>
      <c r="AJ224" s="96"/>
      <c r="AK224" s="310">
        <v>3</v>
      </c>
      <c r="AL224" s="80" t="s">
        <v>203</v>
      </c>
      <c r="AM224" s="81">
        <f>+AM221-AM222-AM223-AM225</f>
        <v>300000</v>
      </c>
      <c r="AN224" s="14"/>
      <c r="AO224" s="14"/>
      <c r="AP224" s="14"/>
      <c r="AQ224" s="14"/>
      <c r="AR224" s="14"/>
      <c r="AS224" s="14"/>
      <c r="AT224" s="14"/>
      <c r="AU224" s="14"/>
      <c r="AV224" s="14"/>
      <c r="AW224" s="55"/>
      <c r="AZ224" s="55"/>
    </row>
    <row r="225" spans="1:52" ht="15">
      <c r="A225" s="14"/>
      <c r="B225" s="180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T225" s="381" t="s">
        <v>379</v>
      </c>
      <c r="U225" s="401" t="s">
        <v>274</v>
      </c>
      <c r="V225" s="377"/>
      <c r="W225" s="377"/>
      <c r="X225" s="377"/>
      <c r="Y225" s="377"/>
      <c r="Z225" s="377"/>
      <c r="AA225" s="379">
        <f t="shared" si="27"/>
        <v>300000</v>
      </c>
      <c r="AB225" s="282"/>
      <c r="AC225" s="418">
        <f>+N66+N68</f>
        <v>300000</v>
      </c>
      <c r="AD225" s="419">
        <f>+M66+M68</f>
        <v>0</v>
      </c>
      <c r="AE225" s="409">
        <f t="shared" si="25"/>
        <v>300000</v>
      </c>
      <c r="AF225" s="319">
        <f t="shared" si="26"/>
        <v>0</v>
      </c>
      <c r="AG225" s="418">
        <v>0</v>
      </c>
      <c r="AH225" s="416">
        <v>0</v>
      </c>
      <c r="AI225" s="63" t="s">
        <v>119</v>
      </c>
      <c r="AJ225" s="96"/>
      <c r="AK225" s="310">
        <v>4</v>
      </c>
      <c r="AL225" s="80" t="s">
        <v>53</v>
      </c>
      <c r="AM225" s="81">
        <f>+AC250</f>
        <v>0</v>
      </c>
      <c r="AN225" s="14"/>
      <c r="AO225" s="14"/>
      <c r="AP225" s="14"/>
      <c r="AQ225" s="14"/>
      <c r="AR225" s="14"/>
      <c r="AS225" s="14"/>
      <c r="AT225" s="14"/>
      <c r="AU225" s="14"/>
      <c r="AV225" s="14"/>
      <c r="AW225" s="55"/>
      <c r="AZ225" s="55"/>
    </row>
    <row r="226" spans="1:52" ht="15.75" thickBot="1">
      <c r="A226" s="14"/>
      <c r="B226" s="180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T226" s="381" t="s">
        <v>380</v>
      </c>
      <c r="U226" s="401" t="s">
        <v>275</v>
      </c>
      <c r="V226" s="377"/>
      <c r="W226" s="377"/>
      <c r="X226" s="377"/>
      <c r="Y226" s="377"/>
      <c r="Z226" s="377"/>
      <c r="AA226" s="379">
        <f>AE226-AH226</f>
        <v>-51760</v>
      </c>
      <c r="AB226" s="282"/>
      <c r="AC226" s="418">
        <v>-51760</v>
      </c>
      <c r="AD226" s="419">
        <v>0</v>
      </c>
      <c r="AE226" s="409">
        <f t="shared" si="25"/>
        <v>-51760</v>
      </c>
      <c r="AF226" s="319">
        <f t="shared" si="26"/>
        <v>0</v>
      </c>
      <c r="AG226" s="418">
        <v>0</v>
      </c>
      <c r="AH226" s="416">
        <v>0</v>
      </c>
      <c r="AI226" s="307"/>
      <c r="AJ226" s="96"/>
      <c r="AK226" s="311"/>
      <c r="AL226" s="129"/>
      <c r="AM226" s="130">
        <f>SUM(AM222:AM225)</f>
        <v>2444033</v>
      </c>
      <c r="AN226" s="14"/>
      <c r="AO226" s="14"/>
      <c r="AP226" s="14"/>
      <c r="AQ226" s="333"/>
      <c r="AR226" s="14"/>
      <c r="AS226" s="14"/>
      <c r="AT226" s="14"/>
      <c r="AU226" s="14"/>
      <c r="AV226" s="14"/>
      <c r="AW226" s="55"/>
      <c r="AZ226" s="55"/>
    </row>
    <row r="227" spans="1:52" ht="16.5" thickTop="1">
      <c r="A227" s="14"/>
      <c r="B227" s="180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T227" s="378"/>
      <c r="U227" s="402" t="s">
        <v>39</v>
      </c>
      <c r="V227" s="377"/>
      <c r="W227" s="377"/>
      <c r="X227" s="377"/>
      <c r="Y227" s="377"/>
      <c r="Z227" s="377"/>
      <c r="AA227" s="379">
        <f t="shared" si="27"/>
        <v>3579077</v>
      </c>
      <c r="AB227" s="282"/>
      <c r="AC227" s="418">
        <f>SUM(AC222:AC226)</f>
        <v>23414873</v>
      </c>
      <c r="AD227" s="419">
        <f>SUM(AD222:AD226)</f>
        <v>0</v>
      </c>
      <c r="AE227" s="409">
        <f t="shared" si="25"/>
        <v>23414873</v>
      </c>
      <c r="AF227" s="319">
        <f t="shared" si="26"/>
        <v>19835796</v>
      </c>
      <c r="AG227" s="418">
        <v>0</v>
      </c>
      <c r="AH227" s="416">
        <v>19835796</v>
      </c>
      <c r="AI227" s="312"/>
      <c r="AJ227" s="96"/>
      <c r="AK227" s="52"/>
      <c r="AL227" s="5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55"/>
      <c r="AZ227" s="55"/>
    </row>
    <row r="228" spans="1:52" ht="15.75">
      <c r="A228" s="14"/>
      <c r="B228" s="180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T228" s="378">
        <v>4</v>
      </c>
      <c r="U228" s="400" t="s">
        <v>276</v>
      </c>
      <c r="V228" s="377"/>
      <c r="W228" s="377"/>
      <c r="X228" s="377"/>
      <c r="Y228" s="377"/>
      <c r="Z228" s="377"/>
      <c r="AA228" s="379">
        <f t="shared" si="27"/>
        <v>0</v>
      </c>
      <c r="AB228" s="282"/>
      <c r="AC228" s="409"/>
      <c r="AD228" s="417"/>
      <c r="AE228" s="409">
        <f t="shared" si="25"/>
        <v>0</v>
      </c>
      <c r="AF228" s="319">
        <f t="shared" si="26"/>
        <v>0</v>
      </c>
      <c r="AG228" s="245"/>
      <c r="AH228" s="416"/>
      <c r="AI228" s="307"/>
      <c r="AJ228" s="96"/>
      <c r="AK228" s="52"/>
      <c r="AL228" s="57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61"/>
      <c r="AZ228" s="61"/>
    </row>
    <row r="229" spans="1:52" ht="15.75">
      <c r="A229" s="14"/>
      <c r="B229" s="180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T229" s="378">
        <v>5</v>
      </c>
      <c r="U229" s="400" t="s">
        <v>277</v>
      </c>
      <c r="V229" s="377"/>
      <c r="W229" s="377"/>
      <c r="X229" s="377"/>
      <c r="Y229" s="377"/>
      <c r="Z229" s="377"/>
      <c r="AA229" s="379">
        <f t="shared" si="27"/>
        <v>0</v>
      </c>
      <c r="AB229" s="282"/>
      <c r="AC229" s="409"/>
      <c r="AD229" s="417"/>
      <c r="AE229" s="409">
        <f t="shared" si="25"/>
        <v>0</v>
      </c>
      <c r="AF229" s="319">
        <f t="shared" si="26"/>
        <v>0</v>
      </c>
      <c r="AG229" s="245"/>
      <c r="AH229" s="416"/>
      <c r="AI229" s="307"/>
      <c r="AJ229" s="96"/>
      <c r="AK229" s="52"/>
      <c r="AL229" s="59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55"/>
      <c r="AZ229" s="60"/>
    </row>
    <row r="230" spans="1:52" ht="15.75">
      <c r="A230" s="14"/>
      <c r="B230" s="180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T230" s="378"/>
      <c r="U230" s="403" t="s">
        <v>391</v>
      </c>
      <c r="V230" s="404"/>
      <c r="W230" s="404"/>
      <c r="X230" s="404"/>
      <c r="Y230" s="404"/>
      <c r="Z230" s="377"/>
      <c r="AA230" s="379">
        <f t="shared" si="27"/>
        <v>4745994</v>
      </c>
      <c r="AB230" s="282"/>
      <c r="AC230" s="409">
        <f>+AC215+AC216+AC221+AC228+AC229</f>
        <v>29626026</v>
      </c>
      <c r="AD230" s="417">
        <f>+AD215+AD216+AD221+AD228+AD229</f>
        <v>1159992</v>
      </c>
      <c r="AE230" s="409">
        <f t="shared" si="25"/>
        <v>30786018</v>
      </c>
      <c r="AF230" s="319">
        <f t="shared" si="26"/>
        <v>27200016</v>
      </c>
      <c r="AG230" s="409">
        <v>1159992</v>
      </c>
      <c r="AH230" s="416">
        <v>26040024</v>
      </c>
      <c r="AI230" s="307"/>
      <c r="AJ230" s="313"/>
      <c r="AK230" s="52"/>
      <c r="AL230" s="53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55"/>
      <c r="AZ230" s="55"/>
    </row>
    <row r="231" spans="1:52" ht="15.75">
      <c r="A231" s="14"/>
      <c r="B231" s="180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T231" s="378" t="s">
        <v>285</v>
      </c>
      <c r="U231" s="400" t="s">
        <v>392</v>
      </c>
      <c r="V231" s="377"/>
      <c r="W231" s="377"/>
      <c r="X231" s="377"/>
      <c r="Y231" s="377"/>
      <c r="Z231" s="377"/>
      <c r="AA231" s="379">
        <f t="shared" si="27"/>
        <v>0</v>
      </c>
      <c r="AB231" s="282"/>
      <c r="AC231" s="418"/>
      <c r="AD231" s="419"/>
      <c r="AE231" s="409">
        <f t="shared" si="25"/>
        <v>0</v>
      </c>
      <c r="AF231" s="319">
        <f>+AG231+AH231</f>
        <v>0</v>
      </c>
      <c r="AG231" s="245"/>
      <c r="AH231" s="416"/>
      <c r="AI231" s="307"/>
      <c r="AJ231" s="96"/>
      <c r="AK231" s="52"/>
      <c r="AL231" s="53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55"/>
      <c r="AZ231" s="55"/>
    </row>
    <row r="232" spans="1:52" ht="15.75">
      <c r="A232" s="14"/>
      <c r="B232" s="180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T232" s="378">
        <v>1</v>
      </c>
      <c r="U232" s="400" t="s">
        <v>210</v>
      </c>
      <c r="V232" s="377"/>
      <c r="W232" s="377"/>
      <c r="X232" s="377"/>
      <c r="Y232" s="377"/>
      <c r="Z232" s="377"/>
      <c r="AA232" s="379">
        <f t="shared" si="27"/>
        <v>-2060392</v>
      </c>
      <c r="AB232" s="282"/>
      <c r="AC232" s="409">
        <f>+AC233+AC234</f>
        <v>923192</v>
      </c>
      <c r="AD232" s="417">
        <f>+AD233+AD234</f>
        <v>-1159992</v>
      </c>
      <c r="AE232" s="409">
        <f t="shared" si="25"/>
        <v>-236800</v>
      </c>
      <c r="AF232" s="319">
        <f t="shared" si="26"/>
        <v>663600</v>
      </c>
      <c r="AG232" s="319">
        <v>-1159992</v>
      </c>
      <c r="AH232" s="416">
        <v>1823592</v>
      </c>
      <c r="AI232" s="306"/>
      <c r="AJ232" s="96"/>
      <c r="AK232" s="52"/>
      <c r="AL232" s="53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55"/>
      <c r="AZ232" s="55"/>
    </row>
    <row r="233" spans="1:52" ht="15.75">
      <c r="A233" s="14"/>
      <c r="B233" s="180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T233" s="381" t="s">
        <v>376</v>
      </c>
      <c r="U233" s="401" t="s">
        <v>19</v>
      </c>
      <c r="V233" s="377"/>
      <c r="W233" s="377"/>
      <c r="X233" s="377"/>
      <c r="Y233" s="377"/>
      <c r="Z233" s="377"/>
      <c r="AA233" s="379">
        <f t="shared" si="27"/>
        <v>-2060392</v>
      </c>
      <c r="AB233" s="282"/>
      <c r="AC233" s="418">
        <f>+N19</f>
        <v>923192</v>
      </c>
      <c r="AD233" s="419">
        <f>+M19-1159992</f>
        <v>-1159992</v>
      </c>
      <c r="AE233" s="409">
        <f t="shared" si="25"/>
        <v>-236800</v>
      </c>
      <c r="AF233" s="319">
        <f t="shared" si="26"/>
        <v>663600</v>
      </c>
      <c r="AG233" s="418">
        <v>-1159992</v>
      </c>
      <c r="AH233" s="416">
        <v>1823592</v>
      </c>
      <c r="AI233" s="306"/>
      <c r="AJ233" s="96"/>
      <c r="AK233" s="52"/>
      <c r="AL233" s="53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55"/>
      <c r="AZ233" s="55"/>
    </row>
    <row r="234" spans="1:52" ht="15.75">
      <c r="A234" s="14"/>
      <c r="B234" s="180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T234" s="381" t="s">
        <v>377</v>
      </c>
      <c r="U234" s="401" t="s">
        <v>211</v>
      </c>
      <c r="V234" s="377"/>
      <c r="W234" s="377"/>
      <c r="X234" s="377"/>
      <c r="Y234" s="377"/>
      <c r="Z234" s="377"/>
      <c r="AA234" s="379">
        <f t="shared" si="27"/>
        <v>0</v>
      </c>
      <c r="AB234" s="282"/>
      <c r="AC234" s="418"/>
      <c r="AD234" s="419"/>
      <c r="AE234" s="409">
        <f t="shared" si="25"/>
        <v>0</v>
      </c>
      <c r="AF234" s="319">
        <f t="shared" si="26"/>
        <v>0</v>
      </c>
      <c r="AG234" s="282"/>
      <c r="AH234" s="416"/>
      <c r="AI234" s="306"/>
      <c r="AJ234" s="96"/>
      <c r="AK234" s="96"/>
    </row>
    <row r="235" spans="1:52" ht="15.75">
      <c r="A235" s="14"/>
      <c r="B235" s="180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T235" s="381"/>
      <c r="U235" s="402" t="s">
        <v>39</v>
      </c>
      <c r="V235" s="377"/>
      <c r="W235" s="377"/>
      <c r="X235" s="377"/>
      <c r="Y235" s="377"/>
      <c r="Z235" s="377"/>
      <c r="AA235" s="379">
        <f t="shared" si="27"/>
        <v>-2060392</v>
      </c>
      <c r="AB235" s="282"/>
      <c r="AC235" s="418">
        <f>SUM(AC233:AC234)</f>
        <v>923192</v>
      </c>
      <c r="AD235" s="419">
        <f>SUM(AD233:AD234)</f>
        <v>-1159992</v>
      </c>
      <c r="AE235" s="409">
        <f t="shared" si="25"/>
        <v>-236800</v>
      </c>
      <c r="AF235" s="319">
        <f t="shared" si="26"/>
        <v>663600</v>
      </c>
      <c r="AG235" s="418">
        <v>-1159992</v>
      </c>
      <c r="AH235" s="416">
        <v>1823592</v>
      </c>
      <c r="AI235" s="306"/>
      <c r="AJ235" s="96"/>
      <c r="AK235" s="96"/>
      <c r="AP235" s="3"/>
    </row>
    <row r="236" spans="1:52" ht="15">
      <c r="A236" s="14"/>
      <c r="B236" s="180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T236" s="378">
        <v>2</v>
      </c>
      <c r="U236" s="400" t="s">
        <v>212</v>
      </c>
      <c r="V236" s="377"/>
      <c r="W236" s="377"/>
      <c r="X236" s="377"/>
      <c r="Y236" s="377"/>
      <c r="Z236" s="377"/>
      <c r="AA236" s="379">
        <f t="shared" si="27"/>
        <v>0</v>
      </c>
      <c r="AB236" s="282"/>
      <c r="AC236" s="409">
        <f>N65+N20</f>
        <v>0</v>
      </c>
      <c r="AD236" s="417">
        <f>+M20</f>
        <v>0</v>
      </c>
      <c r="AE236" s="409">
        <f t="shared" si="25"/>
        <v>0</v>
      </c>
      <c r="AF236" s="319">
        <f t="shared" si="26"/>
        <v>0</v>
      </c>
      <c r="AG236" s="418">
        <v>0</v>
      </c>
      <c r="AH236" s="416">
        <v>0</v>
      </c>
      <c r="AI236" s="63" t="s">
        <v>120</v>
      </c>
      <c r="AJ236" s="96"/>
      <c r="AK236" s="96"/>
    </row>
    <row r="237" spans="1:52" ht="15.75">
      <c r="A237" s="14"/>
      <c r="B237" s="180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T237" s="378">
        <v>3</v>
      </c>
      <c r="U237" s="400" t="s">
        <v>213</v>
      </c>
      <c r="V237" s="377"/>
      <c r="W237" s="377"/>
      <c r="X237" s="377"/>
      <c r="Y237" s="377"/>
      <c r="Z237" s="377"/>
      <c r="AA237" s="379">
        <f t="shared" si="27"/>
        <v>0</v>
      </c>
      <c r="AB237" s="282"/>
      <c r="AC237" s="409">
        <f>+N17</f>
        <v>0</v>
      </c>
      <c r="AD237" s="417"/>
      <c r="AE237" s="409">
        <f t="shared" si="25"/>
        <v>0</v>
      </c>
      <c r="AF237" s="319">
        <f t="shared" si="26"/>
        <v>0</v>
      </c>
      <c r="AG237" s="245"/>
      <c r="AH237" s="416">
        <v>0</v>
      </c>
      <c r="AI237" s="306"/>
      <c r="AJ237" s="96"/>
      <c r="AK237" s="96"/>
    </row>
    <row r="238" spans="1:52" ht="15.75">
      <c r="A238" s="14"/>
      <c r="B238" s="180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T238" s="378">
        <v>4</v>
      </c>
      <c r="U238" s="400" t="s">
        <v>276</v>
      </c>
      <c r="V238" s="377"/>
      <c r="W238" s="377"/>
      <c r="X238" s="377"/>
      <c r="Y238" s="377"/>
      <c r="Z238" s="377"/>
      <c r="AA238" s="379">
        <f t="shared" si="27"/>
        <v>0</v>
      </c>
      <c r="AB238" s="282"/>
      <c r="AC238" s="409">
        <f>+N16</f>
        <v>0</v>
      </c>
      <c r="AD238" s="417">
        <f>+M16</f>
        <v>0</v>
      </c>
      <c r="AE238" s="409">
        <f t="shared" si="25"/>
        <v>0</v>
      </c>
      <c r="AF238" s="319">
        <f t="shared" si="26"/>
        <v>0</v>
      </c>
      <c r="AG238" s="409">
        <v>0</v>
      </c>
      <c r="AH238" s="416">
        <v>0</v>
      </c>
      <c r="AI238" s="306">
        <f>+AC238-AF238</f>
        <v>0</v>
      </c>
      <c r="AJ238" s="96"/>
      <c r="AK238" s="96"/>
    </row>
    <row r="239" spans="1:52" ht="15">
      <c r="A239" s="14"/>
      <c r="B239" s="180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T239" s="378"/>
      <c r="U239" s="400" t="s">
        <v>395</v>
      </c>
      <c r="V239" s="377"/>
      <c r="W239" s="377"/>
      <c r="X239" s="377"/>
      <c r="Y239" s="377"/>
      <c r="Z239" s="377"/>
      <c r="AA239" s="379">
        <f t="shared" si="27"/>
        <v>-2060392</v>
      </c>
      <c r="AB239" s="282"/>
      <c r="AC239" s="409">
        <f>+AC232+AC236+AC237+AC238</f>
        <v>923192</v>
      </c>
      <c r="AD239" s="417">
        <f>+AD232+AD236+AD237+AD238</f>
        <v>-1159992</v>
      </c>
      <c r="AE239" s="409">
        <f t="shared" si="25"/>
        <v>-236800</v>
      </c>
      <c r="AF239" s="319">
        <f t="shared" si="26"/>
        <v>663600</v>
      </c>
      <c r="AG239" s="422">
        <v>-1159992</v>
      </c>
      <c r="AH239" s="416">
        <v>1823592</v>
      </c>
      <c r="AI239" s="307"/>
      <c r="AJ239" s="96"/>
      <c r="AK239" s="96"/>
    </row>
    <row r="240" spans="1:52" ht="15">
      <c r="A240" s="14"/>
      <c r="B240" s="180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T240" s="382"/>
      <c r="U240" s="400" t="s">
        <v>393</v>
      </c>
      <c r="V240" s="377"/>
      <c r="W240" s="377"/>
      <c r="X240" s="377"/>
      <c r="Y240" s="377"/>
      <c r="Z240" s="377"/>
      <c r="AA240" s="379">
        <f t="shared" si="27"/>
        <v>2685602</v>
      </c>
      <c r="AB240" s="282"/>
      <c r="AC240" s="408">
        <f>+AC230+AC239</f>
        <v>30549218</v>
      </c>
      <c r="AD240" s="423">
        <f>+AD230+AD239</f>
        <v>0</v>
      </c>
      <c r="AE240" s="409">
        <f t="shared" si="25"/>
        <v>30549218</v>
      </c>
      <c r="AF240" s="319">
        <f t="shared" si="26"/>
        <v>27863616</v>
      </c>
      <c r="AG240" s="422">
        <v>0</v>
      </c>
      <c r="AH240" s="416">
        <v>27863616</v>
      </c>
      <c r="AI240" s="314"/>
      <c r="AJ240" s="96"/>
      <c r="AK240" s="96"/>
    </row>
    <row r="241" spans="1:37" ht="15">
      <c r="A241" s="14"/>
      <c r="B241" s="180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T241" s="378" t="s">
        <v>201</v>
      </c>
      <c r="U241" s="400" t="s">
        <v>214</v>
      </c>
      <c r="V241" s="377"/>
      <c r="W241" s="377"/>
      <c r="X241" s="377"/>
      <c r="Y241" s="377"/>
      <c r="Z241" s="377"/>
      <c r="AA241" s="379">
        <f t="shared" si="27"/>
        <v>0</v>
      </c>
      <c r="AB241" s="282"/>
      <c r="AC241" s="411"/>
      <c r="AD241" s="413"/>
      <c r="AE241" s="409">
        <f t="shared" si="25"/>
        <v>0</v>
      </c>
      <c r="AF241" s="319">
        <f t="shared" si="26"/>
        <v>0</v>
      </c>
      <c r="AG241" s="282"/>
      <c r="AH241" s="416"/>
      <c r="AI241" s="314"/>
      <c r="AJ241" s="96"/>
      <c r="AK241" s="96"/>
    </row>
    <row r="242" spans="1:37" ht="15">
      <c r="A242" s="14"/>
      <c r="B242" s="180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T242" s="378">
        <v>1</v>
      </c>
      <c r="U242" s="400" t="s">
        <v>215</v>
      </c>
      <c r="V242" s="377"/>
      <c r="W242" s="377"/>
      <c r="X242" s="377"/>
      <c r="Y242" s="377"/>
      <c r="Z242" s="377"/>
      <c r="AA242" s="379">
        <f t="shared" si="27"/>
        <v>0</v>
      </c>
      <c r="AB242" s="282"/>
      <c r="AC242" s="408">
        <v>0</v>
      </c>
      <c r="AD242" s="423"/>
      <c r="AE242" s="409">
        <f t="shared" si="25"/>
        <v>0</v>
      </c>
      <c r="AF242" s="319">
        <f t="shared" si="26"/>
        <v>0</v>
      </c>
      <c r="AG242" s="282"/>
      <c r="AH242" s="416">
        <v>0</v>
      </c>
      <c r="AI242" s="314"/>
      <c r="AJ242" s="96"/>
      <c r="AK242" s="96"/>
    </row>
    <row r="243" spans="1:37" ht="15.75">
      <c r="A243" s="14"/>
      <c r="B243" s="180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T243" s="378">
        <v>2</v>
      </c>
      <c r="U243" s="400" t="s">
        <v>216</v>
      </c>
      <c r="V243" s="377"/>
      <c r="W243" s="377"/>
      <c r="X243" s="377"/>
      <c r="Y243" s="377"/>
      <c r="Z243" s="377"/>
      <c r="AA243" s="379">
        <f t="shared" si="27"/>
        <v>0</v>
      </c>
      <c r="AB243" s="282"/>
      <c r="AC243" s="408">
        <v>0</v>
      </c>
      <c r="AD243" s="423"/>
      <c r="AE243" s="409">
        <f t="shared" si="25"/>
        <v>0</v>
      </c>
      <c r="AF243" s="319">
        <f t="shared" si="26"/>
        <v>0</v>
      </c>
      <c r="AG243" s="282"/>
      <c r="AH243" s="416">
        <v>0</v>
      </c>
      <c r="AI243" s="315"/>
      <c r="AJ243" s="96"/>
      <c r="AK243" s="96"/>
    </row>
    <row r="244" spans="1:37" ht="15">
      <c r="A244" s="14"/>
      <c r="B244" s="180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T244" s="378">
        <v>3</v>
      </c>
      <c r="U244" s="400" t="s">
        <v>217</v>
      </c>
      <c r="V244" s="377"/>
      <c r="W244" s="377"/>
      <c r="X244" s="377"/>
      <c r="Y244" s="377"/>
      <c r="Z244" s="377"/>
      <c r="AA244" s="379">
        <f t="shared" si="27"/>
        <v>0</v>
      </c>
      <c r="AB244" s="282"/>
      <c r="AC244" s="408">
        <f>+N8</f>
        <v>100000</v>
      </c>
      <c r="AD244" s="423">
        <f>+M8</f>
        <v>0</v>
      </c>
      <c r="AE244" s="409">
        <f t="shared" si="25"/>
        <v>100000</v>
      </c>
      <c r="AF244" s="319">
        <f t="shared" si="26"/>
        <v>100000</v>
      </c>
      <c r="AG244" s="408">
        <v>0</v>
      </c>
      <c r="AH244" s="416">
        <v>100000</v>
      </c>
      <c r="AI244" s="314"/>
      <c r="AJ244" s="96"/>
      <c r="AK244" s="96"/>
    </row>
    <row r="245" spans="1:37" ht="15">
      <c r="A245" s="14"/>
      <c r="B245" s="180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T245" s="378">
        <v>4</v>
      </c>
      <c r="U245" s="400" t="s">
        <v>218</v>
      </c>
      <c r="V245" s="377"/>
      <c r="W245" s="377"/>
      <c r="X245" s="377"/>
      <c r="Y245" s="377"/>
      <c r="Z245" s="377"/>
      <c r="AA245" s="379">
        <f t="shared" si="27"/>
        <v>0</v>
      </c>
      <c r="AB245" s="282"/>
      <c r="AC245" s="408">
        <f>+M9</f>
        <v>0</v>
      </c>
      <c r="AD245" s="423">
        <f>+O9</f>
        <v>0</v>
      </c>
      <c r="AE245" s="409">
        <f t="shared" si="25"/>
        <v>0</v>
      </c>
      <c r="AF245" s="319">
        <f t="shared" si="26"/>
        <v>0</v>
      </c>
      <c r="AG245" s="408">
        <v>0</v>
      </c>
      <c r="AH245" s="416">
        <v>0</v>
      </c>
      <c r="AI245" s="314"/>
      <c r="AJ245" s="96"/>
      <c r="AK245" s="96"/>
    </row>
    <row r="246" spans="1:37" ht="15">
      <c r="A246" s="14"/>
      <c r="B246" s="180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T246" s="378">
        <v>5</v>
      </c>
      <c r="U246" s="400" t="s">
        <v>219</v>
      </c>
      <c r="V246" s="377"/>
      <c r="W246" s="377"/>
      <c r="X246" s="377"/>
      <c r="Y246" s="377"/>
      <c r="Z246" s="377"/>
      <c r="AA246" s="379">
        <f t="shared" si="27"/>
        <v>0</v>
      </c>
      <c r="AB246" s="282"/>
      <c r="AC246" s="408">
        <v>0</v>
      </c>
      <c r="AD246" s="423"/>
      <c r="AE246" s="409">
        <f t="shared" si="25"/>
        <v>0</v>
      </c>
      <c r="AF246" s="319">
        <f t="shared" si="26"/>
        <v>0</v>
      </c>
      <c r="AG246" s="408"/>
      <c r="AH246" s="416">
        <v>0</v>
      </c>
      <c r="AI246" s="314"/>
      <c r="AJ246" s="96"/>
      <c r="AK246" s="96"/>
    </row>
    <row r="247" spans="1:37" ht="15">
      <c r="A247" s="14"/>
      <c r="B247" s="180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T247" s="378">
        <v>6</v>
      </c>
      <c r="U247" s="400" t="s">
        <v>220</v>
      </c>
      <c r="V247" s="377"/>
      <c r="W247" s="377"/>
      <c r="X247" s="377"/>
      <c r="Y247" s="377"/>
      <c r="Z247" s="377"/>
      <c r="AA247" s="379">
        <f t="shared" si="27"/>
        <v>0</v>
      </c>
      <c r="AB247" s="282"/>
      <c r="AC247" s="408">
        <v>0</v>
      </c>
      <c r="AD247" s="423"/>
      <c r="AE247" s="409">
        <f t="shared" si="25"/>
        <v>0</v>
      </c>
      <c r="AF247" s="319">
        <f t="shared" si="26"/>
        <v>0</v>
      </c>
      <c r="AG247" s="408"/>
      <c r="AH247" s="416">
        <v>0</v>
      </c>
      <c r="AI247" s="314">
        <f>+AC247-AF247</f>
        <v>0</v>
      </c>
      <c r="AJ247" s="96"/>
      <c r="AK247" s="96"/>
    </row>
    <row r="248" spans="1:37" ht="1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T248" s="378">
        <v>7</v>
      </c>
      <c r="U248" s="400" t="s">
        <v>221</v>
      </c>
      <c r="V248" s="377"/>
      <c r="W248" s="377"/>
      <c r="X248" s="377"/>
      <c r="Y248" s="377"/>
      <c r="Z248" s="377"/>
      <c r="AA248" s="379">
        <f t="shared" si="27"/>
        <v>0</v>
      </c>
      <c r="AB248" s="282"/>
      <c r="AC248" s="408">
        <f>+N11</f>
        <v>10000</v>
      </c>
      <c r="AD248" s="423">
        <f>+M11</f>
        <v>0</v>
      </c>
      <c r="AE248" s="409">
        <f t="shared" si="25"/>
        <v>10000</v>
      </c>
      <c r="AF248" s="319">
        <f t="shared" si="26"/>
        <v>10000</v>
      </c>
      <c r="AG248" s="408">
        <v>0</v>
      </c>
      <c r="AH248" s="416">
        <v>10000</v>
      </c>
      <c r="AI248" s="314">
        <f>+AC248-AF248</f>
        <v>0</v>
      </c>
      <c r="AJ248" s="96"/>
      <c r="AK248" s="96"/>
    </row>
    <row r="249" spans="1:37" ht="1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T249" s="378">
        <v>8</v>
      </c>
      <c r="U249" s="400" t="s">
        <v>222</v>
      </c>
      <c r="V249" s="377"/>
      <c r="W249" s="377"/>
      <c r="X249" s="377"/>
      <c r="Y249" s="377"/>
      <c r="Z249" s="377"/>
      <c r="AA249" s="379">
        <f t="shared" si="27"/>
        <v>2144033</v>
      </c>
      <c r="AB249" s="282"/>
      <c r="AC249" s="408">
        <f>N10+N12</f>
        <v>13892173</v>
      </c>
      <c r="AD249" s="423">
        <f>M10+M12</f>
        <v>0</v>
      </c>
      <c r="AE249" s="409">
        <f t="shared" si="25"/>
        <v>13892173</v>
      </c>
      <c r="AF249" s="319">
        <f t="shared" si="26"/>
        <v>11748140</v>
      </c>
      <c r="AG249" s="408">
        <v>0</v>
      </c>
      <c r="AH249" s="416">
        <v>11748140</v>
      </c>
      <c r="AI249" s="314">
        <f>+AC249-AF249</f>
        <v>2144033</v>
      </c>
      <c r="AJ249" s="96"/>
      <c r="AK249" s="96"/>
    </row>
    <row r="250" spans="1:37" ht="1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T250" s="378">
        <v>9</v>
      </c>
      <c r="U250" s="400" t="s">
        <v>223</v>
      </c>
      <c r="V250" s="377"/>
      <c r="W250" s="377"/>
      <c r="X250" s="377"/>
      <c r="Y250" s="377"/>
      <c r="Z250" s="377"/>
      <c r="AA250" s="379">
        <f t="shared" si="27"/>
        <v>0</v>
      </c>
      <c r="AB250" s="282"/>
      <c r="AC250" s="408">
        <f>+N13</f>
        <v>0</v>
      </c>
      <c r="AD250" s="423">
        <f>+M13</f>
        <v>0</v>
      </c>
      <c r="AE250" s="409">
        <f t="shared" si="25"/>
        <v>0</v>
      </c>
      <c r="AF250" s="319">
        <f t="shared" si="26"/>
        <v>0</v>
      </c>
      <c r="AG250" s="408">
        <v>0</v>
      </c>
      <c r="AH250" s="416">
        <v>0</v>
      </c>
      <c r="AI250" s="314">
        <f>+AC250-AF250</f>
        <v>0</v>
      </c>
      <c r="AJ250" s="96"/>
      <c r="AK250" s="96"/>
    </row>
    <row r="251" spans="1:37" ht="1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T251" s="378">
        <v>10</v>
      </c>
      <c r="U251" s="400" t="s">
        <v>224</v>
      </c>
      <c r="V251" s="377"/>
      <c r="W251" s="377"/>
      <c r="X251" s="377"/>
      <c r="Y251" s="377"/>
      <c r="Z251" s="377"/>
      <c r="AA251" s="379">
        <f t="shared" si="27"/>
        <v>-589969</v>
      </c>
      <c r="AB251" s="282"/>
      <c r="AC251" s="408">
        <f>+N14</f>
        <v>1854064</v>
      </c>
      <c r="AD251" s="423">
        <f>+M14</f>
        <v>0</v>
      </c>
      <c r="AE251" s="409">
        <f t="shared" si="25"/>
        <v>1854064</v>
      </c>
      <c r="AF251" s="319">
        <f t="shared" si="26"/>
        <v>2444033</v>
      </c>
      <c r="AG251" s="408">
        <v>0</v>
      </c>
      <c r="AH251" s="416">
        <v>2444033</v>
      </c>
      <c r="AI251" s="314">
        <f>+AC251-AF251</f>
        <v>-589969</v>
      </c>
      <c r="AJ251" s="96"/>
      <c r="AK251" s="96"/>
    </row>
    <row r="252" spans="1:37" ht="1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T252" s="378"/>
      <c r="U252" s="403" t="s">
        <v>394</v>
      </c>
      <c r="V252" s="404"/>
      <c r="W252" s="404"/>
      <c r="X252" s="377"/>
      <c r="Y252" s="377"/>
      <c r="Z252" s="377"/>
      <c r="AA252" s="379">
        <f t="shared" si="27"/>
        <v>1554064</v>
      </c>
      <c r="AB252" s="282"/>
      <c r="AC252" s="408">
        <f>SUM(AC242:AC251)</f>
        <v>15856237</v>
      </c>
      <c r="AD252" s="423">
        <f>SUM(AD242:AD251)</f>
        <v>0</v>
      </c>
      <c r="AE252" s="409">
        <f t="shared" si="25"/>
        <v>15856237</v>
      </c>
      <c r="AF252" s="319">
        <f t="shared" si="26"/>
        <v>14302173</v>
      </c>
      <c r="AG252" s="408">
        <v>0</v>
      </c>
      <c r="AH252" s="416">
        <v>14302173</v>
      </c>
      <c r="AI252" s="314"/>
      <c r="AJ252" s="96"/>
      <c r="AK252" s="96"/>
    </row>
    <row r="253" spans="1:37" ht="15.75" thickBo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T253" s="405"/>
      <c r="U253" s="406" t="s">
        <v>396</v>
      </c>
      <c r="V253" s="406"/>
      <c r="W253" s="406"/>
      <c r="X253" s="406"/>
      <c r="Y253" s="406"/>
      <c r="Z253" s="407"/>
      <c r="AA253" s="379">
        <f t="shared" si="27"/>
        <v>4239666</v>
      </c>
      <c r="AB253" s="285"/>
      <c r="AC253" s="424">
        <f>+AC240+AC252</f>
        <v>46405455</v>
      </c>
      <c r="AD253" s="425">
        <f>+AD240+AD252</f>
        <v>0</v>
      </c>
      <c r="AE253" s="426">
        <f t="shared" si="25"/>
        <v>46405455</v>
      </c>
      <c r="AF253" s="414">
        <v>42165789</v>
      </c>
      <c r="AG253" s="414">
        <v>0</v>
      </c>
      <c r="AH253" s="427">
        <f>+AF253+AG253</f>
        <v>42165789</v>
      </c>
      <c r="AI253" s="50"/>
    </row>
    <row r="254" spans="1:37" ht="15.75" thickTop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T254" s="23"/>
      <c r="U254" s="23"/>
      <c r="V254" s="23"/>
      <c r="W254" s="23"/>
      <c r="X254" s="23"/>
      <c r="Y254" s="23"/>
      <c r="Z254" s="23"/>
      <c r="AA254" s="23"/>
      <c r="AB254" s="23"/>
      <c r="AC254" s="286">
        <f>+AC211-AC253</f>
        <v>0</v>
      </c>
      <c r="AD254" s="286">
        <f>+AD211-AD253</f>
        <v>0</v>
      </c>
      <c r="AE254" s="286">
        <f>+AE211-AE253</f>
        <v>0</v>
      </c>
      <c r="AF254" s="286">
        <f>+AF211-AF253</f>
        <v>0</v>
      </c>
      <c r="AG254" s="286">
        <f>+AG211-AG253</f>
        <v>0</v>
      </c>
      <c r="AH254" s="428">
        <f>+AF253+AG253</f>
        <v>42165789</v>
      </c>
      <c r="AI254" s="50"/>
      <c r="AJ254" s="2"/>
    </row>
    <row r="255" spans="1:37" ht="15.7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T255" s="23"/>
      <c r="U255" s="23"/>
      <c r="V255" s="23"/>
      <c r="W255" s="23"/>
      <c r="X255" s="23"/>
      <c r="Y255" s="23"/>
      <c r="Z255" s="23"/>
      <c r="AA255" s="23"/>
      <c r="AB255" s="23"/>
      <c r="AC255" s="429"/>
      <c r="AD255" s="429"/>
      <c r="AE255" s="429"/>
      <c r="AF255" s="429">
        <f>+AF211-AF253</f>
        <v>0</v>
      </c>
      <c r="AG255" s="23"/>
      <c r="AH255" s="119">
        <f>+AH253-AH211</f>
        <v>0</v>
      </c>
      <c r="AI255" s="34">
        <f>+AF253-AF254</f>
        <v>42165789</v>
      </c>
    </row>
    <row r="256" spans="1:37" ht="15.7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T256" s="23"/>
      <c r="U256" s="23"/>
      <c r="V256" s="23"/>
      <c r="W256" s="23"/>
      <c r="X256" s="23"/>
      <c r="Y256" s="23"/>
      <c r="Z256" s="23"/>
      <c r="AA256" s="23"/>
      <c r="AB256" s="23"/>
      <c r="AC256" s="429"/>
      <c r="AD256" s="429"/>
      <c r="AE256" s="429"/>
      <c r="AF256" s="429"/>
      <c r="AG256" s="23"/>
      <c r="AH256" s="281"/>
      <c r="AI256" s="34"/>
    </row>
    <row r="257" spans="1:37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T257" s="23"/>
      <c r="U257" s="23"/>
      <c r="V257" s="23"/>
      <c r="W257" s="330" t="s">
        <v>426</v>
      </c>
      <c r="X257" s="287"/>
      <c r="Y257" s="287"/>
      <c r="Z257" s="287"/>
      <c r="AA257" s="23"/>
      <c r="AB257" s="23"/>
      <c r="AC257" s="288"/>
      <c r="AD257" s="288"/>
      <c r="AE257" s="288"/>
      <c r="AF257" s="23"/>
      <c r="AG257" s="23"/>
      <c r="AH257" s="23"/>
    </row>
    <row r="258" spans="1:37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T258" s="23"/>
      <c r="U258" s="23"/>
      <c r="V258" s="23"/>
      <c r="W258" s="289" t="s">
        <v>115</v>
      </c>
      <c r="X258" s="289"/>
      <c r="Y258" s="289"/>
      <c r="Z258" s="23"/>
      <c r="AA258" s="23"/>
      <c r="AB258" s="23"/>
      <c r="AC258" s="206"/>
      <c r="AD258" s="206"/>
      <c r="AE258" s="206"/>
      <c r="AF258" s="23"/>
      <c r="AG258" s="23"/>
      <c r="AH258" s="23"/>
    </row>
    <row r="259" spans="1:37" ht="13.5" thickBot="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T259" s="23"/>
      <c r="U259" s="23"/>
      <c r="V259" s="23"/>
      <c r="W259" s="23"/>
      <c r="X259" s="23"/>
      <c r="Y259" s="23"/>
      <c r="Z259" s="23"/>
      <c r="AA259" s="23"/>
      <c r="AB259" s="23"/>
      <c r="AC259" s="206"/>
      <c r="AD259" s="206"/>
      <c r="AE259" s="206"/>
      <c r="AF259" s="23"/>
      <c r="AG259" s="23"/>
      <c r="AH259" s="23"/>
    </row>
    <row r="260" spans="1:37" ht="35.25" customHeight="1" thickTop="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T260" s="290"/>
      <c r="U260" s="341"/>
      <c r="V260" s="302" t="s">
        <v>397</v>
      </c>
      <c r="W260" s="342"/>
      <c r="X260" s="342"/>
      <c r="Y260" s="342"/>
      <c r="Z260" s="342"/>
      <c r="AA260" s="342"/>
      <c r="AB260" s="331" t="s">
        <v>21</v>
      </c>
      <c r="AC260" s="331" t="s">
        <v>424</v>
      </c>
      <c r="AD260" s="331" t="s">
        <v>362</v>
      </c>
      <c r="AE260" s="331" t="s">
        <v>425</v>
      </c>
      <c r="AF260" s="331" t="s">
        <v>33</v>
      </c>
      <c r="AG260" s="331" t="s">
        <v>56</v>
      </c>
      <c r="AH260" s="332" t="s">
        <v>421</v>
      </c>
      <c r="AI260" s="43"/>
      <c r="AJ260" s="43"/>
      <c r="AK260" s="43"/>
    </row>
    <row r="261" spans="1:37" ht="15.7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T261" s="291" t="s">
        <v>286</v>
      </c>
      <c r="U261" s="343" t="s">
        <v>363</v>
      </c>
      <c r="V261" s="344"/>
      <c r="W261" s="344"/>
      <c r="X261" s="344"/>
      <c r="Y261" s="344"/>
      <c r="Z261" s="344"/>
      <c r="AA261" s="344"/>
      <c r="AB261" s="282"/>
      <c r="AC261" s="292"/>
      <c r="AD261" s="321"/>
      <c r="AE261" s="245"/>
      <c r="AF261" s="282"/>
      <c r="AG261" s="282"/>
      <c r="AH261" s="283"/>
      <c r="AI261" s="21"/>
      <c r="AJ261" s="21"/>
      <c r="AK261" s="21"/>
    </row>
    <row r="262" spans="1:37" ht="1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T262" s="293">
        <v>1</v>
      </c>
      <c r="U262" s="345" t="s">
        <v>10</v>
      </c>
      <c r="V262" s="346"/>
      <c r="W262" s="346"/>
      <c r="X262" s="346"/>
      <c r="Y262" s="346"/>
      <c r="Z262" s="346"/>
      <c r="AA262" s="346"/>
      <c r="AB262" s="282"/>
      <c r="AC262" s="410">
        <f>+AT184</f>
        <v>2099158</v>
      </c>
      <c r="AD262" s="410">
        <f>+AU184</f>
        <v>0</v>
      </c>
      <c r="AE262" s="410">
        <f>+AV184</f>
        <v>2099158</v>
      </c>
      <c r="AF262" s="431">
        <v>2766064</v>
      </c>
      <c r="AG262" s="282"/>
      <c r="AH262" s="432">
        <f>AF262+AG262</f>
        <v>2766064</v>
      </c>
      <c r="AI262" s="55"/>
      <c r="AJ262" s="55"/>
      <c r="AK262" s="55"/>
    </row>
    <row r="263" spans="1:37" ht="1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T263" s="293">
        <v>2</v>
      </c>
      <c r="U263" s="345" t="s">
        <v>102</v>
      </c>
      <c r="V263" s="346"/>
      <c r="W263" s="346"/>
      <c r="X263" s="346"/>
      <c r="Y263" s="346"/>
      <c r="Z263" s="346"/>
      <c r="AA263" s="346"/>
      <c r="AB263" s="282"/>
      <c r="AC263" s="433"/>
      <c r="AD263" s="434"/>
      <c r="AE263" s="410"/>
      <c r="AF263" s="431"/>
      <c r="AG263" s="282"/>
      <c r="AH263" s="432">
        <f t="shared" ref="AH263:AH301" si="28">AF263+AG263</f>
        <v>0</v>
      </c>
      <c r="AI263" s="55"/>
      <c r="AJ263" s="55"/>
      <c r="AK263" s="55"/>
    </row>
    <row r="264" spans="1:37" ht="1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T264" s="293">
        <v>3</v>
      </c>
      <c r="U264" s="347" t="s">
        <v>103</v>
      </c>
      <c r="V264" s="348"/>
      <c r="W264" s="348"/>
      <c r="X264" s="348"/>
      <c r="Y264" s="348"/>
      <c r="Z264" s="349"/>
      <c r="AA264" s="349"/>
      <c r="AB264" s="435"/>
      <c r="AC264" s="319">
        <f>+G128+G129+G130+G131+G132+G133</f>
        <v>640878</v>
      </c>
      <c r="AD264" s="436">
        <f>+H128+H129+H130+H131+H132</f>
        <v>0</v>
      </c>
      <c r="AE264" s="319">
        <f>+I128+I129+I130+I131+I132+I133</f>
        <v>640878</v>
      </c>
      <c r="AF264" s="431">
        <v>779516</v>
      </c>
      <c r="AG264" s="282"/>
      <c r="AH264" s="432">
        <f t="shared" si="28"/>
        <v>779516</v>
      </c>
      <c r="AI264" s="55">
        <v>19290767</v>
      </c>
      <c r="AJ264" s="337">
        <f>+AC264-AI264</f>
        <v>-18649889</v>
      </c>
      <c r="AK264" s="55"/>
    </row>
    <row r="265" spans="1:37" ht="1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T265" s="293">
        <v>4</v>
      </c>
      <c r="U265" s="347" t="s">
        <v>205</v>
      </c>
      <c r="V265" s="348"/>
      <c r="W265" s="348"/>
      <c r="X265" s="348"/>
      <c r="Y265" s="348"/>
      <c r="Z265" s="349"/>
      <c r="AA265" s="349"/>
      <c r="AB265" s="435"/>
      <c r="AC265" s="410">
        <v>0</v>
      </c>
      <c r="AD265" s="437"/>
      <c r="AE265" s="410">
        <v>0</v>
      </c>
      <c r="AF265" s="410">
        <v>0</v>
      </c>
      <c r="AG265" s="282"/>
      <c r="AH265" s="432">
        <f t="shared" si="28"/>
        <v>0</v>
      </c>
      <c r="AI265" s="131"/>
      <c r="AJ265" s="55"/>
      <c r="AK265" s="55"/>
    </row>
    <row r="266" spans="1:37" ht="1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T266" s="293">
        <v>5</v>
      </c>
      <c r="U266" s="347" t="s">
        <v>364</v>
      </c>
      <c r="V266" s="348"/>
      <c r="W266" s="348"/>
      <c r="X266" s="348"/>
      <c r="Y266" s="348"/>
      <c r="Z266" s="349"/>
      <c r="AA266" s="349"/>
      <c r="AB266" s="435"/>
      <c r="AC266" s="438">
        <f>G120-N149</f>
        <v>-1450000</v>
      </c>
      <c r="AD266" s="437">
        <f>+P146</f>
        <v>0</v>
      </c>
      <c r="AE266" s="410">
        <f>+I120-L149</f>
        <v>-1450000</v>
      </c>
      <c r="AF266" s="410">
        <v>0</v>
      </c>
      <c r="AG266" s="282"/>
      <c r="AH266" s="432">
        <f t="shared" si="28"/>
        <v>0</v>
      </c>
      <c r="AI266" s="131"/>
      <c r="AJ266" s="55"/>
      <c r="AK266" s="55"/>
    </row>
    <row r="267" spans="1:37" ht="1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T267" s="293">
        <v>6</v>
      </c>
      <c r="U267" s="347" t="s">
        <v>243</v>
      </c>
      <c r="V267" s="348"/>
      <c r="W267" s="348"/>
      <c r="X267" s="348"/>
      <c r="Y267" s="348"/>
      <c r="Z267" s="349"/>
      <c r="AA267" s="349"/>
      <c r="AB267" s="435"/>
      <c r="AC267" s="438">
        <f>+G124</f>
        <v>419338</v>
      </c>
      <c r="AD267" s="437">
        <f>+H124</f>
        <v>0</v>
      </c>
      <c r="AE267" s="410">
        <f>+I124</f>
        <v>419338</v>
      </c>
      <c r="AF267" s="410">
        <v>902838</v>
      </c>
      <c r="AG267" s="282"/>
      <c r="AH267" s="432">
        <f t="shared" si="28"/>
        <v>902838</v>
      </c>
      <c r="AI267" s="131"/>
      <c r="AJ267" s="55"/>
      <c r="AK267" s="55"/>
    </row>
    <row r="268" spans="1:37" ht="1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T268" s="295">
        <v>7</v>
      </c>
      <c r="U268" s="350" t="s">
        <v>365</v>
      </c>
      <c r="V268" s="351"/>
      <c r="W268" s="351"/>
      <c r="X268" s="351"/>
      <c r="Y268" s="351"/>
      <c r="Z268" s="351"/>
      <c r="AA268" s="351"/>
      <c r="AB268" s="439"/>
      <c r="AC268" s="440">
        <f>+-(AC173-AF173)-(AC174-AF174)</f>
        <v>-1325591</v>
      </c>
      <c r="AD268" s="441">
        <f>+-(AD173-AG173)-(AD174-AG174)</f>
        <v>0</v>
      </c>
      <c r="AE268" s="440">
        <f>+-(AE173-AH173)-(AE174-AH174)</f>
        <v>-1325591</v>
      </c>
      <c r="AF268" s="440">
        <v>2</v>
      </c>
      <c r="AG268" s="296"/>
      <c r="AH268" s="432">
        <f t="shared" si="28"/>
        <v>2</v>
      </c>
      <c r="AI268" s="131">
        <v>19058775</v>
      </c>
      <c r="AJ268" s="55"/>
      <c r="AK268" s="55"/>
    </row>
    <row r="269" spans="1:37" ht="1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T269" s="291"/>
      <c r="U269" s="352" t="s">
        <v>20</v>
      </c>
      <c r="V269" s="353"/>
      <c r="W269" s="353"/>
      <c r="X269" s="353"/>
      <c r="Y269" s="353"/>
      <c r="Z269" s="353"/>
      <c r="AA269" s="353"/>
      <c r="AB269" s="442"/>
      <c r="AC269" s="443"/>
      <c r="AD269" s="444"/>
      <c r="AE269" s="445"/>
      <c r="AF269" s="446"/>
      <c r="AG269" s="23"/>
      <c r="AH269" s="432">
        <f t="shared" si="28"/>
        <v>0</v>
      </c>
      <c r="AI269" s="131"/>
      <c r="AJ269" s="55"/>
      <c r="AK269" s="55"/>
    </row>
    <row r="270" spans="1:37" ht="1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T270" s="293">
        <v>8</v>
      </c>
      <c r="U270" s="354" t="s">
        <v>231</v>
      </c>
      <c r="V270" s="349"/>
      <c r="W270" s="349"/>
      <c r="X270" s="349"/>
      <c r="Y270" s="349"/>
      <c r="Z270" s="349"/>
      <c r="AA270" s="349"/>
      <c r="AB270" s="435"/>
      <c r="AC270" s="410">
        <f>-(AC178-AF178)</f>
        <v>-4077236</v>
      </c>
      <c r="AD270" s="430"/>
      <c r="AE270" s="410">
        <f>+-(AE178-AH178)</f>
        <v>-4077236</v>
      </c>
      <c r="AF270" s="410">
        <v>0</v>
      </c>
      <c r="AG270" s="282"/>
      <c r="AH270" s="432">
        <f t="shared" si="28"/>
        <v>0</v>
      </c>
      <c r="AI270" s="131"/>
      <c r="AJ270" s="55"/>
      <c r="AK270" s="55"/>
    </row>
    <row r="271" spans="1:37" ht="1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T271" s="293">
        <v>9</v>
      </c>
      <c r="U271" s="354" t="s">
        <v>104</v>
      </c>
      <c r="V271" s="349"/>
      <c r="W271" s="349"/>
      <c r="X271" s="349"/>
      <c r="Y271" s="349"/>
      <c r="Z271" s="349"/>
      <c r="AA271" s="349"/>
      <c r="AB271" s="435"/>
      <c r="AC271" s="319">
        <f>AC230-AF230</f>
        <v>2426010</v>
      </c>
      <c r="AD271" s="436">
        <f>AD230-AG230</f>
        <v>0</v>
      </c>
      <c r="AE271" s="319">
        <v>2426010</v>
      </c>
      <c r="AF271" s="410">
        <v>0</v>
      </c>
      <c r="AG271" s="282"/>
      <c r="AH271" s="432">
        <f t="shared" si="28"/>
        <v>0</v>
      </c>
      <c r="AI271" s="131"/>
      <c r="AJ271" s="55"/>
      <c r="AK271" s="55"/>
    </row>
    <row r="272" spans="1:37" ht="15.7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T272" s="293">
        <v>10</v>
      </c>
      <c r="U272" s="305" t="s">
        <v>366</v>
      </c>
      <c r="V272" s="355"/>
      <c r="W272" s="355"/>
      <c r="X272" s="355"/>
      <c r="Y272" s="355"/>
      <c r="Z272" s="355"/>
      <c r="AA272" s="355"/>
      <c r="AB272" s="447"/>
      <c r="AC272" s="410">
        <f>SUM(AC262:AC271)</f>
        <v>-1267443</v>
      </c>
      <c r="AD272" s="430">
        <f>SUM(AD262:AD271)</f>
        <v>0</v>
      </c>
      <c r="AE272" s="410">
        <f>SUM(AE262:AE271)</f>
        <v>-1267443</v>
      </c>
      <c r="AF272" s="410">
        <v>4448420</v>
      </c>
      <c r="AG272" s="282"/>
      <c r="AH272" s="432">
        <f t="shared" si="28"/>
        <v>4448420</v>
      </c>
      <c r="AI272" s="131"/>
      <c r="AJ272" s="55"/>
      <c r="AK272" s="55"/>
    </row>
    <row r="273" spans="1:37" ht="1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T273" s="293">
        <v>11</v>
      </c>
      <c r="U273" s="354" t="s">
        <v>105</v>
      </c>
      <c r="V273" s="349"/>
      <c r="W273" s="349"/>
      <c r="X273" s="349"/>
      <c r="Y273" s="349"/>
      <c r="Z273" s="349"/>
      <c r="AA273" s="349"/>
      <c r="AB273" s="435"/>
      <c r="AC273" s="410">
        <f>+-G124</f>
        <v>-419338</v>
      </c>
      <c r="AD273" s="430">
        <f>+-H124</f>
        <v>0</v>
      </c>
      <c r="AE273" s="410">
        <f>+-I124</f>
        <v>-419338</v>
      </c>
      <c r="AF273" s="410">
        <v>-902838</v>
      </c>
      <c r="AG273" s="282"/>
      <c r="AH273" s="432">
        <f t="shared" si="28"/>
        <v>-902838</v>
      </c>
      <c r="AI273" s="131"/>
      <c r="AJ273" s="55"/>
      <c r="AK273" s="55"/>
    </row>
    <row r="274" spans="1:37" ht="1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T274" s="293">
        <v>12</v>
      </c>
      <c r="U274" s="354" t="s">
        <v>367</v>
      </c>
      <c r="V274" s="349"/>
      <c r="W274" s="349"/>
      <c r="X274" s="349"/>
      <c r="Y274" s="349"/>
      <c r="Z274" s="349"/>
      <c r="AA274" s="349"/>
      <c r="AB274" s="435"/>
      <c r="AC274" s="410">
        <f>+-U58</f>
        <v>-245093.80000000002</v>
      </c>
      <c r="AD274" s="410">
        <f>+-V58</f>
        <v>0</v>
      </c>
      <c r="AE274" s="410">
        <v>-245094</v>
      </c>
      <c r="AF274" s="431">
        <v>-322031</v>
      </c>
      <c r="AG274" s="282"/>
      <c r="AH274" s="432">
        <f t="shared" si="28"/>
        <v>-322031</v>
      </c>
      <c r="AI274" s="55">
        <f>+AC262+AC274</f>
        <v>1854064.2</v>
      </c>
      <c r="AJ274" s="55">
        <f>+AF262+AF274</f>
        <v>2444033</v>
      </c>
      <c r="AK274" s="55"/>
    </row>
    <row r="275" spans="1:37" ht="1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T275" s="293">
        <v>13</v>
      </c>
      <c r="U275" s="354" t="s">
        <v>374</v>
      </c>
      <c r="V275" s="349"/>
      <c r="W275" s="349"/>
      <c r="X275" s="349"/>
      <c r="Y275" s="349"/>
      <c r="Z275" s="349"/>
      <c r="AA275" s="349"/>
      <c r="AB275" s="435"/>
      <c r="AC275" s="410">
        <f>-(AC187-AF187)</f>
        <v>0</v>
      </c>
      <c r="AD275" s="430">
        <f>-(AD187-AG187)</f>
        <v>0</v>
      </c>
      <c r="AE275" s="410">
        <f>-(AE187-AH187)</f>
        <v>0</v>
      </c>
      <c r="AF275" s="431">
        <v>0</v>
      </c>
      <c r="AG275" s="282"/>
      <c r="AH275" s="432">
        <f t="shared" si="28"/>
        <v>0</v>
      </c>
      <c r="AI275" s="55"/>
      <c r="AJ275" s="55"/>
      <c r="AK275" s="55"/>
    </row>
    <row r="276" spans="1:37" ht="1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T276" s="293"/>
      <c r="U276" s="354"/>
      <c r="V276" s="349"/>
      <c r="W276" s="349"/>
      <c r="X276" s="349"/>
      <c r="Y276" s="349"/>
      <c r="Z276" s="349"/>
      <c r="AA276" s="349"/>
      <c r="AB276" s="435"/>
      <c r="AC276" s="410"/>
      <c r="AD276" s="430"/>
      <c r="AE276" s="410"/>
      <c r="AF276" s="431"/>
      <c r="AG276" s="282"/>
      <c r="AH276" s="432">
        <f t="shared" si="28"/>
        <v>0</v>
      </c>
      <c r="AI276" s="55"/>
      <c r="AJ276" s="55"/>
      <c r="AK276" s="55"/>
    </row>
    <row r="277" spans="1:37" ht="15.7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T277" s="298"/>
      <c r="U277" s="356" t="s">
        <v>368</v>
      </c>
      <c r="V277" s="357"/>
      <c r="W277" s="357"/>
      <c r="X277" s="357"/>
      <c r="Y277" s="357"/>
      <c r="Z277" s="357"/>
      <c r="AA277" s="357"/>
      <c r="AB277" s="448"/>
      <c r="AC277" s="449">
        <f>+AC272+AC273+AC274+AC275</f>
        <v>-1931874.8</v>
      </c>
      <c r="AD277" s="450">
        <f>+AD272+AD273+AD274+AD275</f>
        <v>0</v>
      </c>
      <c r="AE277" s="449">
        <f>+AE272+AE273+AE274+AE275</f>
        <v>-1931875</v>
      </c>
      <c r="AF277" s="451">
        <v>3223551</v>
      </c>
      <c r="AG277" s="282"/>
      <c r="AH277" s="432">
        <f t="shared" si="28"/>
        <v>3223551</v>
      </c>
      <c r="AI277" s="58">
        <f>AE277-AH277</f>
        <v>-5155426</v>
      </c>
      <c r="AJ277" s="58"/>
      <c r="AK277" s="58"/>
    </row>
    <row r="278" spans="1:37" ht="1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T278" s="298"/>
      <c r="U278" s="358"/>
      <c r="V278" s="346"/>
      <c r="W278" s="346"/>
      <c r="X278" s="346"/>
      <c r="Y278" s="346"/>
      <c r="Z278" s="346"/>
      <c r="AA278" s="346"/>
      <c r="AB278" s="282"/>
      <c r="AC278" s="410"/>
      <c r="AD278" s="430"/>
      <c r="AE278" s="410"/>
      <c r="AF278" s="431"/>
      <c r="AG278" s="282"/>
      <c r="AH278" s="432">
        <f t="shared" si="28"/>
        <v>0</v>
      </c>
      <c r="AI278" s="58"/>
      <c r="AJ278" s="58"/>
      <c r="AK278" s="58"/>
    </row>
    <row r="279" spans="1:37" ht="15.7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T279" s="293" t="s">
        <v>287</v>
      </c>
      <c r="U279" s="359" t="s">
        <v>369</v>
      </c>
      <c r="V279" s="346"/>
      <c r="W279" s="346"/>
      <c r="X279" s="346"/>
      <c r="Y279" s="346"/>
      <c r="Z279" s="346"/>
      <c r="AA279" s="346"/>
      <c r="AB279" s="282"/>
      <c r="AC279" s="433"/>
      <c r="AD279" s="434"/>
      <c r="AE279" s="410"/>
      <c r="AF279" s="431"/>
      <c r="AG279" s="282"/>
      <c r="AH279" s="432">
        <f t="shared" si="28"/>
        <v>0</v>
      </c>
      <c r="AI279" s="55"/>
      <c r="AJ279" s="55"/>
      <c r="AK279" s="55"/>
    </row>
    <row r="280" spans="1:37" ht="1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T280" s="293">
        <v>1</v>
      </c>
      <c r="U280" s="347" t="s">
        <v>232</v>
      </c>
      <c r="V280" s="346"/>
      <c r="W280" s="346"/>
      <c r="X280" s="346"/>
      <c r="Y280" s="346"/>
      <c r="Z280" s="346"/>
      <c r="AA280" s="346"/>
      <c r="AB280" s="282"/>
      <c r="AC280" s="433"/>
      <c r="AD280" s="434"/>
      <c r="AE280" s="410"/>
      <c r="AF280" s="431"/>
      <c r="AG280" s="282"/>
      <c r="AH280" s="432">
        <f t="shared" si="28"/>
        <v>0</v>
      </c>
      <c r="AI280" s="60"/>
      <c r="AJ280" s="55"/>
      <c r="AK280" s="55"/>
    </row>
    <row r="281" spans="1:37" ht="1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4" t="s">
        <v>241</v>
      </c>
      <c r="L281" s="144"/>
      <c r="M281" s="144"/>
      <c r="N281" s="144"/>
      <c r="O281" s="144"/>
      <c r="P281" s="144"/>
      <c r="Q281" s="144">
        <v>263568</v>
      </c>
      <c r="T281" s="293">
        <v>2</v>
      </c>
      <c r="U281" s="347" t="s">
        <v>106</v>
      </c>
      <c r="V281" s="346"/>
      <c r="W281" s="346"/>
      <c r="X281" s="346"/>
      <c r="Y281" s="346"/>
      <c r="Z281" s="346"/>
      <c r="AA281" s="346"/>
      <c r="AB281" s="282"/>
      <c r="AC281" s="410">
        <v>-41250</v>
      </c>
      <c r="AD281" s="430"/>
      <c r="AE281" s="410">
        <f>+AC281+AD281</f>
        <v>-41250</v>
      </c>
      <c r="AF281" s="431">
        <v>-41250</v>
      </c>
      <c r="AG281" s="282"/>
      <c r="AH281" s="432">
        <f t="shared" si="28"/>
        <v>-41250</v>
      </c>
      <c r="AI281" s="55">
        <v>67773742</v>
      </c>
      <c r="AJ281" s="55">
        <f>+AI281-AC281</f>
        <v>67814992</v>
      </c>
      <c r="AK281" s="55"/>
    </row>
    <row r="282" spans="1:37" ht="1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4" t="s">
        <v>242</v>
      </c>
      <c r="L282" s="144"/>
      <c r="M282" s="144"/>
      <c r="N282" s="144"/>
      <c r="O282" s="144"/>
      <c r="P282" s="144"/>
      <c r="Q282" s="144">
        <v>-51760</v>
      </c>
      <c r="T282" s="293">
        <v>3</v>
      </c>
      <c r="U282" s="347" t="s">
        <v>370</v>
      </c>
      <c r="V282" s="346"/>
      <c r="W282" s="346"/>
      <c r="X282" s="346"/>
      <c r="Y282" s="346"/>
      <c r="Z282" s="346"/>
      <c r="AA282" s="346"/>
      <c r="AB282" s="282"/>
      <c r="AC282" s="410">
        <f>+N149</f>
        <v>1450000</v>
      </c>
      <c r="AD282" s="430"/>
      <c r="AE282" s="410">
        <f>+AC282+AD282</f>
        <v>1450000</v>
      </c>
      <c r="AF282" s="431">
        <v>0</v>
      </c>
      <c r="AG282" s="282"/>
      <c r="AH282" s="432">
        <f t="shared" si="28"/>
        <v>0</v>
      </c>
      <c r="AI282" s="55">
        <f>+AI196</f>
        <v>-599628</v>
      </c>
      <c r="AJ282" s="55"/>
      <c r="AK282" s="55"/>
    </row>
    <row r="283" spans="1:37" ht="1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>
        <f>SUM(Q281:Q282)</f>
        <v>211808</v>
      </c>
      <c r="T283" s="293">
        <v>4</v>
      </c>
      <c r="U283" s="347" t="s">
        <v>107</v>
      </c>
      <c r="V283" s="346"/>
      <c r="W283" s="346"/>
      <c r="X283" s="346"/>
      <c r="Y283" s="346"/>
      <c r="Z283" s="346"/>
      <c r="AA283" s="346"/>
      <c r="AB283" s="282"/>
      <c r="AC283" s="433"/>
      <c r="AD283" s="434"/>
      <c r="AE283" s="410"/>
      <c r="AF283" s="431"/>
      <c r="AG283" s="282"/>
      <c r="AH283" s="432">
        <f t="shared" si="28"/>
        <v>0</v>
      </c>
      <c r="AI283" s="55">
        <f>+-57482904</f>
        <v>-57482904</v>
      </c>
      <c r="AJ283" s="55"/>
      <c r="AK283" s="55"/>
    </row>
    <row r="284" spans="1:37" ht="1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T284" s="293">
        <v>5</v>
      </c>
      <c r="U284" s="347" t="s">
        <v>108</v>
      </c>
      <c r="V284" s="346"/>
      <c r="W284" s="346"/>
      <c r="X284" s="346"/>
      <c r="Y284" s="346"/>
      <c r="Z284" s="346"/>
      <c r="AA284" s="346"/>
      <c r="AB284" s="282"/>
      <c r="AC284" s="433"/>
      <c r="AD284" s="434"/>
      <c r="AE284" s="410"/>
      <c r="AF284" s="431"/>
      <c r="AG284" s="282"/>
      <c r="AH284" s="432">
        <f t="shared" si="28"/>
        <v>0</v>
      </c>
      <c r="AI284" s="55"/>
      <c r="AJ284" s="55"/>
      <c r="AK284" s="55"/>
    </row>
    <row r="285" spans="1:37" ht="1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T285" s="293"/>
      <c r="U285" s="347"/>
      <c r="V285" s="346"/>
      <c r="W285" s="346"/>
      <c r="X285" s="346"/>
      <c r="Y285" s="346"/>
      <c r="Z285" s="346"/>
      <c r="AA285" s="346"/>
      <c r="AB285" s="282"/>
      <c r="AC285" s="319"/>
      <c r="AD285" s="436"/>
      <c r="AE285" s="410"/>
      <c r="AF285" s="431"/>
      <c r="AG285" s="282"/>
      <c r="AH285" s="432">
        <f t="shared" si="28"/>
        <v>0</v>
      </c>
      <c r="AI285" s="55">
        <f>+AC281-AE281</f>
        <v>0</v>
      </c>
      <c r="AJ285" s="55"/>
      <c r="AK285" s="55"/>
    </row>
    <row r="286" spans="1:37" ht="15.7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T286" s="293"/>
      <c r="U286" s="356" t="s">
        <v>371</v>
      </c>
      <c r="V286" s="357"/>
      <c r="W286" s="357"/>
      <c r="X286" s="357"/>
      <c r="Y286" s="357"/>
      <c r="Z286" s="357"/>
      <c r="AA286" s="357"/>
      <c r="AB286" s="448"/>
      <c r="AC286" s="449">
        <f>SUM(AC280:AC285)</f>
        <v>1408750</v>
      </c>
      <c r="AD286" s="450">
        <f>SUM(AD280:AD285)</f>
        <v>0</v>
      </c>
      <c r="AE286" s="410">
        <f>SUM(AE280:AE285)</f>
        <v>1408750</v>
      </c>
      <c r="AF286" s="451">
        <v>-41250</v>
      </c>
      <c r="AG286" s="282"/>
      <c r="AH286" s="432">
        <f t="shared" si="28"/>
        <v>-41250</v>
      </c>
      <c r="AI286" s="61"/>
      <c r="AJ286" s="61"/>
      <c r="AK286" s="61"/>
    </row>
    <row r="287" spans="1:37" ht="1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T287" s="293"/>
      <c r="U287" s="345"/>
      <c r="V287" s="346"/>
      <c r="W287" s="346"/>
      <c r="X287" s="346"/>
      <c r="Y287" s="346"/>
      <c r="Z287" s="346"/>
      <c r="AA287" s="346"/>
      <c r="AB287" s="282"/>
      <c r="AC287" s="433"/>
      <c r="AD287" s="434"/>
      <c r="AE287" s="410"/>
      <c r="AF287" s="431"/>
      <c r="AG287" s="282"/>
      <c r="AH287" s="432">
        <f t="shared" si="28"/>
        <v>0</v>
      </c>
      <c r="AI287" s="55"/>
      <c r="AJ287" s="60"/>
      <c r="AK287" s="60"/>
    </row>
    <row r="288" spans="1:37" ht="15.7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T288" s="293" t="s">
        <v>91</v>
      </c>
      <c r="U288" s="359" t="s">
        <v>372</v>
      </c>
      <c r="V288" s="346"/>
      <c r="W288" s="346"/>
      <c r="X288" s="346"/>
      <c r="Y288" s="346"/>
      <c r="Z288" s="346"/>
      <c r="AA288" s="346"/>
      <c r="AB288" s="282"/>
      <c r="AC288" s="433"/>
      <c r="AD288" s="434"/>
      <c r="AE288" s="410"/>
      <c r="AF288" s="431"/>
      <c r="AG288" s="282"/>
      <c r="AH288" s="432">
        <f t="shared" si="28"/>
        <v>0</v>
      </c>
      <c r="AI288" s="55"/>
      <c r="AJ288" s="55"/>
      <c r="AK288" s="55"/>
    </row>
    <row r="289" spans="1:37" ht="1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T289" s="293">
        <v>1</v>
      </c>
      <c r="U289" s="347" t="s">
        <v>109</v>
      </c>
      <c r="V289" s="346"/>
      <c r="W289" s="346"/>
      <c r="X289" s="346"/>
      <c r="Y289" s="346"/>
      <c r="Z289" s="346"/>
      <c r="AA289" s="346"/>
      <c r="AB289" s="282"/>
      <c r="AC289" s="433"/>
      <c r="AD289" s="434"/>
      <c r="AE289" s="410"/>
      <c r="AF289" s="431"/>
      <c r="AG289" s="282"/>
      <c r="AH289" s="432">
        <f t="shared" si="28"/>
        <v>0</v>
      </c>
      <c r="AI289" s="60"/>
      <c r="AJ289" s="21"/>
      <c r="AK289" s="21"/>
    </row>
    <row r="290" spans="1:37" ht="1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T290" s="293">
        <v>2</v>
      </c>
      <c r="U290" s="347" t="s">
        <v>110</v>
      </c>
      <c r="V290" s="346"/>
      <c r="W290" s="346"/>
      <c r="X290" s="346"/>
      <c r="Y290" s="346"/>
      <c r="Z290" s="346"/>
      <c r="AA290" s="346"/>
      <c r="AB290" s="282"/>
      <c r="AC290" s="319">
        <f>+(AC232-AF232)+(AC236-AF236)</f>
        <v>259592</v>
      </c>
      <c r="AD290" s="436">
        <f>+(AD232-AG232)+(AD236-AG236)</f>
        <v>0</v>
      </c>
      <c r="AE290" s="410">
        <v>-259592</v>
      </c>
      <c r="AF290" s="431">
        <v>0</v>
      </c>
      <c r="AG290" s="282"/>
      <c r="AH290" s="432">
        <f t="shared" si="28"/>
        <v>0</v>
      </c>
      <c r="AI290" s="55"/>
      <c r="AJ290" s="55"/>
      <c r="AK290" s="55"/>
    </row>
    <row r="291" spans="1:37" ht="1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T291" s="293">
        <v>3</v>
      </c>
      <c r="U291" s="360" t="s">
        <v>111</v>
      </c>
      <c r="V291" s="361"/>
      <c r="W291" s="361"/>
      <c r="X291" s="361"/>
      <c r="Y291" s="361"/>
      <c r="Z291" s="346"/>
      <c r="AA291" s="346"/>
      <c r="AB291" s="282"/>
      <c r="AC291" s="410"/>
      <c r="AD291" s="434"/>
      <c r="AE291" s="410"/>
      <c r="AF291" s="431"/>
      <c r="AG291" s="282"/>
      <c r="AH291" s="432">
        <f t="shared" si="28"/>
        <v>0</v>
      </c>
      <c r="AI291" s="55"/>
      <c r="AJ291" s="55"/>
      <c r="AK291" s="55"/>
    </row>
    <row r="292" spans="1:37" ht="1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T292" s="293">
        <v>4</v>
      </c>
      <c r="U292" s="347" t="s">
        <v>112</v>
      </c>
      <c r="V292" s="346"/>
      <c r="W292" s="346"/>
      <c r="X292" s="346"/>
      <c r="Y292" s="346"/>
      <c r="Z292" s="346"/>
      <c r="AA292" s="346"/>
      <c r="AB292" s="282"/>
      <c r="AC292" s="410">
        <f>+-AM224</f>
        <v>-300000</v>
      </c>
      <c r="AD292" s="430">
        <f>+-AN224</f>
        <v>0</v>
      </c>
      <c r="AE292" s="410">
        <f>-AM224</f>
        <v>-300000</v>
      </c>
      <c r="AF292" s="431">
        <v>-2444033</v>
      </c>
      <c r="AG292" s="282"/>
      <c r="AH292" s="432">
        <f t="shared" si="28"/>
        <v>-2444033</v>
      </c>
      <c r="AI292" s="55"/>
      <c r="AJ292" s="55"/>
      <c r="AK292" s="55"/>
    </row>
    <row r="293" spans="1:37" ht="1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T293" s="293">
        <v>5</v>
      </c>
      <c r="U293" s="360" t="s">
        <v>59</v>
      </c>
      <c r="V293" s="361"/>
      <c r="W293" s="361"/>
      <c r="X293" s="346"/>
      <c r="Y293" s="346"/>
      <c r="Z293" s="346"/>
      <c r="AA293" s="346"/>
      <c r="AB293" s="282"/>
      <c r="AC293" s="410">
        <f>+(AC238-AF238)</f>
        <v>0</v>
      </c>
      <c r="AD293" s="436">
        <f>+(AD238-AG238)</f>
        <v>0</v>
      </c>
      <c r="AE293" s="410">
        <f>+(AE238-AH238)</f>
        <v>0</v>
      </c>
      <c r="AF293" s="431">
        <v>0</v>
      </c>
      <c r="AG293" s="282"/>
      <c r="AH293" s="432">
        <f t="shared" si="28"/>
        <v>0</v>
      </c>
      <c r="AI293" s="55"/>
      <c r="AJ293" s="55"/>
      <c r="AK293" s="55"/>
    </row>
    <row r="294" spans="1:37" ht="15.7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T294" s="293"/>
      <c r="U294" s="356" t="s">
        <v>373</v>
      </c>
      <c r="V294" s="357"/>
      <c r="W294" s="357"/>
      <c r="X294" s="357"/>
      <c r="Y294" s="357"/>
      <c r="Z294" s="357"/>
      <c r="AA294" s="357"/>
      <c r="AB294" s="448"/>
      <c r="AC294" s="452">
        <f>SUM(AC289:AC293)</f>
        <v>-40408</v>
      </c>
      <c r="AD294" s="453">
        <v>40408</v>
      </c>
      <c r="AE294" s="410">
        <v>-40408</v>
      </c>
      <c r="AF294" s="451">
        <v>-2444033</v>
      </c>
      <c r="AG294" s="282"/>
      <c r="AH294" s="432">
        <f t="shared" si="28"/>
        <v>-2444033</v>
      </c>
      <c r="AI294" s="61"/>
      <c r="AJ294" s="61"/>
      <c r="AK294" s="61"/>
    </row>
    <row r="295" spans="1:37" ht="15.7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T295" s="293"/>
      <c r="U295" s="362"/>
      <c r="V295" s="346"/>
      <c r="W295" s="346"/>
      <c r="X295" s="346"/>
      <c r="Y295" s="346"/>
      <c r="Z295" s="346"/>
      <c r="AA295" s="346"/>
      <c r="AB295" s="282"/>
      <c r="AC295" s="245"/>
      <c r="AD295" s="321"/>
      <c r="AE295" s="294"/>
      <c r="AF295" s="454"/>
      <c r="AG295" s="282"/>
      <c r="AH295" s="432">
        <f t="shared" si="28"/>
        <v>0</v>
      </c>
      <c r="AI295" s="55"/>
      <c r="AJ295" s="60"/>
      <c r="AK295" s="60"/>
    </row>
    <row r="296" spans="1:37" ht="15.7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T296" s="293"/>
      <c r="U296" s="362"/>
      <c r="V296" s="346"/>
      <c r="W296" s="346"/>
      <c r="X296" s="346"/>
      <c r="Y296" s="346"/>
      <c r="Z296" s="346"/>
      <c r="AA296" s="346"/>
      <c r="AB296" s="282"/>
      <c r="AC296" s="245"/>
      <c r="AD296" s="321"/>
      <c r="AE296" s="294"/>
      <c r="AF296" s="454"/>
      <c r="AG296" s="282"/>
      <c r="AH296" s="432">
        <f t="shared" si="28"/>
        <v>0</v>
      </c>
      <c r="AI296" s="55"/>
      <c r="AJ296" s="60"/>
      <c r="AK296" s="60"/>
    </row>
    <row r="297" spans="1:37" ht="1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T297" s="293"/>
      <c r="U297" s="345"/>
      <c r="V297" s="346"/>
      <c r="W297" s="346"/>
      <c r="X297" s="346"/>
      <c r="Y297" s="346"/>
      <c r="Z297" s="346"/>
      <c r="AA297" s="346"/>
      <c r="AB297" s="282"/>
      <c r="AC297" s="245"/>
      <c r="AD297" s="321"/>
      <c r="AE297" s="294"/>
      <c r="AF297" s="454"/>
      <c r="AG297" s="282"/>
      <c r="AH297" s="432">
        <f t="shared" si="28"/>
        <v>0</v>
      </c>
      <c r="AI297" s="55"/>
      <c r="AJ297" s="60"/>
      <c r="AK297" s="60"/>
    </row>
    <row r="298" spans="1:37" ht="1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T298" s="293"/>
      <c r="U298" s="345" t="s">
        <v>113</v>
      </c>
      <c r="V298" s="346"/>
      <c r="W298" s="346"/>
      <c r="X298" s="346"/>
      <c r="Y298" s="346"/>
      <c r="Z298" s="346"/>
      <c r="AA298" s="346"/>
      <c r="AB298" s="282"/>
      <c r="AC298" s="455">
        <f t="shared" ref="AC298:AH298" si="29">+AC277+AC286+AC294</f>
        <v>-563532.80000000005</v>
      </c>
      <c r="AD298" s="456">
        <v>0</v>
      </c>
      <c r="AE298" s="455">
        <f t="shared" si="29"/>
        <v>-563533</v>
      </c>
      <c r="AF298" s="455">
        <f t="shared" si="29"/>
        <v>738268</v>
      </c>
      <c r="AG298" s="455">
        <f t="shared" si="29"/>
        <v>0</v>
      </c>
      <c r="AH298" s="455">
        <f t="shared" si="29"/>
        <v>738268</v>
      </c>
      <c r="AI298" s="55"/>
      <c r="AJ298" s="60"/>
      <c r="AK298" s="60"/>
    </row>
    <row r="299" spans="1:37" ht="15.7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T299" s="293"/>
      <c r="U299" s="363"/>
      <c r="V299" s="64"/>
      <c r="W299" s="64"/>
      <c r="X299" s="64"/>
      <c r="Y299" s="64"/>
      <c r="Z299" s="64"/>
      <c r="AA299" s="64"/>
      <c r="AB299" s="457"/>
      <c r="AC299" s="410"/>
      <c r="AD299" s="430"/>
      <c r="AE299" s="294"/>
      <c r="AF299" s="431"/>
      <c r="AG299" s="282"/>
      <c r="AH299" s="432">
        <f t="shared" si="28"/>
        <v>0</v>
      </c>
      <c r="AI299" s="55"/>
      <c r="AJ299" s="55"/>
      <c r="AK299" s="55"/>
    </row>
    <row r="300" spans="1:37" ht="16.5" thickBot="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T300" s="293"/>
      <c r="U300" s="363" t="s">
        <v>375</v>
      </c>
      <c r="V300" s="64"/>
      <c r="W300" s="64"/>
      <c r="X300" s="64"/>
      <c r="Y300" s="64"/>
      <c r="Z300" s="64"/>
      <c r="AA300" s="64"/>
      <c r="AB300" s="457"/>
      <c r="AC300" s="319">
        <f>+AF167</f>
        <v>837911</v>
      </c>
      <c r="AD300" s="436">
        <f>+AG167</f>
        <v>0</v>
      </c>
      <c r="AE300" s="410">
        <f>+AH167</f>
        <v>837911</v>
      </c>
      <c r="AF300" s="458">
        <v>837911</v>
      </c>
      <c r="AG300" s="282"/>
      <c r="AH300" s="432">
        <f t="shared" si="28"/>
        <v>837911</v>
      </c>
      <c r="AI300" s="55"/>
      <c r="AJ300" s="55"/>
      <c r="AK300" s="55"/>
    </row>
    <row r="301" spans="1:37" ht="16.5" thickBot="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T301" s="299"/>
      <c r="U301" s="364" t="s">
        <v>114</v>
      </c>
      <c r="V301" s="365"/>
      <c r="W301" s="365"/>
      <c r="X301" s="365"/>
      <c r="Y301" s="365"/>
      <c r="Z301" s="365"/>
      <c r="AA301" s="365"/>
      <c r="AB301" s="459"/>
      <c r="AC301" s="460">
        <f>+AC167</f>
        <v>274378</v>
      </c>
      <c r="AD301" s="461">
        <f>+AD167</f>
        <v>0</v>
      </c>
      <c r="AE301" s="462">
        <f>+AE167</f>
        <v>274378</v>
      </c>
      <c r="AF301" s="463">
        <v>837911</v>
      </c>
      <c r="AG301" s="322"/>
      <c r="AH301" s="432">
        <f t="shared" si="28"/>
        <v>837911</v>
      </c>
      <c r="AI301" s="55"/>
      <c r="AJ301" s="55"/>
      <c r="AK301" s="55"/>
    </row>
    <row r="302" spans="1:37" ht="15.75" thickTop="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T302" s="23"/>
      <c r="U302" s="8"/>
      <c r="V302" s="8"/>
      <c r="W302" s="8"/>
      <c r="X302" s="8"/>
      <c r="Y302" s="8"/>
      <c r="Z302" s="8"/>
      <c r="AA302" s="8"/>
      <c r="AB302" s="8"/>
      <c r="AC302" s="206"/>
      <c r="AD302" s="325"/>
      <c r="AE302" s="206"/>
      <c r="AF302" s="281"/>
      <c r="AG302" s="23"/>
      <c r="AH302" s="23"/>
      <c r="AI302" s="62"/>
    </row>
    <row r="303" spans="1:37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T303" s="23"/>
      <c r="U303" s="23"/>
      <c r="V303" s="23"/>
      <c r="W303" s="23"/>
      <c r="X303" s="23"/>
      <c r="Y303" s="23"/>
      <c r="Z303" s="23"/>
      <c r="AA303" s="23"/>
      <c r="AB303" s="23"/>
      <c r="AC303" s="297"/>
      <c r="AD303" s="326"/>
      <c r="AE303" s="297"/>
      <c r="AF303" s="281"/>
      <c r="AG303" s="23"/>
      <c r="AH303" s="23"/>
      <c r="AI303" s="62"/>
    </row>
    <row r="304" spans="1:37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T304" s="23"/>
      <c r="U304" s="23"/>
      <c r="V304" s="23"/>
      <c r="W304" s="23"/>
      <c r="X304" s="23"/>
      <c r="Y304" s="23"/>
      <c r="Z304" s="23"/>
      <c r="AA304" s="23"/>
      <c r="AB304" s="23"/>
      <c r="AC304" s="206"/>
      <c r="AD304" s="325"/>
      <c r="AE304" s="206"/>
      <c r="AF304" s="281"/>
      <c r="AG304" s="23"/>
      <c r="AH304" s="23"/>
    </row>
    <row r="305" spans="1:3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T305" s="23"/>
      <c r="U305" s="23"/>
      <c r="V305" s="23"/>
      <c r="W305" s="23"/>
      <c r="X305" s="23"/>
      <c r="Y305" s="23"/>
      <c r="Z305" s="23"/>
      <c r="AA305" s="287"/>
      <c r="AB305" s="287"/>
      <c r="AC305" s="300">
        <f>+AC301-AC300</f>
        <v>-563533</v>
      </c>
      <c r="AD305" s="327"/>
      <c r="AE305" s="300">
        <f>+AE301-AE300</f>
        <v>-563533</v>
      </c>
      <c r="AF305" s="301">
        <f>+AF301-AF300</f>
        <v>0</v>
      </c>
      <c r="AG305" s="301">
        <f>+AG301-AG300</f>
        <v>0</v>
      </c>
      <c r="AH305" s="301">
        <f>+AH301-AH300</f>
        <v>0</v>
      </c>
    </row>
    <row r="306" spans="1:3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T306" s="23"/>
      <c r="U306" s="23"/>
      <c r="V306" s="23"/>
      <c r="W306" s="23"/>
      <c r="X306" s="23"/>
      <c r="Y306" s="23"/>
      <c r="Z306" s="287" t="s">
        <v>278</v>
      </c>
      <c r="AA306" s="287"/>
      <c r="AB306" s="23"/>
      <c r="AC306" s="300">
        <f>+AC298-AC305</f>
        <v>0.19999999995343387</v>
      </c>
      <c r="AD306" s="327"/>
      <c r="AE306" s="300">
        <f>+AE298-AE305</f>
        <v>0</v>
      </c>
      <c r="AF306" s="301">
        <f>+AF298-AF305</f>
        <v>738268</v>
      </c>
      <c r="AG306" s="301">
        <f>+AG298-AG305</f>
        <v>0</v>
      </c>
      <c r="AH306" s="301">
        <f>+AH298-AH305</f>
        <v>738268</v>
      </c>
      <c r="AI306" s="95"/>
    </row>
    <row r="307" spans="1:3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T307" s="23"/>
      <c r="U307" s="23"/>
      <c r="V307" s="23"/>
      <c r="W307" s="23"/>
      <c r="X307" s="23"/>
      <c r="Y307" s="23"/>
      <c r="Z307" s="23"/>
      <c r="AA307" s="23"/>
      <c r="AB307" s="23"/>
      <c r="AC307" s="300"/>
      <c r="AD307" s="327"/>
      <c r="AE307" s="300"/>
      <c r="AF307" s="301"/>
      <c r="AG307" s="23"/>
      <c r="AH307" s="23"/>
      <c r="AI307" s="95"/>
    </row>
    <row r="308" spans="1:3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T308" s="23"/>
      <c r="U308" s="23"/>
      <c r="V308" s="23"/>
      <c r="W308" s="23"/>
      <c r="X308" s="23"/>
      <c r="Y308" s="23"/>
      <c r="Z308" s="23"/>
      <c r="AA308" s="23"/>
      <c r="AB308" s="23"/>
      <c r="AC308" s="297">
        <f>+AC306-AC307</f>
        <v>0.19999999995343387</v>
      </c>
      <c r="AD308" s="326">
        <f>+AD306-AD307</f>
        <v>0</v>
      </c>
      <c r="AE308" s="297">
        <f>+AE306-AE307</f>
        <v>0</v>
      </c>
      <c r="AF308" s="281"/>
      <c r="AG308" s="23"/>
      <c r="AH308" s="23"/>
    </row>
    <row r="309" spans="1:3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T309" s="23"/>
      <c r="U309" s="23"/>
      <c r="V309" s="23"/>
      <c r="W309" s="23"/>
      <c r="X309" s="23"/>
      <c r="Y309" s="23"/>
      <c r="Z309" s="23"/>
      <c r="AA309" s="23"/>
      <c r="AB309" s="23"/>
      <c r="AC309" s="206"/>
      <c r="AD309" s="325"/>
      <c r="AE309" s="206"/>
      <c r="AF309" s="281"/>
      <c r="AG309" s="23"/>
      <c r="AH309" s="23"/>
    </row>
    <row r="310" spans="1:35" ht="1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AC310" s="188">
        <f>+AC294+AD294</f>
        <v>0</v>
      </c>
      <c r="AD310" s="328"/>
      <c r="AE310" s="187"/>
      <c r="AF310" s="146"/>
      <c r="AG310" s="8"/>
      <c r="AH310" s="8"/>
    </row>
    <row r="311" spans="1:35" ht="1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AC311" s="168"/>
      <c r="AD311" s="329"/>
      <c r="AE311" s="173"/>
      <c r="AF311" s="146"/>
      <c r="AG311" s="8"/>
      <c r="AH311" s="8"/>
    </row>
    <row r="312" spans="1:35" ht="1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AC312" s="168"/>
      <c r="AD312" s="173"/>
      <c r="AE312" s="173"/>
      <c r="AF312" s="146"/>
      <c r="AG312" s="8"/>
      <c r="AH312" s="8"/>
    </row>
    <row r="313" spans="1:35" ht="1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AC313" s="168"/>
      <c r="AD313" s="173"/>
      <c r="AE313" s="173"/>
      <c r="AF313" s="146"/>
      <c r="AG313" s="8"/>
      <c r="AH313" s="8"/>
    </row>
    <row r="314" spans="1:35" ht="1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AC314" s="168"/>
      <c r="AD314" s="173"/>
      <c r="AE314" s="173"/>
      <c r="AF314" s="146"/>
      <c r="AG314" s="8"/>
      <c r="AH314" s="8"/>
    </row>
    <row r="315" spans="1:35" ht="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AC315" s="168"/>
      <c r="AD315" s="173"/>
      <c r="AE315" s="173"/>
      <c r="AF315" s="146"/>
      <c r="AG315" s="8"/>
      <c r="AH315" s="8"/>
    </row>
    <row r="316" spans="1:35" ht="1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AC316" s="168"/>
      <c r="AD316" s="173"/>
      <c r="AE316" s="173"/>
      <c r="AF316" s="146"/>
      <c r="AG316" s="8"/>
      <c r="AH316" s="8"/>
    </row>
    <row r="317" spans="1:35" ht="1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AC317" s="168"/>
      <c r="AD317" s="173"/>
      <c r="AE317" s="173"/>
      <c r="AF317" s="146"/>
      <c r="AG317" s="8"/>
      <c r="AH317" s="8"/>
    </row>
    <row r="318" spans="1:35" ht="1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AC318" s="168"/>
      <c r="AD318" s="173"/>
      <c r="AE318" s="173"/>
      <c r="AF318" s="146"/>
      <c r="AG318" s="8"/>
      <c r="AH318" s="8"/>
    </row>
    <row r="319" spans="1:35" ht="1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AC319" s="168"/>
      <c r="AD319" s="173"/>
      <c r="AE319" s="173"/>
      <c r="AF319" s="146"/>
      <c r="AG319" s="8"/>
      <c r="AH319" s="8"/>
    </row>
    <row r="320" spans="1:35" ht="1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AC320" s="168"/>
      <c r="AD320" s="173"/>
      <c r="AE320" s="173"/>
      <c r="AF320" s="146"/>
      <c r="AG320" s="8"/>
      <c r="AH320" s="8"/>
    </row>
    <row r="321" spans="1:34" ht="1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AC321" s="168"/>
      <c r="AD321" s="173"/>
      <c r="AE321" s="173"/>
      <c r="AF321" s="146"/>
      <c r="AG321" s="8"/>
      <c r="AH321" s="8"/>
    </row>
    <row r="322" spans="1:34" ht="1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AC322" s="168"/>
      <c r="AD322" s="173"/>
      <c r="AE322" s="173"/>
      <c r="AF322" s="146"/>
      <c r="AG322" s="8"/>
      <c r="AH322" s="8"/>
    </row>
    <row r="323" spans="1:34" ht="1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AC323" s="168"/>
      <c r="AD323" s="173"/>
      <c r="AE323" s="173"/>
      <c r="AF323" s="146"/>
      <c r="AG323" s="8"/>
      <c r="AH323" s="8"/>
    </row>
    <row r="324" spans="1:34" ht="1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AC324" s="168"/>
      <c r="AD324" s="173"/>
      <c r="AE324" s="173"/>
      <c r="AF324" s="146"/>
      <c r="AG324" s="8"/>
      <c r="AH324" s="8"/>
    </row>
    <row r="325" spans="1:34" ht="1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AC325" s="168"/>
      <c r="AD325" s="173"/>
      <c r="AE325" s="173"/>
      <c r="AF325" s="146"/>
      <c r="AG325" s="8"/>
      <c r="AH325" s="8"/>
    </row>
    <row r="326" spans="1:34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AC326" s="168"/>
      <c r="AD326" s="168"/>
      <c r="AE326" s="168"/>
      <c r="AF326" s="62"/>
    </row>
    <row r="327" spans="1:34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AC327" s="168"/>
      <c r="AD327" s="168"/>
      <c r="AE327" s="168"/>
    </row>
    <row r="328" spans="1:34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AC328" s="168"/>
      <c r="AD328" s="168"/>
      <c r="AE328" s="168"/>
    </row>
    <row r="329" spans="1:34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AC329" s="168"/>
      <c r="AD329" s="168"/>
      <c r="AE329" s="168"/>
    </row>
    <row r="330" spans="1:34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AC330" s="168"/>
      <c r="AD330" s="168"/>
      <c r="AE330" s="168"/>
    </row>
    <row r="331" spans="1:34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AC331" s="168"/>
      <c r="AD331" s="168"/>
      <c r="AE331" s="168"/>
    </row>
    <row r="332" spans="1:34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AC332" s="168"/>
      <c r="AD332" s="168"/>
      <c r="AE332" s="168"/>
    </row>
    <row r="333" spans="1:34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AC333" s="168"/>
      <c r="AD333" s="168"/>
      <c r="AE333" s="168"/>
    </row>
    <row r="334" spans="1:34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AC334" s="168"/>
      <c r="AD334" s="168"/>
      <c r="AE334" s="168"/>
    </row>
    <row r="335" spans="1:34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AC335" s="168"/>
      <c r="AD335" s="168"/>
      <c r="AE335" s="168"/>
    </row>
    <row r="336" spans="1:34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AC336" s="168"/>
      <c r="AD336" s="168"/>
      <c r="AE336" s="168"/>
    </row>
    <row r="337" spans="1:3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AC337" s="168"/>
      <c r="AD337" s="168"/>
      <c r="AE337" s="168"/>
    </row>
    <row r="338" spans="1:3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AC338" s="168"/>
      <c r="AD338" s="168"/>
      <c r="AE338" s="168"/>
    </row>
    <row r="339" spans="1:3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AC339" s="168"/>
      <c r="AD339" s="168"/>
      <c r="AE339" s="168"/>
    </row>
    <row r="340" spans="1:3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AC340" s="168"/>
      <c r="AD340" s="168"/>
      <c r="AE340" s="168"/>
    </row>
    <row r="341" spans="1:3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AC341" s="168"/>
      <c r="AD341" s="168"/>
      <c r="AE341" s="168"/>
    </row>
    <row r="342" spans="1:3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AC342" s="168"/>
      <c r="AD342" s="168"/>
      <c r="AE342" s="168"/>
    </row>
    <row r="343" spans="1:3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AC343" s="168"/>
      <c r="AD343" s="168"/>
      <c r="AE343" s="168"/>
    </row>
    <row r="344" spans="1:3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AC344" s="168"/>
      <c r="AD344" s="168"/>
      <c r="AE344" s="168"/>
    </row>
    <row r="345" spans="1:3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AD345" s="168"/>
    </row>
    <row r="346" spans="1:3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AD346" s="168"/>
    </row>
    <row r="347" spans="1:3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AD347" s="168"/>
    </row>
    <row r="348" spans="1:3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AD348" s="168"/>
    </row>
    <row r="349" spans="1:3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AD349" s="168"/>
    </row>
    <row r="350" spans="1:3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AD350" s="168"/>
    </row>
    <row r="351" spans="1:3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AD351" s="168"/>
    </row>
    <row r="352" spans="1:3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AD352" s="168"/>
    </row>
    <row r="353" spans="1:30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AD353" s="168"/>
    </row>
    <row r="354" spans="1:30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AD354" s="168"/>
    </row>
    <row r="355" spans="1:30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AD355" s="168"/>
    </row>
    <row r="356" spans="1:30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AD356" s="168"/>
    </row>
    <row r="357" spans="1:30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AD357" s="168"/>
    </row>
    <row r="358" spans="1:30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</row>
    <row r="359" spans="1:30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</row>
    <row r="360" spans="1:30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</row>
    <row r="361" spans="1:30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</row>
    <row r="362" spans="1:30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</row>
    <row r="363" spans="1:30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</row>
    <row r="364" spans="1:30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</row>
    <row r="365" spans="1:30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</row>
    <row r="366" spans="1:30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</row>
    <row r="367" spans="1:30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</row>
    <row r="368" spans="1:30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</row>
    <row r="369" spans="1:17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</row>
    <row r="370" spans="1:17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</row>
    <row r="371" spans="1:17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</row>
    <row r="372" spans="1:17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</row>
    <row r="373" spans="1:17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</row>
    <row r="374" spans="1:17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</row>
    <row r="375" spans="1:17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</row>
    <row r="376" spans="1:17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</row>
    <row r="377" spans="1:17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</row>
    <row r="378" spans="1:17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</row>
    <row r="379" spans="1:17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</row>
    <row r="380" spans="1:17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</row>
    <row r="381" spans="1:17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</row>
    <row r="382" spans="1:17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</row>
    <row r="383" spans="1:17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</row>
    <row r="384" spans="1:17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</row>
    <row r="385" spans="1:17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</row>
    <row r="386" spans="1:17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</row>
    <row r="387" spans="1:17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</row>
    <row r="388" spans="1:17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</row>
    <row r="389" spans="1:17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</row>
    <row r="390" spans="1:17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</row>
    <row r="391" spans="1:17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</row>
    <row r="392" spans="1:17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</row>
    <row r="393" spans="1:17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</row>
    <row r="394" spans="1:17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</row>
    <row r="395" spans="1:17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</row>
    <row r="396" spans="1:17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</row>
    <row r="397" spans="1:17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</row>
    <row r="398" spans="1:17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</row>
    <row r="399" spans="1:17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</row>
    <row r="400" spans="1:17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</row>
    <row r="401" spans="1:17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</row>
    <row r="402" spans="1:17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</row>
    <row r="403" spans="1:17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</row>
    <row r="404" spans="1:17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</row>
    <row r="405" spans="1:17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</row>
    <row r="406" spans="1:17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</row>
    <row r="407" spans="1:17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</row>
    <row r="408" spans="1:17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</row>
    <row r="409" spans="1:17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</row>
    <row r="410" spans="1:17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</row>
    <row r="411" spans="1:17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</row>
    <row r="412" spans="1:17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</row>
    <row r="413" spans="1:17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</row>
    <row r="414" spans="1:17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</row>
    <row r="415" spans="1:17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</row>
    <row r="416" spans="1:17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</row>
    <row r="417" spans="1:17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</row>
    <row r="418" spans="1:17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</row>
    <row r="419" spans="1:17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</row>
    <row r="420" spans="1:17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</row>
    <row r="421" spans="1:17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</row>
    <row r="422" spans="1:17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</row>
    <row r="423" spans="1:17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</row>
    <row r="424" spans="1:17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</row>
    <row r="425" spans="1:17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</row>
    <row r="426" spans="1:17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</row>
    <row r="427" spans="1:17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</row>
    <row r="428" spans="1:17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</row>
    <row r="429" spans="1:17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</row>
    <row r="430" spans="1:17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</row>
    <row r="431" spans="1:17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</row>
    <row r="432" spans="1:17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</row>
    <row r="433" spans="1:17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</row>
    <row r="434" spans="1:17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</row>
    <row r="435" spans="1:17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</row>
    <row r="436" spans="1:17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</row>
    <row r="437" spans="1:17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</row>
    <row r="438" spans="1:17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</row>
    <row r="439" spans="1:17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</row>
    <row r="440" spans="1:17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</row>
    <row r="441" spans="1:17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</row>
    <row r="442" spans="1:17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</row>
    <row r="443" spans="1:17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</row>
    <row r="444" spans="1:17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</row>
    <row r="445" spans="1:17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</row>
    <row r="446" spans="1:17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</row>
    <row r="447" spans="1:17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</row>
    <row r="448" spans="1:17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</row>
    <row r="449" spans="1:17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</row>
    <row r="450" spans="1:17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</row>
    <row r="451" spans="1:17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</row>
    <row r="452" spans="1:17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</row>
    <row r="453" spans="1:17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</row>
    <row r="454" spans="1:17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</row>
    <row r="455" spans="1:17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</row>
    <row r="456" spans="1:17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</row>
    <row r="457" spans="1:17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</row>
    <row r="458" spans="1:17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</row>
    <row r="459" spans="1:17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</row>
    <row r="460" spans="1:17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</row>
    <row r="461" spans="1:17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</row>
    <row r="462" spans="1:17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</row>
    <row r="463" spans="1:17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</row>
    <row r="464" spans="1:17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</row>
    <row r="465" spans="1:17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</row>
    <row r="466" spans="1:17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</row>
    <row r="467" spans="1:17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</row>
    <row r="468" spans="1:17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</row>
    <row r="469" spans="1:17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</row>
    <row r="470" spans="1:17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</row>
    <row r="471" spans="1:17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</row>
    <row r="472" spans="1:17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</row>
    <row r="473" spans="1:17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</row>
    <row r="474" spans="1:17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</row>
    <row r="475" spans="1:17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</row>
    <row r="476" spans="1:17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</row>
    <row r="477" spans="1:17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</row>
    <row r="478" spans="1:17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</row>
    <row r="479" spans="1:17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</row>
    <row r="480" spans="1:17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</row>
    <row r="481" spans="1:17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</row>
    <row r="482" spans="1:17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</row>
    <row r="483" spans="1:17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</row>
    <row r="484" spans="1:17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</row>
    <row r="485" spans="1:17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</row>
    <row r="486" spans="1:17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</row>
    <row r="487" spans="1:17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</row>
    <row r="488" spans="1:17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</row>
    <row r="489" spans="1:17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</row>
    <row r="490" spans="1:17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</row>
    <row r="491" spans="1:17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</row>
    <row r="492" spans="1:17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</row>
    <row r="493" spans="1:17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</row>
    <row r="494" spans="1:17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</row>
    <row r="495" spans="1:17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</row>
    <row r="496" spans="1:17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</row>
    <row r="497" spans="1:17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</row>
    <row r="498" spans="1:17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</row>
    <row r="499" spans="1:17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</row>
    <row r="500" spans="1:17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</row>
    <row r="501" spans="1:17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</row>
    <row r="502" spans="1:17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</row>
    <row r="503" spans="1:17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</row>
    <row r="504" spans="1:17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</row>
    <row r="505" spans="1:17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</row>
    <row r="506" spans="1:17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</row>
    <row r="507" spans="1:17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</row>
    <row r="508" spans="1:17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</row>
    <row r="509" spans="1:17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</row>
    <row r="510" spans="1:17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</row>
    <row r="511" spans="1:17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</row>
    <row r="512" spans="1:17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</row>
    <row r="513" spans="1:17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</row>
    <row r="514" spans="1:17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</row>
    <row r="515" spans="1:17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</row>
  </sheetData>
  <mergeCells count="1">
    <mergeCell ref="AL192:AS192"/>
  </mergeCells>
  <phoneticPr fontId="0" type="noConversion"/>
  <pageMargins left="0.15748031496062992" right="0.23622047244094491" top="0.94488188976377963" bottom="0.51181102362204722" header="1.2204724409448819" footer="0.51181102362204722"/>
  <pageSetup paperSize="9" scale="85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8" sqref="A28"/>
    </sheetView>
  </sheetViews>
  <sheetFormatPr defaultRowHeight="12.7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0" sqref="B9:B10"/>
    </sheetView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Centr.</vt:lpstr>
      <vt:lpstr>Sheet1</vt:lpstr>
      <vt:lpstr>Sheet2</vt:lpstr>
      <vt:lpstr>Sheet3</vt:lpstr>
      <vt:lpstr>Sheet4</vt:lpstr>
      <vt:lpstr>Sheet5</vt:lpstr>
    </vt:vector>
  </TitlesOfParts>
  <Company>+355 4 238530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Bilanci 2007</dc:title>
  <dc:subject>Arben-Konstruksion Sh.p.k</dc:subject>
  <dc:creator>Sh.Ruci</dc:creator>
  <dc:description>Bilanci i mbyllur.Te verifikohet pagesa e lejes ndertimit per AP.2 dhe te kaloje tek eksperti.</dc:description>
  <cp:lastModifiedBy>User</cp:lastModifiedBy>
  <cp:lastPrinted>2012-03-19T12:32:20Z</cp:lastPrinted>
  <dcterms:created xsi:type="dcterms:W3CDTF">2003-10-22T15:31:32Z</dcterms:created>
  <dcterms:modified xsi:type="dcterms:W3CDTF">2022-01-08T10:41:41Z</dcterms:modified>
  <cp:category>Ndertim-Prodhim</cp:category>
</cp:coreProperties>
</file>