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8975" windowHeight="8640" tabRatio="933" firstSheet="16" activeTab="35"/>
  </bookViews>
  <sheets>
    <sheet name="CF Dir" sheetId="28" state="hidden" r:id="rId1"/>
    <sheet name="CFindir" sheetId="27" state="hidden" r:id="rId2"/>
    <sheet name="Furnitoret" sheetId="26" state="hidden" r:id="rId3"/>
    <sheet name="TB analitik Fin" sheetId="19" state="hidden" r:id="rId4"/>
    <sheet name="BS Fin" sheetId="20" state="hidden" r:id="rId5"/>
    <sheet name="P&amp;L Fin" sheetId="22" state="hidden" r:id="rId6"/>
    <sheet name="Sit Finac Tax" sheetId="18" state="hidden" r:id="rId7"/>
    <sheet name="BLERJE" sheetId="16" state="hidden" r:id="rId8"/>
    <sheet name="SHITJE 09" sheetId="15" state="hidden" r:id="rId9"/>
    <sheet name="Mapping" sheetId="32" state="hidden" r:id="rId10"/>
    <sheet name="TB Vesion Final" sheetId="24" state="hidden" r:id="rId11"/>
    <sheet name="Adjustime" sheetId="36" state="hidden" r:id="rId12"/>
    <sheet name="Bank Statement" sheetId="37" state="hidden" r:id="rId13"/>
    <sheet name="Banka 4" sheetId="3" r:id="rId14"/>
    <sheet name="Klientet" sheetId="25" state="hidden" r:id="rId15"/>
    <sheet name="Receivables 5" sheetId="7" r:id="rId16"/>
    <sheet name="Inventory 6" sheetId="8" r:id="rId17"/>
    <sheet name="Assets 7" sheetId="10" r:id="rId18"/>
    <sheet name="LT Loan 8" sheetId="11" r:id="rId19"/>
    <sheet name="Payables 9" sheetId="6" r:id="rId20"/>
    <sheet name="Revenues 10" sheetId="12" r:id="rId21"/>
    <sheet name="COGS 11" sheetId="13" r:id="rId22"/>
    <sheet name="Admin 12" sheetId="30" r:id="rId23"/>
    <sheet name="Tatim Fitimi 13" sheetId="29" r:id="rId24"/>
    <sheet name="Forex" sheetId="14" state="hidden" r:id="rId25"/>
    <sheet name="TB DBase 2009" sheetId="39" state="hidden" r:id="rId26"/>
    <sheet name="TB DBase" sheetId="21" state="hidden" r:id="rId27"/>
    <sheet name="Fdp tatim 11" sheetId="38" r:id="rId28"/>
    <sheet name="BS" sheetId="1" r:id="rId29"/>
    <sheet name="PL" sheetId="2" r:id="rId30"/>
    <sheet name="CF" sheetId="5" r:id="rId31"/>
    <sheet name="Capital" sheetId="4" r:id="rId32"/>
    <sheet name="AAM" sheetId="34" r:id="rId33"/>
    <sheet name="aktivitet per BM" sheetId="35" r:id="rId34"/>
    <sheet name="Aneks Statistikor" sheetId="33" r:id="rId35"/>
    <sheet name="Cover" sheetId="31" r:id="rId36"/>
  </sheets>
  <externalReferences>
    <externalReference r:id="rId37"/>
  </externalReferences>
  <definedNames>
    <definedName name="_xlnm._FilterDatabase" localSheetId="33" hidden="1">'aktivitet per BM'!$H$5:$J$42</definedName>
    <definedName name="_xlnm._FilterDatabase" localSheetId="8" hidden="1">'SHITJE 09'!$A$1:$P$64</definedName>
    <definedName name="_xlnm._FilterDatabase" localSheetId="26" hidden="1">'TB DBase'!$B$1:$L$59</definedName>
    <definedName name="_xlnm._FilterDatabase" localSheetId="25" hidden="1">'TB DBase 2009'!$A$1:$P$61</definedName>
    <definedName name="_Key1" localSheetId="27" hidden="1">[1]PRODUKTE!#REF!</definedName>
    <definedName name="_Key1" hidden="1">[1]PRODUKTE!#REF!</definedName>
    <definedName name="_Key2" localSheetId="27" hidden="1">[1]PRODUKTE!#REF!</definedName>
    <definedName name="_Key2" hidden="1">[1]PRODUKTE!#REF!</definedName>
    <definedName name="_Order1" hidden="1">255</definedName>
    <definedName name="_Order2" hidden="1">255</definedName>
    <definedName name="xe110soc">#REF!</definedName>
    <definedName name="xe180soc">#REF!</definedName>
  </definedNames>
  <calcPr calcId="125725"/>
</workbook>
</file>

<file path=xl/calcChain.xml><?xml version="1.0" encoding="utf-8"?>
<calcChain xmlns="http://schemas.openxmlformats.org/spreadsheetml/2006/main">
  <c r="H7" i="38"/>
  <c r="D31" i="36"/>
  <c r="D49" i="1"/>
  <c r="C2" i="34"/>
  <c r="C2" i="33"/>
  <c r="C33" s="1"/>
  <c r="J2" i="35"/>
  <c r="J12" i="33"/>
  <c r="I12"/>
  <c r="J73"/>
  <c r="J74"/>
  <c r="I66" l="1"/>
  <c r="I68"/>
  <c r="I50"/>
  <c r="I52"/>
  <c r="I54"/>
  <c r="I55"/>
  <c r="I56"/>
  <c r="I57"/>
  <c r="I58"/>
  <c r="I60"/>
  <c r="I62"/>
  <c r="I40"/>
  <c r="I43"/>
  <c r="K54" i="35"/>
  <c r="H8" i="38"/>
  <c r="K14" i="35"/>
  <c r="J10" i="33"/>
  <c r="J9"/>
  <c r="D41" i="34"/>
  <c r="E41"/>
  <c r="F41"/>
  <c r="E42"/>
  <c r="F42"/>
  <c r="D43"/>
  <c r="F43"/>
  <c r="D44"/>
  <c r="F44"/>
  <c r="D45"/>
  <c r="E45"/>
  <c r="F45"/>
  <c r="E40"/>
  <c r="F40"/>
  <c r="D40"/>
  <c r="E28"/>
  <c r="E11"/>
  <c r="F12" i="1"/>
  <c r="F15"/>
  <c r="F16"/>
  <c r="F17"/>
  <c r="F20"/>
  <c r="F21"/>
  <c r="F23"/>
  <c r="F26"/>
  <c r="F27"/>
  <c r="F28"/>
  <c r="F32"/>
  <c r="F35"/>
  <c r="F36"/>
  <c r="F38"/>
  <c r="F39"/>
  <c r="F42"/>
  <c r="F43"/>
  <c r="F45"/>
  <c r="F48"/>
  <c r="F50"/>
  <c r="E37" i="5"/>
  <c r="E18"/>
  <c r="E21" s="1"/>
  <c r="D33" i="18"/>
  <c r="D35"/>
  <c r="C30"/>
  <c r="L70" i="10"/>
  <c r="F19"/>
  <c r="G19"/>
  <c r="H19"/>
  <c r="I19"/>
  <c r="J19"/>
  <c r="J23" s="1"/>
  <c r="K16"/>
  <c r="K15"/>
  <c r="K9"/>
  <c r="K8"/>
  <c r="L50"/>
  <c r="O57"/>
  <c r="L44"/>
  <c r="O44" s="1"/>
  <c r="L42"/>
  <c r="O42" s="1"/>
  <c r="L43"/>
  <c r="O43" s="1"/>
  <c r="L45"/>
  <c r="O45" s="1"/>
  <c r="L46"/>
  <c r="O46" s="1"/>
  <c r="L47"/>
  <c r="O47" s="1"/>
  <c r="L48"/>
  <c r="L49"/>
  <c r="L52"/>
  <c r="L53"/>
  <c r="L54"/>
  <c r="L55"/>
  <c r="O55" s="1"/>
  <c r="L58"/>
  <c r="O58" s="1"/>
  <c r="L62"/>
  <c r="L63"/>
  <c r="L64"/>
  <c r="L65"/>
  <c r="L66"/>
  <c r="L41"/>
  <c r="M50" s="1"/>
  <c r="I11"/>
  <c r="E12" i="34" s="1"/>
  <c r="E44" s="1"/>
  <c r="G44" s="1"/>
  <c r="L35" i="10"/>
  <c r="F12"/>
  <c r="F23" s="1"/>
  <c r="H12"/>
  <c r="H23" s="1"/>
  <c r="E10"/>
  <c r="E12" s="1"/>
  <c r="F10"/>
  <c r="G10"/>
  <c r="G12" s="1"/>
  <c r="G23" s="1"/>
  <c r="H10"/>
  <c r="I10"/>
  <c r="I12" s="1"/>
  <c r="J10"/>
  <c r="H28"/>
  <c r="H29"/>
  <c r="H35"/>
  <c r="H27"/>
  <c r="H32" s="1"/>
  <c r="D17"/>
  <c r="D26" i="34" s="1"/>
  <c r="D10" i="10"/>
  <c r="D25" s="1"/>
  <c r="O41" s="1"/>
  <c r="S27" i="21"/>
  <c r="C3"/>
  <c r="H3" s="1"/>
  <c r="K3" s="1"/>
  <c r="E3"/>
  <c r="C4"/>
  <c r="H4" s="1"/>
  <c r="K4" s="1"/>
  <c r="E4"/>
  <c r="C5"/>
  <c r="G5" s="1"/>
  <c r="J5" s="1"/>
  <c r="E5"/>
  <c r="C6"/>
  <c r="G6" s="1"/>
  <c r="J6" s="1"/>
  <c r="E6"/>
  <c r="C7"/>
  <c r="G7" s="1"/>
  <c r="J7" s="1"/>
  <c r="E7"/>
  <c r="C8"/>
  <c r="H8" s="1"/>
  <c r="E8"/>
  <c r="C9"/>
  <c r="E9"/>
  <c r="C10"/>
  <c r="E10"/>
  <c r="C11"/>
  <c r="G11" s="1"/>
  <c r="J11" s="1"/>
  <c r="E11"/>
  <c r="C12"/>
  <c r="G12" s="1"/>
  <c r="J12" s="1"/>
  <c r="E12"/>
  <c r="C13"/>
  <c r="G13" s="1"/>
  <c r="J13" s="1"/>
  <c r="E13"/>
  <c r="C14"/>
  <c r="G14" s="1"/>
  <c r="J14" s="1"/>
  <c r="E14"/>
  <c r="C15"/>
  <c r="G15" s="1"/>
  <c r="J15" s="1"/>
  <c r="E15"/>
  <c r="C16"/>
  <c r="E16"/>
  <c r="C17"/>
  <c r="G17" s="1"/>
  <c r="J17" s="1"/>
  <c r="E17"/>
  <c r="C18"/>
  <c r="G18" s="1"/>
  <c r="J18" s="1"/>
  <c r="E18"/>
  <c r="C19"/>
  <c r="G19" s="1"/>
  <c r="J19" s="1"/>
  <c r="E19"/>
  <c r="C20"/>
  <c r="G20" s="1"/>
  <c r="J20" s="1"/>
  <c r="E20"/>
  <c r="C21"/>
  <c r="G21" s="1"/>
  <c r="J21" s="1"/>
  <c r="E21"/>
  <c r="C22"/>
  <c r="G22" s="1"/>
  <c r="J22" s="1"/>
  <c r="E22"/>
  <c r="C23"/>
  <c r="G23" s="1"/>
  <c r="J23" s="1"/>
  <c r="E23"/>
  <c r="C24"/>
  <c r="H24" s="1"/>
  <c r="K24" s="1"/>
  <c r="E24"/>
  <c r="C25"/>
  <c r="H25" s="1"/>
  <c r="K25" s="1"/>
  <c r="E25"/>
  <c r="C26"/>
  <c r="H26" s="1"/>
  <c r="K26" s="1"/>
  <c r="E26"/>
  <c r="C27"/>
  <c r="H27" s="1"/>
  <c r="K27" s="1"/>
  <c r="E27"/>
  <c r="C28"/>
  <c r="H28" s="1"/>
  <c r="K28" s="1"/>
  <c r="E28"/>
  <c r="C29"/>
  <c r="H29" s="1"/>
  <c r="K29" s="1"/>
  <c r="E29"/>
  <c r="C30"/>
  <c r="H30" s="1"/>
  <c r="K30" s="1"/>
  <c r="E30"/>
  <c r="C31"/>
  <c r="H31" s="1"/>
  <c r="K31" s="1"/>
  <c r="E31"/>
  <c r="C32"/>
  <c r="H32" s="1"/>
  <c r="K32" s="1"/>
  <c r="E32"/>
  <c r="C33"/>
  <c r="K33" s="1"/>
  <c r="E33"/>
  <c r="C34"/>
  <c r="E34"/>
  <c r="C35"/>
  <c r="E35"/>
  <c r="C36"/>
  <c r="E36"/>
  <c r="C37"/>
  <c r="G37" s="1"/>
  <c r="J37" s="1"/>
  <c r="E37"/>
  <c r="C38"/>
  <c r="G38" s="1"/>
  <c r="J38" s="1"/>
  <c r="E38"/>
  <c r="C39"/>
  <c r="G39" s="1"/>
  <c r="J39" s="1"/>
  <c r="E39"/>
  <c r="C40"/>
  <c r="G40" s="1"/>
  <c r="J40" s="1"/>
  <c r="E40"/>
  <c r="C41"/>
  <c r="G41" s="1"/>
  <c r="J41" s="1"/>
  <c r="E41"/>
  <c r="C42"/>
  <c r="G42" s="1"/>
  <c r="J42" s="1"/>
  <c r="E42"/>
  <c r="C43"/>
  <c r="G43" s="1"/>
  <c r="J43" s="1"/>
  <c r="E43"/>
  <c r="C44"/>
  <c r="G44" s="1"/>
  <c r="J44" s="1"/>
  <c r="E44"/>
  <c r="C45"/>
  <c r="G45" s="1"/>
  <c r="J45" s="1"/>
  <c r="E45"/>
  <c r="C46"/>
  <c r="G46" s="1"/>
  <c r="J46" s="1"/>
  <c r="E46"/>
  <c r="C47"/>
  <c r="G47" s="1"/>
  <c r="J47" s="1"/>
  <c r="E47"/>
  <c r="C48"/>
  <c r="G48" s="1"/>
  <c r="J48" s="1"/>
  <c r="E48"/>
  <c r="C49"/>
  <c r="G49" s="1"/>
  <c r="J49" s="1"/>
  <c r="E49"/>
  <c r="C50"/>
  <c r="G50" s="1"/>
  <c r="J50" s="1"/>
  <c r="E50"/>
  <c r="C51"/>
  <c r="G51" s="1"/>
  <c r="J51" s="1"/>
  <c r="E51"/>
  <c r="C52"/>
  <c r="H52" s="1"/>
  <c r="K52" s="1"/>
  <c r="E52"/>
  <c r="C53"/>
  <c r="H53" s="1"/>
  <c r="K53" s="1"/>
  <c r="E53"/>
  <c r="C54"/>
  <c r="H54" s="1"/>
  <c r="K54" s="1"/>
  <c r="E54"/>
  <c r="C55"/>
  <c r="H55" s="1"/>
  <c r="K55" s="1"/>
  <c r="E55"/>
  <c r="C56"/>
  <c r="K56" s="1"/>
  <c r="E56"/>
  <c r="C57"/>
  <c r="E57"/>
  <c r="C58"/>
  <c r="E58"/>
  <c r="K61"/>
  <c r="J61"/>
  <c r="F49" i="34"/>
  <c r="G48"/>
  <c r="G47"/>
  <c r="G46"/>
  <c r="G45"/>
  <c r="G41"/>
  <c r="G40"/>
  <c r="F33"/>
  <c r="G32"/>
  <c r="G31"/>
  <c r="G30"/>
  <c r="G28"/>
  <c r="G25"/>
  <c r="G24"/>
  <c r="F17"/>
  <c r="G16"/>
  <c r="G15"/>
  <c r="G14"/>
  <c r="G13"/>
  <c r="G11"/>
  <c r="G9"/>
  <c r="G8"/>
  <c r="J8" i="33" l="1"/>
  <c r="J24" s="1"/>
  <c r="K35" i="21"/>
  <c r="H35"/>
  <c r="G35"/>
  <c r="H34"/>
  <c r="K34" s="1"/>
  <c r="G34"/>
  <c r="H36"/>
  <c r="G36"/>
  <c r="J36" s="1"/>
  <c r="G10"/>
  <c r="J10" s="1"/>
  <c r="H10"/>
  <c r="H9"/>
  <c r="K9" s="1"/>
  <c r="D33" i="34"/>
  <c r="G26"/>
  <c r="E39" i="5"/>
  <c r="E41" s="1"/>
  <c r="I29" i="10"/>
  <c r="J29" s="1"/>
  <c r="D19"/>
  <c r="K11"/>
  <c r="D12" i="5" s="1"/>
  <c r="I23" i="10"/>
  <c r="D10" i="34"/>
  <c r="G10" s="1"/>
  <c r="D12" i="10"/>
  <c r="K12" s="1"/>
  <c r="M66"/>
  <c r="K10"/>
  <c r="K17"/>
  <c r="G12" i="34"/>
  <c r="E17"/>
  <c r="O50" i="10"/>
  <c r="E18" s="1"/>
  <c r="E27" i="34" s="1"/>
  <c r="E43" s="1"/>
  <c r="O54" i="10"/>
  <c r="O66"/>
  <c r="J35" i="21"/>
  <c r="G55"/>
  <c r="J55" s="1"/>
  <c r="G54"/>
  <c r="J54" s="1"/>
  <c r="G53"/>
  <c r="J53" s="1"/>
  <c r="H51"/>
  <c r="K51" s="1"/>
  <c r="H50"/>
  <c r="K50" s="1"/>
  <c r="H49"/>
  <c r="K49" s="1"/>
  <c r="H48"/>
  <c r="K48" s="1"/>
  <c r="H47"/>
  <c r="K47" s="1"/>
  <c r="H46"/>
  <c r="K46" s="1"/>
  <c r="H45"/>
  <c r="K45" s="1"/>
  <c r="H44"/>
  <c r="K44" s="1"/>
  <c r="H43"/>
  <c r="K43" s="1"/>
  <c r="H42"/>
  <c r="K42" s="1"/>
  <c r="H41"/>
  <c r="K41" s="1"/>
  <c r="H40"/>
  <c r="K40" s="1"/>
  <c r="H39"/>
  <c r="K39" s="1"/>
  <c r="H38"/>
  <c r="K38" s="1"/>
  <c r="H37"/>
  <c r="K37" s="1"/>
  <c r="K36"/>
  <c r="J34"/>
  <c r="J33"/>
  <c r="G32"/>
  <c r="J32" s="1"/>
  <c r="G31"/>
  <c r="J31" s="1"/>
  <c r="G30"/>
  <c r="J30" s="1"/>
  <c r="G29"/>
  <c r="J29" s="1"/>
  <c r="G28"/>
  <c r="J28" s="1"/>
  <c r="G27"/>
  <c r="J27" s="1"/>
  <c r="G26"/>
  <c r="J26" s="1"/>
  <c r="G25"/>
  <c r="J25" s="1"/>
  <c r="H23"/>
  <c r="K23" s="1"/>
  <c r="H22"/>
  <c r="K22" s="1"/>
  <c r="H21"/>
  <c r="K21" s="1"/>
  <c r="H20"/>
  <c r="K20" s="1"/>
  <c r="H19"/>
  <c r="K19" s="1"/>
  <c r="H18"/>
  <c r="K18" s="1"/>
  <c r="H17"/>
  <c r="K17" s="1"/>
  <c r="H16"/>
  <c r="K16" s="1"/>
  <c r="H15"/>
  <c r="K15" s="1"/>
  <c r="H14"/>
  <c r="K14" s="1"/>
  <c r="H13"/>
  <c r="K13" s="1"/>
  <c r="H12"/>
  <c r="K12" s="1"/>
  <c r="H11"/>
  <c r="K11" s="1"/>
  <c r="K10"/>
  <c r="H7"/>
  <c r="K7" s="1"/>
  <c r="H6"/>
  <c r="K6" s="1"/>
  <c r="G4"/>
  <c r="J4" s="1"/>
  <c r="G3"/>
  <c r="J3" s="1"/>
  <c r="J56"/>
  <c r="K8"/>
  <c r="G8"/>
  <c r="J8" s="1"/>
  <c r="G24"/>
  <c r="J24" s="1"/>
  <c r="G52"/>
  <c r="J52" s="1"/>
  <c r="H5"/>
  <c r="K5" s="1"/>
  <c r="L23"/>
  <c r="E2"/>
  <c r="C2"/>
  <c r="F3" i="16"/>
  <c r="F4"/>
  <c r="F5"/>
  <c r="F6"/>
  <c r="F7"/>
  <c r="F8"/>
  <c r="F9"/>
  <c r="F10"/>
  <c r="F11"/>
  <c r="F12"/>
  <c r="F13"/>
  <c r="F2"/>
  <c r="I2"/>
  <c r="F14"/>
  <c r="D14"/>
  <c r="B20" i="18" s="1"/>
  <c r="B21" s="1"/>
  <c r="E14" i="16"/>
  <c r="B22" i="18" s="1"/>
  <c r="B23" s="1"/>
  <c r="I32" i="21"/>
  <c r="B32" s="1"/>
  <c r="I33"/>
  <c r="B33" s="1"/>
  <c r="I34"/>
  <c r="B34" s="1"/>
  <c r="I35"/>
  <c r="B35" s="1"/>
  <c r="I36"/>
  <c r="B36" s="1"/>
  <c r="I37"/>
  <c r="B37" s="1"/>
  <c r="I38"/>
  <c r="I39"/>
  <c r="B39" s="1"/>
  <c r="I40"/>
  <c r="B40" s="1"/>
  <c r="I41"/>
  <c r="B41" s="1"/>
  <c r="I42"/>
  <c r="B42" s="1"/>
  <c r="I43"/>
  <c r="I44"/>
  <c r="I45"/>
  <c r="I46"/>
  <c r="B46" s="1"/>
  <c r="I47"/>
  <c r="I48"/>
  <c r="I49"/>
  <c r="B49" s="1"/>
  <c r="I50"/>
  <c r="I51"/>
  <c r="I52"/>
  <c r="I53"/>
  <c r="B53" s="1"/>
  <c r="I54"/>
  <c r="B54" s="1"/>
  <c r="I55"/>
  <c r="I56"/>
  <c r="B56" s="1"/>
  <c r="I31"/>
  <c r="B31" s="1"/>
  <c r="A486" i="15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D18"/>
  <c r="E18" s="1"/>
  <c r="D17"/>
  <c r="E17" s="1"/>
  <c r="B17" i="18" s="1"/>
  <c r="B17" i="15"/>
  <c r="E16"/>
  <c r="C16"/>
  <c r="E15"/>
  <c r="C15"/>
  <c r="E14"/>
  <c r="C14"/>
  <c r="E13"/>
  <c r="C13"/>
  <c r="E12"/>
  <c r="C12"/>
  <c r="E11"/>
  <c r="C11"/>
  <c r="E10"/>
  <c r="C10"/>
  <c r="E9"/>
  <c r="C9"/>
  <c r="E8"/>
  <c r="C8"/>
  <c r="E7"/>
  <c r="C7"/>
  <c r="E6"/>
  <c r="C6"/>
  <c r="E5"/>
  <c r="C5"/>
  <c r="C17" s="1"/>
  <c r="I13" i="16"/>
  <c r="I12"/>
  <c r="I11"/>
  <c r="I10"/>
  <c r="I9"/>
  <c r="I8"/>
  <c r="I7"/>
  <c r="I6"/>
  <c r="I5"/>
  <c r="I4"/>
  <c r="I3"/>
  <c r="I14" s="1"/>
  <c r="C32" i="39" l="1"/>
  <c r="C31"/>
  <c r="C35"/>
  <c r="C37"/>
  <c r="C41"/>
  <c r="C45"/>
  <c r="C47"/>
  <c r="C50"/>
  <c r="C53"/>
  <c r="C55"/>
  <c r="C30"/>
  <c r="C36"/>
  <c r="C40"/>
  <c r="C42"/>
  <c r="C46"/>
  <c r="C49"/>
  <c r="C52"/>
  <c r="C54"/>
  <c r="C56"/>
  <c r="G43" i="34"/>
  <c r="E49"/>
  <c r="I73" i="33" s="1"/>
  <c r="I74" s="1"/>
  <c r="G17" i="34"/>
  <c r="E33"/>
  <c r="G27"/>
  <c r="G33" s="1"/>
  <c r="D42"/>
  <c r="D17"/>
  <c r="E19" i="10"/>
  <c r="E23" s="1"/>
  <c r="K18"/>
  <c r="G2" i="21"/>
  <c r="H2"/>
  <c r="C7" i="7"/>
  <c r="C9"/>
  <c r="C11"/>
  <c r="C8"/>
  <c r="B15" i="18"/>
  <c r="B16" s="1"/>
  <c r="E16" i="16"/>
  <c r="D19" i="15"/>
  <c r="N14" i="16"/>
  <c r="M14"/>
  <c r="L14"/>
  <c r="I23" i="18"/>
  <c r="B24" s="1"/>
  <c r="K6"/>
  <c r="K7" s="1"/>
  <c r="H6" i="4"/>
  <c r="H7"/>
  <c r="H10" s="1"/>
  <c r="R5" i="21"/>
  <c r="K57"/>
  <c r="L6"/>
  <c r="L8"/>
  <c r="L17"/>
  <c r="O17" s="1"/>
  <c r="J57"/>
  <c r="L57" s="1"/>
  <c r="L3"/>
  <c r="L4"/>
  <c r="L10"/>
  <c r="L11"/>
  <c r="L12"/>
  <c r="L13"/>
  <c r="L14"/>
  <c r="L15"/>
  <c r="L18"/>
  <c r="N18" s="1"/>
  <c r="L19"/>
  <c r="N19" s="1"/>
  <c r="L20"/>
  <c r="L21"/>
  <c r="O21" s="1"/>
  <c r="S20" s="1"/>
  <c r="L22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"/>
  <c r="L7"/>
  <c r="J40" i="33" l="1"/>
  <c r="J42"/>
  <c r="J45"/>
  <c r="J47"/>
  <c r="J50"/>
  <c r="J52"/>
  <c r="J54"/>
  <c r="J56"/>
  <c r="J58"/>
  <c r="J60"/>
  <c r="J62"/>
  <c r="J65"/>
  <c r="J67"/>
  <c r="J39"/>
  <c r="J41"/>
  <c r="J43"/>
  <c r="J46"/>
  <c r="J49"/>
  <c r="J51"/>
  <c r="J53"/>
  <c r="J55"/>
  <c r="J57"/>
  <c r="J59"/>
  <c r="J61"/>
  <c r="J63"/>
  <c r="J66"/>
  <c r="J68"/>
  <c r="D49" i="34"/>
  <c r="G42"/>
  <c r="G49" s="1"/>
  <c r="C10" i="2"/>
  <c r="K19" i="10"/>
  <c r="K23" s="1"/>
  <c r="C18" i="1" s="1"/>
  <c r="F18" s="1"/>
  <c r="C8" i="12"/>
  <c r="K43" i="35" s="1"/>
  <c r="K44" s="1"/>
  <c r="K45" s="1"/>
  <c r="J2" i="21"/>
  <c r="K2"/>
  <c r="K59" s="1"/>
  <c r="K63" s="1"/>
  <c r="H58"/>
  <c r="Q5"/>
  <c r="R6" s="1"/>
  <c r="C5" i="7"/>
  <c r="F5" s="1"/>
  <c r="C7" i="12"/>
  <c r="C4" i="2" s="1"/>
  <c r="C5" i="29" s="1"/>
  <c r="D5" s="1"/>
  <c r="C6" i="7"/>
  <c r="O14" i="16"/>
  <c r="G10" i="4"/>
  <c r="L56" i="21"/>
  <c r="N3"/>
  <c r="O3"/>
  <c r="N4"/>
  <c r="O4"/>
  <c r="N5"/>
  <c r="O5"/>
  <c r="N6"/>
  <c r="O6"/>
  <c r="N7"/>
  <c r="C19" i="1" s="1"/>
  <c r="O7" i="21"/>
  <c r="N8"/>
  <c r="O8"/>
  <c r="N10"/>
  <c r="O10"/>
  <c r="N11"/>
  <c r="O11"/>
  <c r="N12"/>
  <c r="O12"/>
  <c r="N13"/>
  <c r="O13"/>
  <c r="N14"/>
  <c r="O14"/>
  <c r="N15"/>
  <c r="O15"/>
  <c r="C10" i="6" s="1"/>
  <c r="N17" i="21"/>
  <c r="O18"/>
  <c r="O19"/>
  <c r="N20"/>
  <c r="O20"/>
  <c r="N21"/>
  <c r="N22"/>
  <c r="O22"/>
  <c r="N24"/>
  <c r="O24"/>
  <c r="N25"/>
  <c r="O25"/>
  <c r="C9" i="11" s="1"/>
  <c r="C37" i="1" s="1"/>
  <c r="F37" s="1"/>
  <c r="N26" i="21"/>
  <c r="C5" i="3" s="1"/>
  <c r="O26" i="21"/>
  <c r="N27"/>
  <c r="C6" i="3" s="1"/>
  <c r="O27" i="21"/>
  <c r="N28"/>
  <c r="C7" i="3" s="1"/>
  <c r="O28" i="21"/>
  <c r="N29"/>
  <c r="C8" i="3" s="1"/>
  <c r="O29" i="21"/>
  <c r="N30"/>
  <c r="C11" i="3" s="1"/>
  <c r="O30" i="21"/>
  <c r="N31"/>
  <c r="O31"/>
  <c r="N32"/>
  <c r="O32"/>
  <c r="N33"/>
  <c r="I42" i="33" s="1"/>
  <c r="O33" i="21"/>
  <c r="N34"/>
  <c r="O34"/>
  <c r="N35"/>
  <c r="O35"/>
  <c r="N36"/>
  <c r="I51" i="33" s="1"/>
  <c r="O36" i="21"/>
  <c r="N37"/>
  <c r="O37"/>
  <c r="N38"/>
  <c r="O38"/>
  <c r="N39"/>
  <c r="O39"/>
  <c r="N40"/>
  <c r="C10" i="30" s="1"/>
  <c r="O40" i="21"/>
  <c r="N41"/>
  <c r="C11" i="30" s="1"/>
  <c r="O41" i="21"/>
  <c r="N42"/>
  <c r="O42"/>
  <c r="N43"/>
  <c r="O43"/>
  <c r="N44"/>
  <c r="O44"/>
  <c r="N45"/>
  <c r="O45"/>
  <c r="N46"/>
  <c r="I67" i="33" s="1"/>
  <c r="O46" i="21"/>
  <c r="N47"/>
  <c r="I65" i="33" s="1"/>
  <c r="I64" s="1"/>
  <c r="O47" i="21"/>
  <c r="N48"/>
  <c r="I45" i="33" s="1"/>
  <c r="O48" i="21"/>
  <c r="N49"/>
  <c r="I46" i="33" s="1"/>
  <c r="O49" i="21"/>
  <c r="N50"/>
  <c r="O50"/>
  <c r="N51"/>
  <c r="O51"/>
  <c r="N52"/>
  <c r="I47" i="33" s="1"/>
  <c r="O52" i="21"/>
  <c r="N53"/>
  <c r="O53"/>
  <c r="I10" i="33" s="1"/>
  <c r="N54" i="21"/>
  <c r="O54"/>
  <c r="I9" i="33" s="1"/>
  <c r="I8" s="1"/>
  <c r="I24" s="1"/>
  <c r="N55" i="21"/>
  <c r="O55"/>
  <c r="F11" i="13"/>
  <c r="F14"/>
  <c r="F15"/>
  <c r="F21"/>
  <c r="F13" i="8"/>
  <c r="F10"/>
  <c r="F9"/>
  <c r="F8"/>
  <c r="F6"/>
  <c r="F5"/>
  <c r="F6" i="7"/>
  <c r="F7"/>
  <c r="F9"/>
  <c r="F11"/>
  <c r="F7" i="6"/>
  <c r="F9"/>
  <c r="C7" i="13"/>
  <c r="F7" s="1"/>
  <c r="C8"/>
  <c r="F8" s="1"/>
  <c r="C9"/>
  <c r="F9" s="1"/>
  <c r="C10"/>
  <c r="F10" s="1"/>
  <c r="C12"/>
  <c r="C6"/>
  <c r="F6" s="1"/>
  <c r="C17"/>
  <c r="F17" s="1"/>
  <c r="C18"/>
  <c r="F18" s="1"/>
  <c r="C19"/>
  <c r="C18" i="2" s="1"/>
  <c r="D10" i="5" s="1"/>
  <c r="C16" i="13"/>
  <c r="C9" i="2" s="1"/>
  <c r="D6" i="18"/>
  <c r="D7" s="1"/>
  <c r="C31" s="1"/>
  <c r="C35" s="1"/>
  <c r="D37" s="1"/>
  <c r="B25"/>
  <c r="C14" i="16"/>
  <c r="J44" i="33" l="1"/>
  <c r="J48"/>
  <c r="J64"/>
  <c r="I61"/>
  <c r="C8" i="30"/>
  <c r="I59" i="33"/>
  <c r="C7" i="30"/>
  <c r="I49" i="33"/>
  <c r="C12" i="30"/>
  <c r="I39" i="33"/>
  <c r="I63"/>
  <c r="I41"/>
  <c r="C5" i="30"/>
  <c r="I53" i="33"/>
  <c r="I44"/>
  <c r="D26" i="5"/>
  <c r="F19" i="1"/>
  <c r="F12" i="13"/>
  <c r="D13" i="5"/>
  <c r="L2" i="21"/>
  <c r="T27"/>
  <c r="T28" s="1"/>
  <c r="P17"/>
  <c r="E17" i="16"/>
  <c r="B19" i="18"/>
  <c r="C13" i="6"/>
  <c r="F13" s="1"/>
  <c r="P18" i="21"/>
  <c r="C10" i="11"/>
  <c r="H10" s="1"/>
  <c r="D35" i="5" s="1"/>
  <c r="D37" s="1"/>
  <c r="F10" i="6"/>
  <c r="C12"/>
  <c r="F12" s="1"/>
  <c r="C5"/>
  <c r="F5" s="1"/>
  <c r="C7" i="8"/>
  <c r="C10" i="1" s="1"/>
  <c r="F10" s="1"/>
  <c r="C9" i="12"/>
  <c r="C20" i="2" s="1"/>
  <c r="C29" i="1"/>
  <c r="F29" s="1"/>
  <c r="N56" i="21"/>
  <c r="N57" s="1"/>
  <c r="O56"/>
  <c r="O57" s="1"/>
  <c r="P57" s="1"/>
  <c r="C9" i="1"/>
  <c r="F9" s="1"/>
  <c r="D11" i="5" s="1"/>
  <c r="H9" i="11"/>
  <c r="F19" i="13"/>
  <c r="F16"/>
  <c r="C13"/>
  <c r="C20"/>
  <c r="C11" i="2"/>
  <c r="D30" i="5"/>
  <c r="C44" i="1"/>
  <c r="F44" s="1"/>
  <c r="D13" i="11"/>
  <c r="C13" i="3"/>
  <c r="D40" i="5"/>
  <c r="C9" i="3"/>
  <c r="C40" i="1"/>
  <c r="F40" s="1"/>
  <c r="J69" i="33" l="1"/>
  <c r="I38"/>
  <c r="I48"/>
  <c r="C33" i="1"/>
  <c r="F33" s="1"/>
  <c r="N2" i="21"/>
  <c r="O2"/>
  <c r="C31" i="1"/>
  <c r="F31" s="1"/>
  <c r="C13" i="11"/>
  <c r="H13" s="1"/>
  <c r="P19" i="21"/>
  <c r="C30" i="1"/>
  <c r="F30" s="1"/>
  <c r="F11" i="6"/>
  <c r="F7" i="8"/>
  <c r="F11" s="1"/>
  <c r="F6" i="6"/>
  <c r="C11" i="8"/>
  <c r="C11" i="12"/>
  <c r="H17" i="38" s="1"/>
  <c r="J17" s="1"/>
  <c r="F20" i="13"/>
  <c r="C14" i="3"/>
  <c r="N60" i="21"/>
  <c r="C5" i="2"/>
  <c r="H18" i="38" s="1"/>
  <c r="F13" i="13"/>
  <c r="C22"/>
  <c r="J18" i="38" l="1"/>
  <c r="H22"/>
  <c r="C6" i="2"/>
  <c r="T29" i="21"/>
  <c r="C10" i="7"/>
  <c r="F10" s="1"/>
  <c r="C8" i="1"/>
  <c r="F22" i="13"/>
  <c r="J22" i="38" l="1"/>
  <c r="J26" s="1"/>
  <c r="J28" s="1"/>
  <c r="F8" i="1"/>
  <c r="D23" i="10"/>
  <c r="C24" i="2" l="1"/>
  <c r="C12" i="29" s="1"/>
  <c r="C22" i="1"/>
  <c r="F22" s="1"/>
  <c r="D7" i="5" l="1"/>
  <c r="C12" i="2"/>
  <c r="C21" s="1"/>
  <c r="C8" i="29" s="1"/>
  <c r="C6" s="1"/>
  <c r="D5" i="5" l="1"/>
  <c r="D12" i="29" l="1"/>
  <c r="D14" s="1"/>
  <c r="G16" i="21"/>
  <c r="J16" s="1"/>
  <c r="L16" s="1"/>
  <c r="C25" i="2"/>
  <c r="G12" i="4" s="1"/>
  <c r="D16" i="29" l="1"/>
  <c r="D18"/>
  <c r="C14"/>
  <c r="O16" i="21"/>
  <c r="N16"/>
  <c r="C15" i="29" s="1"/>
  <c r="H30" i="38" s="1"/>
  <c r="J32" s="1"/>
  <c r="J34" s="1"/>
  <c r="C46" i="1"/>
  <c r="G15" i="4"/>
  <c r="H12"/>
  <c r="H15" s="1"/>
  <c r="G9" i="21"/>
  <c r="G58" s="1"/>
  <c r="H59" s="1"/>
  <c r="C18" i="29" l="1"/>
  <c r="D20" i="5"/>
  <c r="D8"/>
  <c r="C47" i="1"/>
  <c r="F46"/>
  <c r="C34"/>
  <c r="F8" i="6"/>
  <c r="C14"/>
  <c r="J9" i="21"/>
  <c r="J59" s="1"/>
  <c r="J63" s="1"/>
  <c r="F47" i="1" l="1"/>
  <c r="F14" i="6"/>
  <c r="G12"/>
  <c r="D16" i="5" s="1"/>
  <c r="D18" s="1"/>
  <c r="C41" i="1"/>
  <c r="C49" s="1"/>
  <c r="F34"/>
  <c r="L9" i="21"/>
  <c r="O9" s="1"/>
  <c r="O58" s="1"/>
  <c r="D21" i="5" l="1"/>
  <c r="D39" s="1"/>
  <c r="D41" s="1"/>
  <c r="F49" i="1"/>
  <c r="F41"/>
  <c r="L59" i="21"/>
  <c r="N9"/>
  <c r="N58" l="1"/>
  <c r="C13" i="1"/>
  <c r="F13" s="1"/>
  <c r="C13" i="7"/>
  <c r="F12"/>
  <c r="F13" s="1"/>
  <c r="C16" i="29"/>
  <c r="C11" i="1" s="1"/>
  <c r="F11" s="1"/>
  <c r="N62" i="21" l="1"/>
  <c r="C13" i="30"/>
  <c r="O59" i="21"/>
  <c r="O62" s="1"/>
  <c r="C14" i="1"/>
  <c r="C24" l="1"/>
  <c r="F14"/>
  <c r="F24" l="1"/>
  <c r="C10" i="29" l="1"/>
  <c r="D6"/>
  <c r="D8"/>
  <c r="D10" s="1"/>
  <c r="I69" i="33"/>
</calcChain>
</file>

<file path=xl/comments1.xml><?xml version="1.0" encoding="utf-8"?>
<comments xmlns="http://schemas.openxmlformats.org/spreadsheetml/2006/main">
  <authors>
    <author xml:space="preserve"> B.Dema</author>
  </authors>
  <commentList>
    <comment ref="E47" authorId="0">
      <text>
        <r>
          <rPr>
            <b/>
            <sz val="8"/>
            <color indexed="81"/>
            <rFont val="Tahoma"/>
            <family val="2"/>
          </rPr>
          <t xml:space="preserve"> B.Dema:</t>
        </r>
        <r>
          <rPr>
            <sz val="8"/>
            <color indexed="81"/>
            <rFont val="Tahoma"/>
            <family val="2"/>
          </rPr>
          <t xml:space="preserve">
taksa doganore</t>
        </r>
      </text>
    </comment>
  </commentList>
</comments>
</file>

<file path=xl/comments2.xml><?xml version="1.0" encoding="utf-8"?>
<comments xmlns="http://schemas.openxmlformats.org/spreadsheetml/2006/main">
  <authors>
    <author xml:space="preserve"> B.Dema</author>
  </authors>
  <commentList>
    <comment ref="B29" authorId="0">
      <text>
        <r>
          <rPr>
            <b/>
            <sz val="8"/>
            <color indexed="81"/>
            <rFont val="Tahoma"/>
            <family val="2"/>
          </rPr>
          <t xml:space="preserve"> B.Dema:</t>
        </r>
        <r>
          <rPr>
            <sz val="8"/>
            <color indexed="81"/>
            <rFont val="Tahoma"/>
            <family val="2"/>
          </rPr>
          <t xml:space="preserve">
Payables</t>
        </r>
      </text>
    </comment>
    <comment ref="B30" authorId="0">
      <text>
        <r>
          <rPr>
            <b/>
            <sz val="8"/>
            <color indexed="81"/>
            <rFont val="Tahoma"/>
            <family val="2"/>
          </rPr>
          <t xml:space="preserve"> B.Dema:</t>
        </r>
        <r>
          <rPr>
            <sz val="8"/>
            <color indexed="81"/>
            <rFont val="Tahoma"/>
            <family val="2"/>
          </rPr>
          <t xml:space="preserve">
Payables</t>
        </r>
      </text>
    </comment>
    <comment ref="B33" authorId="0">
      <text>
        <r>
          <rPr>
            <b/>
            <sz val="8"/>
            <color indexed="81"/>
            <rFont val="Tahoma"/>
            <family val="2"/>
          </rPr>
          <t xml:space="preserve"> B.Dema:</t>
        </r>
        <r>
          <rPr>
            <sz val="8"/>
            <color indexed="81"/>
            <rFont val="Tahoma"/>
            <family val="2"/>
          </rPr>
          <t xml:space="preserve">
Payables</t>
        </r>
      </text>
    </comment>
  </commentList>
</comments>
</file>

<file path=xl/sharedStrings.xml><?xml version="1.0" encoding="utf-8"?>
<sst xmlns="http://schemas.openxmlformats.org/spreadsheetml/2006/main" count="2942" uniqueCount="1341">
  <si>
    <t>Shënime</t>
  </si>
  <si>
    <t>AKTIVET</t>
  </si>
  <si>
    <t>I. Aktivet afatshkurtra</t>
  </si>
  <si>
    <t>1. Aktive monetare</t>
  </si>
  <si>
    <t>2. Aktive financiare afatshkurtra</t>
  </si>
  <si>
    <t>3. Inventari</t>
  </si>
  <si>
    <t>4. Parapagimet dhe shpenzimet e shtyra</t>
  </si>
  <si>
    <r>
      <t>5.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tjera aktive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shtyra</t>
    </r>
  </si>
  <si>
    <t xml:space="preserve">6. Të tjera aktive afatshkurtra </t>
  </si>
  <si>
    <t xml:space="preserve">                                  -   </t>
  </si>
  <si>
    <t>Total i aktiveve afatshkurtra (I)</t>
  </si>
  <si>
    <t>II. Aktivet afatgjata</t>
  </si>
  <si>
    <t>1. Investime financiare afatgjata</t>
  </si>
  <si>
    <t>3. Aktive afatgjata ne proçes</t>
  </si>
  <si>
    <t>4. Aktivet afatgjata jomateriale</t>
  </si>
  <si>
    <t>5. Aktive të tjera afatgjata</t>
  </si>
  <si>
    <t>Totali i aktiveve afatgjata (II)</t>
  </si>
  <si>
    <t>TOTALI I AKTIVEVE (I + II)</t>
  </si>
  <si>
    <t>DETYRIMET DHE KAPITALI</t>
  </si>
  <si>
    <t xml:space="preserve">I. Detyrimet afatshkurtra </t>
  </si>
  <si>
    <t>1. Huatë afatshkurtra</t>
  </si>
  <si>
    <t xml:space="preserve">2. Detyrimet për t'u paguar dhe parapagimet </t>
  </si>
  <si>
    <t>3. Ortakë</t>
  </si>
  <si>
    <t>4. Provizionet afatshkurtra</t>
  </si>
  <si>
    <t>5. Të tjera detyrime afatshkurtra</t>
  </si>
  <si>
    <t>Totali i detyrimeve afatshkurtra (I)</t>
  </si>
  <si>
    <t xml:space="preserve">II. Detyrimet afatgjata </t>
  </si>
  <si>
    <t>1. Huatë afatgjata</t>
  </si>
  <si>
    <t>2. Provizionet afatgjata</t>
  </si>
  <si>
    <t>3. Grantet dhe të ardhurat e shtyra</t>
  </si>
  <si>
    <t>Totali i detyrimeve afatgjata (II)</t>
  </si>
  <si>
    <t>Totali i detyrimeve (I + II)</t>
  </si>
  <si>
    <t>III. Kapitali</t>
  </si>
  <si>
    <t>1. Kapitali aksioner</t>
  </si>
  <si>
    <t>2. Rezerva statutore dhe ligjore</t>
  </si>
  <si>
    <t>3. Fitime (humbje) të akumuluara</t>
  </si>
  <si>
    <t>Totali i kapitalit (III)</t>
  </si>
  <si>
    <t>Totali i detyrimeve dhe kapitalit (I,II,III)</t>
  </si>
  <si>
    <t>31 dhjetor 2009</t>
  </si>
  <si>
    <r>
      <t>Llogari rrjedh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>se:</t>
    </r>
  </si>
  <si>
    <r>
      <t xml:space="preserve">    N</t>
    </r>
    <r>
      <rPr>
        <sz val="10"/>
        <color rgb="FF000000"/>
        <rFont val="Times New Roman"/>
        <family val="1"/>
      </rPr>
      <t xml:space="preserve">ë </t>
    </r>
    <r>
      <rPr>
        <sz val="10"/>
        <color theme="1"/>
        <rFont val="Times New Roman"/>
        <family val="1"/>
      </rPr>
      <t>Lek</t>
    </r>
  </si>
  <si>
    <r>
      <t xml:space="preserve">    N</t>
    </r>
    <r>
      <rPr>
        <sz val="10"/>
        <color rgb="FF000000"/>
        <rFont val="Times New Roman"/>
        <family val="1"/>
      </rPr>
      <t xml:space="preserve">ë </t>
    </r>
    <r>
      <rPr>
        <sz val="10"/>
        <color theme="1"/>
        <rFont val="Times New Roman"/>
        <family val="1"/>
      </rPr>
      <t>Euro</t>
    </r>
  </si>
  <si>
    <t>Arka</t>
  </si>
  <si>
    <t>TOTALI</t>
  </si>
  <si>
    <t>1. Të ardhura nga shitja</t>
  </si>
  <si>
    <t>2. Kostoja e shitjeve</t>
  </si>
  <si>
    <t>3. Fitimi (humbja) bruto (1-2)</t>
  </si>
  <si>
    <t>4. Shpenzimet e shitjes</t>
  </si>
  <si>
    <t>5. Shpenzime administrative</t>
  </si>
  <si>
    <t>6. Amortizime dhe zhvlerësime</t>
  </si>
  <si>
    <t>7. Të ardhura (shpenzime) të tjera, neto</t>
  </si>
  <si>
    <t>8. Fitimi (humbja) nga veprimtaritë e shfrytëzimit</t>
  </si>
  <si>
    <t>9. Të ardhura (shpenzime) financiare nga pjesëmarrjet</t>
  </si>
  <si>
    <t>10. Të ardhura (shpenzime) financiare nga njësitë e kontrolluara</t>
  </si>
  <si>
    <t>11. Të ardhura (shpenzime) financiare:</t>
  </si>
  <si>
    <t>11.1. Të ardhura (shpenzime) financiare nga investime financiare afatgjata, neto</t>
  </si>
  <si>
    <t>11.2. Të ardhura (shpenzime) nga interesat, neto</t>
  </si>
  <si>
    <t xml:space="preserve">11.3. Të ardhura (shpenzime) nga kurset e këmbimit, neto </t>
  </si>
  <si>
    <t>11.4. Të ardhura (shpenzime) të tjera financiare, neto</t>
  </si>
  <si>
    <t>12. Totali i të ardhurave dhe shpenzimeve financiare, neto (11.1+/-11.2+/-11.3+/-11.4)</t>
  </si>
  <si>
    <t>13. Fitimi (humbja) para tatimit (8+/-12)</t>
  </si>
  <si>
    <t>14. Tatim fitimi</t>
  </si>
  <si>
    <t>15. Fitimi (humbja) e vitit (13-14)</t>
  </si>
  <si>
    <t>Kapitali aksioner</t>
  </si>
  <si>
    <t>Primi i aksionit</t>
  </si>
  <si>
    <t>Rezerva statutore dhe ligjore</t>
  </si>
  <si>
    <t>Rezerva të konvertimit të monedhave te huaja</t>
  </si>
  <si>
    <t>Fitime (humbje) të akumuluara</t>
  </si>
  <si>
    <t>Totali</t>
  </si>
  <si>
    <t>Emetim i kapitalit aksioner</t>
  </si>
  <si>
    <t>Fitimi (humbja) e vitit</t>
  </si>
  <si>
    <t>Dividendët e paguar</t>
  </si>
  <si>
    <t>Transferime në rezervën e detyrueshme statutore dhe ligjore</t>
  </si>
  <si>
    <t>I. Fluksi monetar nga veprimtaritë e shfrytezimit</t>
  </si>
  <si>
    <t>Rregullime për:</t>
  </si>
  <si>
    <t>Amortizime dhe zhvlerësime</t>
  </si>
  <si>
    <t>Tatim fitimi sipas njoftim vlerësimit tatimor</t>
  </si>
  <si>
    <t>Të ardhura nga interesat</t>
  </si>
  <si>
    <t>Shpenzime nga interesat</t>
  </si>
  <si>
    <t>(Rritje) pakësim në tepricën e kërkesave të arkëtueshme</t>
  </si>
  <si>
    <t>(Rritje) pakësim në tepricën aktiveve të tjera afatgjata</t>
  </si>
  <si>
    <t>(Rritje) pakësim në tepricën e inventarit</t>
  </si>
  <si>
    <t>(Rritje) pakësim në tepricën e parapagimeve afatgjata</t>
  </si>
  <si>
    <t>Fluksi monetar nga veprimtaritë e shfrytëzimit</t>
  </si>
  <si>
    <t>Interesi i paguar</t>
  </si>
  <si>
    <t>Tatim fitimi i parapaguar</t>
  </si>
  <si>
    <t>Fluksi neto monetar nga veprimtaritë e shfrytëzimit</t>
  </si>
  <si>
    <t xml:space="preserve"> </t>
  </si>
  <si>
    <t>II. Fluksi monetar nga veprimtaritë e investimit</t>
  </si>
  <si>
    <t>Fluksi neto monetar nga veprimtaritë e investimit</t>
  </si>
  <si>
    <t>III. Fluksi monetar nga veprimtaritë e financimit</t>
  </si>
  <si>
    <t>Fluksi neto monetar nga veprimtaritë e financimit</t>
  </si>
  <si>
    <t>IV. Rritja (pakësimi) neto i mjeteve monetare</t>
  </si>
  <si>
    <t xml:space="preserve">V. Mjetet monetare në fillim të periudhës </t>
  </si>
  <si>
    <t xml:space="preserve">VI. Mjetet monetare në fund të periudhës </t>
  </si>
  <si>
    <r>
      <t>Klient</t>
    </r>
    <r>
      <rPr>
        <sz val="10"/>
        <color rgb="FF000000"/>
        <rFont val="Times New Roman"/>
        <family val="1"/>
      </rPr>
      <t>ë</t>
    </r>
  </si>
  <si>
    <t>Parapagime për personelin</t>
  </si>
  <si>
    <r>
      <t>Paradh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>nie p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>r furnitor</t>
    </r>
    <r>
      <rPr>
        <sz val="10"/>
        <color rgb="FF000000"/>
        <rFont val="Times New Roman"/>
        <family val="1"/>
      </rPr>
      <t>ë</t>
    </r>
  </si>
  <si>
    <t>Detyrime tatimore:</t>
  </si>
  <si>
    <r>
      <t>TVSH p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>r t'u marre</t>
    </r>
  </si>
  <si>
    <r>
      <t>Parapagime n</t>
    </r>
    <r>
      <rPr>
        <sz val="10"/>
        <color rgb="FF000000"/>
        <rFont val="Times New Roman"/>
        <family val="1"/>
      </rPr>
      <t>ë doganë</t>
    </r>
  </si>
  <si>
    <t>Parapagime tatim fitimi</t>
  </si>
  <si>
    <t>Pozicioni më 31 dhjetor 2009</t>
  </si>
  <si>
    <t xml:space="preserve">Mallra per Rishitje </t>
  </si>
  <si>
    <t>Toka</t>
  </si>
  <si>
    <t>Makineri e Pajisje Pune</t>
  </si>
  <si>
    <t>Mjete Transporti</t>
  </si>
  <si>
    <t>Ndërtesa</t>
  </si>
  <si>
    <t>Përmirësim në Qiramarrje</t>
  </si>
  <si>
    <t>Mobilje dhe Orendi</t>
  </si>
  <si>
    <t>Kompjutera dhe Pajisje Informatike</t>
  </si>
  <si>
    <t xml:space="preserve">Të tjera </t>
  </si>
  <si>
    <t xml:space="preserve">Kosto </t>
  </si>
  <si>
    <t>Shtesa</t>
  </si>
  <si>
    <t>Më 1 janar 2008</t>
  </si>
  <si>
    <t>Amortizimi i akumuluar</t>
  </si>
  <si>
    <t>Shuma për vitin</t>
  </si>
  <si>
    <t>Vlera e mbetur</t>
  </si>
  <si>
    <t>Më 1 janar 2009</t>
  </si>
  <si>
    <t>Prodhim ne Proces</t>
  </si>
  <si>
    <t>Furnitorë</t>
  </si>
  <si>
    <t xml:space="preserve">Furnitorë për fatura të pambërritura </t>
  </si>
  <si>
    <t>Tatime dhe taksa:</t>
  </si>
  <si>
    <t>Të tjera tatime</t>
  </si>
  <si>
    <t>Shteti Tatim mbi te Ardhurat</t>
  </si>
  <si>
    <t>TVSH për t’u paguar</t>
  </si>
  <si>
    <t>Shteti Tatim mbi Fitimin</t>
  </si>
  <si>
    <t>Sigurime Shoqerore</t>
  </si>
  <si>
    <t>Lek</t>
  </si>
  <si>
    <t>Ekuivalenti  në Euro</t>
  </si>
  <si>
    <t>Interesa</t>
  </si>
  <si>
    <r>
      <rPr>
        <b/>
        <sz val="10"/>
        <color theme="1"/>
        <rFont val="Times New Roman"/>
        <family val="1"/>
      </rPr>
      <t>T</t>
    </r>
    <r>
      <rPr>
        <b/>
        <sz val="10"/>
        <color rgb="FF000000"/>
        <rFont val="Times New Roman"/>
        <family val="1"/>
      </rPr>
      <t>ë ardhura nga shitja</t>
    </r>
  </si>
  <si>
    <t>Të tjera shpenzime</t>
  </si>
  <si>
    <t>Ndryshimi i gjendjes së mallrave</t>
  </si>
  <si>
    <t>Materiale te Para dhe te Tjera</t>
  </si>
  <si>
    <t>Shpenzime Transporti</t>
  </si>
  <si>
    <t>Tatim Taksa e derdhje te ngjashme</t>
  </si>
  <si>
    <t>Qira e paguar</t>
  </si>
  <si>
    <t>Shpenzime Financiare (interesa)</t>
  </si>
  <si>
    <t>Shpenzime per Paga</t>
  </si>
  <si>
    <t>Shpenzime per Sigurime Shoqerore e Shendetesore</t>
  </si>
  <si>
    <t>KOSTO E MALLRAVE TE SHITURA</t>
  </si>
  <si>
    <t>Total KMSH</t>
  </si>
  <si>
    <t>Total Shpenzime Administrative</t>
  </si>
  <si>
    <t>Shpenzime administrative</t>
  </si>
  <si>
    <t xml:space="preserve">Shpenzime te tjera </t>
  </si>
  <si>
    <r>
      <t>4.</t>
    </r>
    <r>
      <rPr>
        <b/>
        <sz val="7"/>
        <color rgb="FF000000"/>
        <rFont val="Times New Roman"/>
        <family val="1"/>
      </rPr>
      <t xml:space="preserve">              </t>
    </r>
    <r>
      <rPr>
        <b/>
        <sz val="10"/>
        <color rgb="FF000000"/>
        <rFont val="Times New Roman"/>
        <family val="1"/>
      </rPr>
      <t>Të ardhura (shpenzime) nga kurset e këmbimit neto</t>
    </r>
  </si>
  <si>
    <t>Të ardhurat (shpenzimet) nga kurset e këmbimit përbëhen si më poshtë:</t>
  </si>
  <si>
    <r>
      <t>Fitime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realizuara nga kursi i këmbimit</t>
    </r>
  </si>
  <si>
    <r>
      <t>Fitime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parealizuara nga kursi i këmbimit</t>
    </r>
  </si>
  <si>
    <r>
      <t>Humbje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realizuara nga kursi i këmbimit</t>
    </r>
  </si>
  <si>
    <r>
      <t>Humbje t</t>
    </r>
    <r>
      <rPr>
        <sz val="10"/>
        <color rgb="FF000000"/>
        <rFont val="Times New Roman"/>
        <family val="1"/>
      </rPr>
      <t>ë</t>
    </r>
    <r>
      <rPr>
        <sz val="10"/>
        <color theme="1"/>
        <rFont val="Times New Roman"/>
        <family val="1"/>
      </rPr>
      <t xml:space="preserve"> parealizuara nga kursi i këmbimit</t>
    </r>
  </si>
  <si>
    <t xml:space="preserve"> 31 dhjetor 2009</t>
  </si>
  <si>
    <t>Fitimi (humbja) para tatimit</t>
  </si>
  <si>
    <t>Huatë afatgjata</t>
  </si>
  <si>
    <t>Pershkrimi</t>
  </si>
  <si>
    <t>TVSH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</si>
  <si>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</si>
  <si>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</si>
  <si>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</si>
  <si>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</si>
  <si>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</si>
  <si>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</si>
  <si>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</si>
  <si>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</si>
  <si>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</si>
  <si>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</si>
  <si>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</si>
  <si>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</si>
  <si>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blerje brend vendit</t>
  </si>
  <si>
    <t>importe</t>
  </si>
  <si>
    <t>Te Perjashtuara</t>
  </si>
  <si>
    <t>Xhirime te brendshme</t>
  </si>
  <si>
    <t>Ndryshim Gjendje</t>
  </si>
  <si>
    <t>Qira</t>
  </si>
  <si>
    <t>Sigurime</t>
  </si>
  <si>
    <t>Eagle</t>
  </si>
  <si>
    <t>Vodafone</t>
  </si>
  <si>
    <t>Paga</t>
  </si>
  <si>
    <t>Paguar</t>
  </si>
  <si>
    <t>Kontr Punedh</t>
  </si>
  <si>
    <t>Kontr Punemarresi</t>
  </si>
  <si>
    <t>Kontrib Shend</t>
  </si>
  <si>
    <t>Gjoba</t>
  </si>
  <si>
    <t>Payable</t>
  </si>
  <si>
    <t>TAP</t>
  </si>
  <si>
    <t>Shitje te Tatueshme</t>
  </si>
  <si>
    <t>Qarkullimi Total</t>
  </si>
  <si>
    <t>TVSH e shitjeve</t>
  </si>
  <si>
    <t>TVSH e Paguar</t>
  </si>
  <si>
    <t>Blerje te perjashtuara</t>
  </si>
  <si>
    <t>Importe</t>
  </si>
  <si>
    <t>Kredi TVSH per Importe</t>
  </si>
  <si>
    <t>Blerje nga Furnitore Vendas</t>
  </si>
  <si>
    <t>Kredi TVSH nga Furnitore Vendas</t>
  </si>
  <si>
    <t xml:space="preserve">    Ne USD</t>
  </si>
  <si>
    <t>SHPENZIME TE TJERA OPERATIVE</t>
  </si>
  <si>
    <t>Punedhenesi acc</t>
  </si>
  <si>
    <t>TATIM te ardhura personale</t>
  </si>
  <si>
    <t>Total</t>
  </si>
  <si>
    <t>gjendje</t>
  </si>
  <si>
    <t>kredi</t>
  </si>
  <si>
    <t>debi</t>
  </si>
  <si>
    <t>mbartur</t>
  </si>
  <si>
    <t>pershkrim</t>
  </si>
  <si>
    <t>llogari</t>
  </si>
  <si>
    <t>Te ardhura nga interesat</t>
  </si>
  <si>
    <t>Shitje mallrash</t>
  </si>
  <si>
    <t>amortizim i AQ afatgjate</t>
  </si>
  <si>
    <t>Zbritje akorduar klienteve</t>
  </si>
  <si>
    <t>Sigurimet shoqerore dhe shendetesore</t>
  </si>
  <si>
    <t>Pagat dhe shperblimet e personelit</t>
  </si>
  <si>
    <t>Taksa e regjistrimit</t>
  </si>
  <si>
    <t>Taksa dhe tarifa vendore</t>
  </si>
  <si>
    <t>Sherbime bankare</t>
  </si>
  <si>
    <t>shpenzime transporti te tjera</t>
  </si>
  <si>
    <t>Lamitrans</t>
  </si>
  <si>
    <t>sherbim Interneti</t>
  </si>
  <si>
    <t>Albtelekomi</t>
  </si>
  <si>
    <t>Publicitet,reklama</t>
  </si>
  <si>
    <t>Shpenz per koncesione, patenta, licensa dhe te ngjashme</t>
  </si>
  <si>
    <t>Personel nga jashte ndermarjes</t>
  </si>
  <si>
    <t>BL KAFE</t>
  </si>
  <si>
    <t>BL ARTIKUJ KANCELARIE</t>
  </si>
  <si>
    <t>blerje karburant</t>
  </si>
  <si>
    <t>Vlera monetare ne lek</t>
  </si>
  <si>
    <t>Vlera monetare ne leke</t>
  </si>
  <si>
    <t>Te drejta dhe detyrime ndaj ortakeve dhe aksionereve</t>
  </si>
  <si>
    <t>Det. per takse dog. etvsh ne  dogane</t>
  </si>
  <si>
    <t>Shteti-TVSH e pagueshme</t>
  </si>
  <si>
    <t>Shteti-TVSH e zbritshme</t>
  </si>
  <si>
    <t>TVSH e zbriteshme</t>
  </si>
  <si>
    <t>Shteti-TVSH per tu marre</t>
  </si>
  <si>
    <t>TVSH blerje</t>
  </si>
  <si>
    <t>Tatim mbi fitimin</t>
  </si>
  <si>
    <t>Tatim  mbi te ardhurat e personale</t>
  </si>
  <si>
    <t>Sigurime shoqerore dhe shendetsore</t>
  </si>
  <si>
    <t>Paga e shperblime</t>
  </si>
  <si>
    <t>Kliente per mallra , produkte e sherbime</t>
  </si>
  <si>
    <t>Furnitore per mallra , produkte e sherbime</t>
  </si>
  <si>
    <t>Per instalime teknike, makinerite, pajisje, instrum dhe vegl</t>
  </si>
  <si>
    <t>Pajisje informative</t>
  </si>
  <si>
    <t>Mobilje dhe pajisje zyre</t>
  </si>
  <si>
    <t>Makineri dhe pajisje pune</t>
  </si>
  <si>
    <t>Fitim / humbja e pashperndare</t>
  </si>
  <si>
    <t>Kapitali i paguar</t>
  </si>
  <si>
    <t>5311</t>
  </si>
  <si>
    <t>Banka ne gbp</t>
  </si>
  <si>
    <t>51243</t>
  </si>
  <si>
    <t>Banka USD</t>
  </si>
  <si>
    <t>51242</t>
  </si>
  <si>
    <t>Banka EUR</t>
  </si>
  <si>
    <t>51241</t>
  </si>
  <si>
    <t>5121</t>
  </si>
  <si>
    <t>4461</t>
  </si>
  <si>
    <t>4457</t>
  </si>
  <si>
    <t>4456</t>
  </si>
  <si>
    <t>4455</t>
  </si>
  <si>
    <t>4454</t>
  </si>
  <si>
    <t>4451</t>
  </si>
  <si>
    <t>444</t>
  </si>
  <si>
    <t>421</t>
  </si>
  <si>
    <t>411</t>
  </si>
  <si>
    <t>Mallra grupi I</t>
  </si>
  <si>
    <t>351</t>
  </si>
  <si>
    <t>2182</t>
  </si>
  <si>
    <t>2181</t>
  </si>
  <si>
    <t>2134</t>
  </si>
  <si>
    <t>Aktiv</t>
  </si>
  <si>
    <t>Hua ne lek</t>
  </si>
  <si>
    <t>5421</t>
  </si>
  <si>
    <t>455</t>
  </si>
  <si>
    <t>442</t>
  </si>
  <si>
    <t>431</t>
  </si>
  <si>
    <t>401</t>
  </si>
  <si>
    <t>Per mjete transporti</t>
  </si>
  <si>
    <t>2815</t>
  </si>
  <si>
    <t>2813</t>
  </si>
  <si>
    <t>108</t>
  </si>
  <si>
    <t>101</t>
  </si>
  <si>
    <t>Pasiv</t>
  </si>
  <si>
    <t>581</t>
  </si>
  <si>
    <t>6035</t>
  </si>
  <si>
    <t>Ndrysh.gjend.mallra</t>
  </si>
  <si>
    <t>605</t>
  </si>
  <si>
    <t>Blerje /shpenzime mallra, sherbimesh</t>
  </si>
  <si>
    <t>60801</t>
  </si>
  <si>
    <t>60802</t>
  </si>
  <si>
    <t>60803</t>
  </si>
  <si>
    <t>613</t>
  </si>
  <si>
    <t>616</t>
  </si>
  <si>
    <t>621</t>
  </si>
  <si>
    <t>623</t>
  </si>
  <si>
    <t>624</t>
  </si>
  <si>
    <t>62601</t>
  </si>
  <si>
    <t>62602</t>
  </si>
  <si>
    <t>62603</t>
  </si>
  <si>
    <t>62604</t>
  </si>
  <si>
    <t>62711</t>
  </si>
  <si>
    <t>62712</t>
  </si>
  <si>
    <t>628</t>
  </si>
  <si>
    <t>634</t>
  </si>
  <si>
    <t>635</t>
  </si>
  <si>
    <t>641</t>
  </si>
  <si>
    <t>644</t>
  </si>
  <si>
    <t>666</t>
  </si>
  <si>
    <t>6811</t>
  </si>
  <si>
    <t>704</t>
  </si>
  <si>
    <t>Shitje e punimeve dhe e sherbimeve</t>
  </si>
  <si>
    <t>705</t>
  </si>
  <si>
    <t>767</t>
  </si>
  <si>
    <t>81</t>
  </si>
  <si>
    <t>Provizore per celjen etj</t>
  </si>
  <si>
    <t>shpenzime</t>
  </si>
  <si>
    <t xml:space="preserve">    Ne GBP</t>
  </si>
  <si>
    <t>adm</t>
  </si>
  <si>
    <t>fin</t>
  </si>
  <si>
    <t>ect</t>
  </si>
  <si>
    <t>tra</t>
  </si>
  <si>
    <t>qer</t>
  </si>
  <si>
    <t>pag</t>
  </si>
  <si>
    <t>sig</t>
  </si>
  <si>
    <t>mat</t>
  </si>
  <si>
    <t>tax</t>
  </si>
  <si>
    <t>chg</t>
  </si>
  <si>
    <t>sal</t>
  </si>
  <si>
    <t>int</t>
  </si>
  <si>
    <t>dep</t>
  </si>
  <si>
    <t>Produkt i Gatshem</t>
  </si>
  <si>
    <t>Ndryshim</t>
  </si>
  <si>
    <t>Gjendje</t>
  </si>
  <si>
    <t>Hua te tjera</t>
  </si>
  <si>
    <t>TOTAL</t>
  </si>
  <si>
    <t>0.00</t>
  </si>
  <si>
    <t>faqe</t>
  </si>
  <si>
    <t>LANI SH.P.K</t>
  </si>
  <si>
    <t>REGENCY CASINO</t>
  </si>
  <si>
    <t>ELB NDERTUESI SH.P.K</t>
  </si>
  <si>
    <t>ITE GRUP SH.P.K</t>
  </si>
  <si>
    <t>V</t>
  </si>
  <si>
    <t>III</t>
  </si>
  <si>
    <t>II</t>
  </si>
  <si>
    <t>I</t>
  </si>
  <si>
    <t>Materiale te Para</t>
  </si>
  <si>
    <t>Te Tjera Detyrime Hua Aftashkurter</t>
  </si>
  <si>
    <t>Te drejta dhe detyrime ndaj Ortakeve</t>
  </si>
  <si>
    <t>Te ardhura nga Shitjet e Mallrave</t>
  </si>
  <si>
    <t>Te ardhura nga Shitjet e Sherbimeve</t>
  </si>
  <si>
    <t>Te ardhura nga Interesat</t>
  </si>
  <si>
    <r>
      <t>Rikoncilimi</t>
    </r>
    <r>
      <rPr>
        <b/>
        <i/>
        <sz val="10"/>
        <color rgb="FF000000"/>
        <rFont val="Times New Roman"/>
        <family val="1"/>
      </rPr>
      <t xml:space="preserve"> i  normës efektive të tatimit:</t>
    </r>
  </si>
  <si>
    <t>Fitimi (humbja) e periudhës para tatimit</t>
  </si>
  <si>
    <t>Tatim fitimi me shkallën tatimore standarde</t>
  </si>
  <si>
    <t>Shpenzimet</t>
  </si>
  <si>
    <t>Te Ardhurat</t>
  </si>
  <si>
    <t>Te Ushtrimit</t>
  </si>
  <si>
    <t>Tatimore</t>
  </si>
  <si>
    <t>Fitimi i Tatueshem Neto</t>
  </si>
  <si>
    <t xml:space="preserve">Shpenzime te Pazbritshme </t>
  </si>
  <si>
    <t>Tatim Fitimi me perqindje te tjera</t>
  </si>
  <si>
    <t>Tatim Fitimi</t>
  </si>
  <si>
    <t>Parapagime per Tatim Fitimi</t>
  </si>
  <si>
    <t>Tatim Fitimi i mbipaguar</t>
  </si>
  <si>
    <t>Te tjera</t>
  </si>
  <si>
    <t>2. Aktive afatgjata materiale (Vlera Kontabel Neto)</t>
  </si>
  <si>
    <t>FLUKSI I PARAVE (Metoda Indirekte)</t>
  </si>
  <si>
    <t>Rritje (pakësim) në tepric dety për t'u paguar nga aktivit.</t>
  </si>
  <si>
    <t>(Rritje) pakësim në dif e këmb të njohura më parë në bilanc</t>
  </si>
  <si>
    <t>Pagesa të huamarrjeve afatshkurtra</t>
  </si>
  <si>
    <t>Emetimi i kapitalit aksioner</t>
  </si>
  <si>
    <t>Disbursime nga huamarrje afatshkurtra</t>
  </si>
  <si>
    <t>Disbursime nga huamarrje afatgjata</t>
  </si>
  <si>
    <t>(Rritje) pakësim në tepricën e parapag. dhe shpenz. të shtyra</t>
  </si>
  <si>
    <t>Blerja e aksioneve në shoqëri të kontrolluara</t>
  </si>
  <si>
    <t>Blerja e aktiveve afatgjata materiale</t>
  </si>
  <si>
    <t>Blerja e aktiveve afatgjata materiale në proçes</t>
  </si>
  <si>
    <t>Blerja e aktiveve afatgjata jomateriale</t>
  </si>
  <si>
    <t>Provizione (pagesa) për interesa huaje</t>
  </si>
  <si>
    <t>Interesi i arkëtuar</t>
  </si>
  <si>
    <t>Aktive Monetare ne Banke dhe Arke</t>
  </si>
  <si>
    <t xml:space="preserve">sherbim Interneti </t>
  </si>
  <si>
    <t>Shpenzime te Tjera</t>
  </si>
  <si>
    <t>Emri dhe adresa e plote</t>
  </si>
  <si>
    <t xml:space="preserve">                                                                         </t>
  </si>
  <si>
    <t>Data e krijimit</t>
  </si>
  <si>
    <t>STATUSI JURIDIK</t>
  </si>
  <si>
    <t>VEPRIMTARIA KRYESORE</t>
  </si>
  <si>
    <t>LLOGARITE VJETORE</t>
  </si>
  <si>
    <t xml:space="preserve"> (Gjendjet financiare)</t>
  </si>
  <si>
    <t xml:space="preserve">  PERIUDHA Nga</t>
  </si>
  <si>
    <t xml:space="preserve">deri me </t>
  </si>
  <si>
    <t xml:space="preserve">  DATA E MBYLLES</t>
  </si>
  <si>
    <t xml:space="preserve">  MIRATUAR  NGA </t>
  </si>
  <si>
    <t>me date</t>
  </si>
  <si>
    <t xml:space="preserve">  Data e depozitimit</t>
  </si>
  <si>
    <t xml:space="preserve">                               </t>
  </si>
  <si>
    <t>AEE Sh.p.k</t>
  </si>
  <si>
    <t>Rr. Aleksander Moisiu, Tirane</t>
  </si>
  <si>
    <t>14.02.2008</t>
  </si>
  <si>
    <t>Nr. I Regjistrit tregetar (NIPT)</t>
  </si>
  <si>
    <t>K81414038D</t>
  </si>
  <si>
    <t>Shoqeri me Pergjegjesi te Kufizuar</t>
  </si>
  <si>
    <t>Import Export Tregti Instalim Paisje Elektromekanike, Kabllo tensioni etj.</t>
  </si>
  <si>
    <t>9,13</t>
  </si>
  <si>
    <t>31 dhjetor 2010</t>
  </si>
  <si>
    <t xml:space="preserve"> 31 dhjetor 2010</t>
  </si>
  <si>
    <t>PASQYRA E TE ARDHURAVE DHE SHPENZIMEVE                              ne mbyllje te vitit 31.12.2010</t>
  </si>
  <si>
    <t>Pozicioni më 1 janar 2009</t>
  </si>
  <si>
    <t>Pozicioni më 31 dhjetor 2010</t>
  </si>
  <si>
    <t>01.01.2010</t>
  </si>
  <si>
    <t>31,12,2010</t>
  </si>
  <si>
    <t>Total Blerje</t>
  </si>
  <si>
    <t>Shitje 2010</t>
  </si>
  <si>
    <t>Sum of G=(h+i+j+k)</t>
  </si>
  <si>
    <t>n</t>
  </si>
  <si>
    <t>accounting</t>
  </si>
  <si>
    <t>deklarime</t>
  </si>
  <si>
    <t>shitje</t>
  </si>
  <si>
    <t>liber shitje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</si>
  <si>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</si>
  <si>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</si>
  <si>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</si>
  <si>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</si>
  <si>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</si>
  <si>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</si>
  <si>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</si>
  <si>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</si>
  <si>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</si>
  <si>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</si>
  <si>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</si>
  <si>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</si>
  <si>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LIBRI I SHITJEVE</t>
  </si>
  <si>
    <t>SHITËSI</t>
  </si>
  <si>
    <t>Nr. Serial</t>
  </si>
  <si>
    <t>Emërtimi</t>
  </si>
  <si>
    <t>AEE2010</t>
  </si>
  <si>
    <t>Nipti</t>
  </si>
  <si>
    <t xml:space="preserve">Shitjet për periudhën (muaji) </t>
  </si>
  <si>
    <t>Janar - Dhjetor</t>
  </si>
  <si>
    <t>(viti)</t>
  </si>
  <si>
    <t>/</t>
  </si>
  <si>
    <t>FATURA</t>
  </si>
  <si>
    <t>Shitjet</t>
  </si>
  <si>
    <t>Shitjet e tatueshme</t>
  </si>
  <si>
    <t>Nr.</t>
  </si>
  <si>
    <t>NIPT</t>
  </si>
  <si>
    <t>Kodi</t>
  </si>
  <si>
    <t>Totali i Shitjeve</t>
  </si>
  <si>
    <t>e</t>
  </si>
  <si>
    <t>Eksportet</t>
  </si>
  <si>
    <t>Vlera</t>
  </si>
  <si>
    <t>i fatures</t>
  </si>
  <si>
    <t>Data</t>
  </si>
  <si>
    <t>Nr.Serial</t>
  </si>
  <si>
    <t>Blerësi</t>
  </si>
  <si>
    <t>Rrethi</t>
  </si>
  <si>
    <t>i blerësit</t>
  </si>
  <si>
    <t>fiskal</t>
  </si>
  <si>
    <t>me TVSH</t>
  </si>
  <si>
    <t>perjashtuara</t>
  </si>
  <si>
    <t>(0 %)</t>
  </si>
  <si>
    <t>e tatueshme</t>
  </si>
  <si>
    <t>a</t>
  </si>
  <si>
    <t>b</t>
  </si>
  <si>
    <t>c</t>
  </si>
  <si>
    <t>d</t>
  </si>
  <si>
    <t>jj</t>
  </si>
  <si>
    <t>kk</t>
  </si>
  <si>
    <t>f</t>
  </si>
  <si>
    <t>g</t>
  </si>
  <si>
    <t>t</t>
  </si>
  <si>
    <t>G=(h+i+j+k)</t>
  </si>
  <si>
    <t>h</t>
  </si>
  <si>
    <t>p</t>
  </si>
  <si>
    <t>i</t>
  </si>
  <si>
    <t>j</t>
  </si>
  <si>
    <t>k</t>
  </si>
  <si>
    <t>84</t>
  </si>
  <si>
    <t>06/01/2010</t>
  </si>
  <si>
    <t>41811904</t>
  </si>
  <si>
    <t>REA 2002 sh.p.k</t>
  </si>
  <si>
    <t>K04814857V</t>
  </si>
  <si>
    <t>85</t>
  </si>
  <si>
    <t>19/01/2010</t>
  </si>
  <si>
    <t>41811905</t>
  </si>
  <si>
    <t>LANDESLEASE SH.A</t>
  </si>
  <si>
    <t>Tirane</t>
  </si>
  <si>
    <t>K51629002M</t>
  </si>
  <si>
    <t>86</t>
  </si>
  <si>
    <t>41811906</t>
  </si>
  <si>
    <t>J93112212H</t>
  </si>
  <si>
    <t>87</t>
  </si>
  <si>
    <t>41811907</t>
  </si>
  <si>
    <t>UNIVERSITETI I TIRANES</t>
  </si>
  <si>
    <t>J61915033D</t>
  </si>
  <si>
    <t>89</t>
  </si>
  <si>
    <t>28/01/2010</t>
  </si>
  <si>
    <t>41811910</t>
  </si>
  <si>
    <t>90</t>
  </si>
  <si>
    <t>29/01/2010</t>
  </si>
  <si>
    <t>488250</t>
  </si>
  <si>
    <t>HELLAS SERVICE SH.P.K</t>
  </si>
  <si>
    <t>J82313002T</t>
  </si>
  <si>
    <t>91</t>
  </si>
  <si>
    <t>41811913</t>
  </si>
  <si>
    <t>K51711801L</t>
  </si>
  <si>
    <t>92</t>
  </si>
  <si>
    <t>19/02/2010</t>
  </si>
  <si>
    <t>41811915</t>
  </si>
  <si>
    <t>K11323001H</t>
  </si>
  <si>
    <t>93</t>
  </si>
  <si>
    <t>26/02/2010</t>
  </si>
  <si>
    <t>41811916</t>
  </si>
  <si>
    <t>94</t>
  </si>
  <si>
    <t>23/03/2010</t>
  </si>
  <si>
    <t>41811917</t>
  </si>
  <si>
    <t>BANKA EMPORIKI</t>
  </si>
  <si>
    <t>J91725007P</t>
  </si>
  <si>
    <t>95</t>
  </si>
  <si>
    <t>29/03/2010</t>
  </si>
  <si>
    <t>41811918</t>
  </si>
  <si>
    <t>MEDIA VIION SH.A</t>
  </si>
  <si>
    <t>K01414003D</t>
  </si>
  <si>
    <t>96</t>
  </si>
  <si>
    <t>41811919</t>
  </si>
  <si>
    <t>STUDIO AVOKATIE HAXHIA &amp; HAJDARI</t>
  </si>
  <si>
    <t>K81317053M</t>
  </si>
  <si>
    <t>97</t>
  </si>
  <si>
    <t>31/03/2010</t>
  </si>
  <si>
    <t>41811920</t>
  </si>
  <si>
    <t>100</t>
  </si>
  <si>
    <t>07/04/2010</t>
  </si>
  <si>
    <t>41811923</t>
  </si>
  <si>
    <t>Autoriteti i Mbikeqyrjes Financiare</t>
  </si>
  <si>
    <t>K51525009W</t>
  </si>
  <si>
    <t>20/04/2010</t>
  </si>
  <si>
    <t>41811924</t>
  </si>
  <si>
    <t>104</t>
  </si>
  <si>
    <t>23/04/2010</t>
  </si>
  <si>
    <t>41811927</t>
  </si>
  <si>
    <t>Fushe Kruja Cement Factory Sh.p.k.</t>
  </si>
  <si>
    <t>K71827801E</t>
  </si>
  <si>
    <t>106</t>
  </si>
  <si>
    <t>30/04/2010</t>
  </si>
  <si>
    <t>41811929</t>
  </si>
  <si>
    <t>107</t>
  </si>
  <si>
    <t>03/05/2010</t>
  </si>
  <si>
    <t>41811930</t>
  </si>
  <si>
    <t>4 A-M  SH.P.K</t>
  </si>
  <si>
    <t>K92005016L</t>
  </si>
  <si>
    <t>109</t>
  </si>
  <si>
    <t>13/05/2010</t>
  </si>
  <si>
    <t>41811933</t>
  </si>
  <si>
    <t>MOBIL 4 AL   SH.A Plus</t>
  </si>
  <si>
    <t>K91811014B</t>
  </si>
  <si>
    <t>111</t>
  </si>
  <si>
    <t>31/05/2010</t>
  </si>
  <si>
    <t>41811935</t>
  </si>
  <si>
    <t>112</t>
  </si>
  <si>
    <t>01/06/2010</t>
  </si>
  <si>
    <t>41811936</t>
  </si>
  <si>
    <t>VELIAJ PETROL SH.P.K</t>
  </si>
  <si>
    <t>K63124406K</t>
  </si>
  <si>
    <t>114</t>
  </si>
  <si>
    <t>10/06/2010</t>
  </si>
  <si>
    <t>41811938</t>
  </si>
  <si>
    <t>EUROSISTEM ALBANIA sh.p.k</t>
  </si>
  <si>
    <t>K82213012B</t>
  </si>
  <si>
    <t>115</t>
  </si>
  <si>
    <t>14/06/2010</t>
  </si>
  <si>
    <t>41811940</t>
  </si>
  <si>
    <t>117</t>
  </si>
  <si>
    <t>30/06/2010</t>
  </si>
  <si>
    <t>41811944</t>
  </si>
  <si>
    <t>118</t>
  </si>
  <si>
    <t>01/07/2010</t>
  </si>
  <si>
    <t>41811947</t>
  </si>
  <si>
    <t>119</t>
  </si>
  <si>
    <t>03/07/2010</t>
  </si>
  <si>
    <t>41811949</t>
  </si>
  <si>
    <t>120</t>
  </si>
  <si>
    <t>05/07/2010</t>
  </si>
  <si>
    <t>41811950</t>
  </si>
  <si>
    <t>1 - (a) dhe (b) Nëqoftese shitjet bëhen brenda vendit Nr i faturës dhe Data</t>
  </si>
  <si>
    <t xml:space="preserve">               Nëqoftese eksportohen data dhe Nr. i deklaratës doganore.</t>
  </si>
  <si>
    <t>Shuma Faqe</t>
  </si>
  <si>
    <t>77,331,244.94</t>
  </si>
  <si>
    <t>64,443,381.77</t>
  </si>
  <si>
    <t>12,887,863.17</t>
  </si>
  <si>
    <t>2 - (f) (g) Nëqoftese blerësi është person i tatueshëm</t>
  </si>
  <si>
    <t>Shuma Progresiv</t>
  </si>
  <si>
    <t>U PRANUA</t>
  </si>
  <si>
    <t>INSPEKTORI</t>
  </si>
  <si>
    <t>VULA</t>
  </si>
  <si>
    <t>EMËR MBIEMËR</t>
  </si>
  <si>
    <t>121</t>
  </si>
  <si>
    <t>08/07/2010</t>
  </si>
  <si>
    <t>41811951</t>
  </si>
  <si>
    <t>Drejtoria e sherbimit spitalor Korce</t>
  </si>
  <si>
    <t>K54105081A</t>
  </si>
  <si>
    <t>122</t>
  </si>
  <si>
    <t>22/07/2010</t>
  </si>
  <si>
    <t>41811954</t>
  </si>
  <si>
    <t>Gjykata e shkalles pare Fier</t>
  </si>
  <si>
    <t>K52903420H</t>
  </si>
  <si>
    <t>123</t>
  </si>
  <si>
    <t>23/07/2010</t>
  </si>
  <si>
    <t>41811955</t>
  </si>
  <si>
    <t>NIKA SH.P.K</t>
  </si>
  <si>
    <t>Shkoder</t>
  </si>
  <si>
    <t>J76705047U</t>
  </si>
  <si>
    <t>124</t>
  </si>
  <si>
    <t>26/07/2010</t>
  </si>
  <si>
    <t>41811956</t>
  </si>
  <si>
    <t>125</t>
  </si>
  <si>
    <t>29/07/2010</t>
  </si>
  <si>
    <t>41811961</t>
  </si>
  <si>
    <t>126</t>
  </si>
  <si>
    <t>41811962</t>
  </si>
  <si>
    <t>127</t>
  </si>
  <si>
    <t>30/07/2010</t>
  </si>
  <si>
    <t>41811963</t>
  </si>
  <si>
    <t>128</t>
  </si>
  <si>
    <t>41811966</t>
  </si>
  <si>
    <t>129</t>
  </si>
  <si>
    <t>41811969</t>
  </si>
  <si>
    <t>130</t>
  </si>
  <si>
    <t>41811970</t>
  </si>
  <si>
    <t>131</t>
  </si>
  <si>
    <t>03/08/2010</t>
  </si>
  <si>
    <t>41811972</t>
  </si>
  <si>
    <t>132</t>
  </si>
  <si>
    <t>41811973</t>
  </si>
  <si>
    <t>133</t>
  </si>
  <si>
    <t>06/08/2010</t>
  </si>
  <si>
    <t>41811974</t>
  </si>
  <si>
    <t>BOLV OIL SH.A</t>
  </si>
  <si>
    <t>K32528408H</t>
  </si>
  <si>
    <t>134</t>
  </si>
  <si>
    <t>41811975</t>
  </si>
  <si>
    <t>137</t>
  </si>
  <si>
    <t>13/08/2010</t>
  </si>
  <si>
    <t>41811979</t>
  </si>
  <si>
    <t>138</t>
  </si>
  <si>
    <t>41811981</t>
  </si>
  <si>
    <t>139</t>
  </si>
  <si>
    <t>16/08/2010</t>
  </si>
  <si>
    <t>41811982</t>
  </si>
  <si>
    <t>140</t>
  </si>
  <si>
    <t>17/08/2010</t>
  </si>
  <si>
    <t>41811983</t>
  </si>
  <si>
    <t>141</t>
  </si>
  <si>
    <t>41811984</t>
  </si>
  <si>
    <t>142</t>
  </si>
  <si>
    <t>24/08/2010</t>
  </si>
  <si>
    <t>41811985</t>
  </si>
  <si>
    <t>143</t>
  </si>
  <si>
    <t>25/08/2010</t>
  </si>
  <si>
    <t>41811986</t>
  </si>
  <si>
    <t>144</t>
  </si>
  <si>
    <t>26/08/2010</t>
  </si>
  <si>
    <t>41811987</t>
  </si>
  <si>
    <t>145</t>
  </si>
  <si>
    <t>41811988</t>
  </si>
  <si>
    <t>146</t>
  </si>
  <si>
    <t>41811989</t>
  </si>
  <si>
    <t>147</t>
  </si>
  <si>
    <t>30/08/2010</t>
  </si>
  <si>
    <t>41811990</t>
  </si>
  <si>
    <t>148</t>
  </si>
  <si>
    <t>41811991</t>
  </si>
  <si>
    <t>149</t>
  </si>
  <si>
    <t>41811992</t>
  </si>
  <si>
    <t>150</t>
  </si>
  <si>
    <t>41811993</t>
  </si>
  <si>
    <t>43,243,393.70</t>
  </si>
  <si>
    <t>36,036,277.50</t>
  </si>
  <si>
    <t>7,207,116.20</t>
  </si>
  <si>
    <t>3 - Plotësohet në dy kopje. Kopja e bardhë ( e para ) dorëzohet në Degën e Tatim Taksave çdo muaj.</t>
  </si>
  <si>
    <t>EMËR MBIEMËR  (firmë)</t>
  </si>
  <si>
    <t>151</t>
  </si>
  <si>
    <t>31/08/2010</t>
  </si>
  <si>
    <t>41811995</t>
  </si>
  <si>
    <t>152</t>
  </si>
  <si>
    <t>01/09/2010</t>
  </si>
  <si>
    <t>41811996</t>
  </si>
  <si>
    <t>153</t>
  </si>
  <si>
    <t>02/09/2010</t>
  </si>
  <si>
    <t>41811998</t>
  </si>
  <si>
    <t>ACI ENGINERING SH.P.K</t>
  </si>
  <si>
    <t>154</t>
  </si>
  <si>
    <t>10/09/2010</t>
  </si>
  <si>
    <t>41811999</t>
  </si>
  <si>
    <t>155</t>
  </si>
  <si>
    <t>72072201</t>
  </si>
  <si>
    <t>156</t>
  </si>
  <si>
    <t>72072202</t>
  </si>
  <si>
    <t>157</t>
  </si>
  <si>
    <t>11/09/2010</t>
  </si>
  <si>
    <t>72072203</t>
  </si>
  <si>
    <t>158</t>
  </si>
  <si>
    <t>20/09/2010</t>
  </si>
  <si>
    <t>72072204</t>
  </si>
  <si>
    <t>160</t>
  </si>
  <si>
    <t>72072206</t>
  </si>
  <si>
    <t>161</t>
  </si>
  <si>
    <t>72072208</t>
  </si>
  <si>
    <t>163</t>
  </si>
  <si>
    <t>72072210</t>
  </si>
  <si>
    <t>166</t>
  </si>
  <si>
    <t>29/09/2010</t>
  </si>
  <si>
    <t>72072214</t>
  </si>
  <si>
    <t>167</t>
  </si>
  <si>
    <t>30/09/2010</t>
  </si>
  <si>
    <t>72072215</t>
  </si>
  <si>
    <t>168</t>
  </si>
  <si>
    <t>72072216</t>
  </si>
  <si>
    <t>169</t>
  </si>
  <si>
    <t>72072217</t>
  </si>
  <si>
    <t>170</t>
  </si>
  <si>
    <t>72072218</t>
  </si>
  <si>
    <t>171</t>
  </si>
  <si>
    <t>72072219</t>
  </si>
  <si>
    <t>172</t>
  </si>
  <si>
    <t>72072220</t>
  </si>
  <si>
    <t>173</t>
  </si>
  <si>
    <t>01/10/2010</t>
  </si>
  <si>
    <t>72072222</t>
  </si>
  <si>
    <t>174</t>
  </si>
  <si>
    <t>05/10/2010</t>
  </si>
  <si>
    <t>72072224</t>
  </si>
  <si>
    <t>175</t>
  </si>
  <si>
    <t>06/10/2010</t>
  </si>
  <si>
    <t>72072225</t>
  </si>
  <si>
    <t>176</t>
  </si>
  <si>
    <t>11/10/2010</t>
  </si>
  <si>
    <t>72072226</t>
  </si>
  <si>
    <t>177</t>
  </si>
  <si>
    <t>72072227</t>
  </si>
  <si>
    <t>180</t>
  </si>
  <si>
    <t>72072231</t>
  </si>
  <si>
    <t>181</t>
  </si>
  <si>
    <t>72072232</t>
  </si>
  <si>
    <t>182</t>
  </si>
  <si>
    <t>72072233</t>
  </si>
  <si>
    <t>183</t>
  </si>
  <si>
    <t>20/10/2010</t>
  </si>
  <si>
    <t>72072234</t>
  </si>
  <si>
    <t>18,066,353.00</t>
  </si>
  <si>
    <t>15,055,526.50</t>
  </si>
  <si>
    <t>3,010,826.50</t>
  </si>
  <si>
    <t>184</t>
  </si>
  <si>
    <t>72072235</t>
  </si>
  <si>
    <t>185</t>
  </si>
  <si>
    <t>72072236</t>
  </si>
  <si>
    <t>187</t>
  </si>
  <si>
    <t>29/10/2010</t>
  </si>
  <si>
    <t>72072239</t>
  </si>
  <si>
    <t>188</t>
  </si>
  <si>
    <t>72072240</t>
  </si>
  <si>
    <t>190</t>
  </si>
  <si>
    <t>72072242</t>
  </si>
  <si>
    <t>191</t>
  </si>
  <si>
    <t>72072243</t>
  </si>
  <si>
    <t>192</t>
  </si>
  <si>
    <t>72072244</t>
  </si>
  <si>
    <t>193</t>
  </si>
  <si>
    <t>72072245</t>
  </si>
  <si>
    <t>194</t>
  </si>
  <si>
    <t>72072246</t>
  </si>
  <si>
    <t>195</t>
  </si>
  <si>
    <t>72072247</t>
  </si>
  <si>
    <t>196</t>
  </si>
  <si>
    <t>72072248</t>
  </si>
  <si>
    <t>02/11/2010</t>
  </si>
  <si>
    <t>83708401</t>
  </si>
  <si>
    <t>83708402</t>
  </si>
  <si>
    <t>83708403</t>
  </si>
  <si>
    <t>197</t>
  </si>
  <si>
    <t>72072249</t>
  </si>
  <si>
    <t>AGJENSIA KOMBETARE E BURIMEVE NJEREZORE</t>
  </si>
  <si>
    <t>K71331001H</t>
  </si>
  <si>
    <t>198</t>
  </si>
  <si>
    <t>72072250</t>
  </si>
  <si>
    <t>199</t>
  </si>
  <si>
    <t>72072251</t>
  </si>
  <si>
    <t>03/11/2010</t>
  </si>
  <si>
    <t>83708404</t>
  </si>
  <si>
    <t>201</t>
  </si>
  <si>
    <t>10/11/2010</t>
  </si>
  <si>
    <t>72072253</t>
  </si>
  <si>
    <t>202</t>
  </si>
  <si>
    <t>72072254</t>
  </si>
  <si>
    <t>203</t>
  </si>
  <si>
    <t>72072255</t>
  </si>
  <si>
    <t>206</t>
  </si>
  <si>
    <t>72072258</t>
  </si>
  <si>
    <t>207</t>
  </si>
  <si>
    <t>22/11/2010</t>
  </si>
  <si>
    <t>72072261</t>
  </si>
  <si>
    <t>208</t>
  </si>
  <si>
    <t>72072262</t>
  </si>
  <si>
    <t>209</t>
  </si>
  <si>
    <t>72072263</t>
  </si>
  <si>
    <t>210</t>
  </si>
  <si>
    <t>72072265</t>
  </si>
  <si>
    <t>211</t>
  </si>
  <si>
    <t>72072266</t>
  </si>
  <si>
    <t>60,347,949.50</t>
  </si>
  <si>
    <t>50,290,074.00</t>
  </si>
  <si>
    <t>10,057,875.50</t>
  </si>
  <si>
    <t>212</t>
  </si>
  <si>
    <t>29/11/2010</t>
  </si>
  <si>
    <t>72072267</t>
  </si>
  <si>
    <t>213</t>
  </si>
  <si>
    <t>30/11/2010</t>
  </si>
  <si>
    <t>72072268</t>
  </si>
  <si>
    <t>214</t>
  </si>
  <si>
    <t>72072269</t>
  </si>
  <si>
    <t>215</t>
  </si>
  <si>
    <t>72072271</t>
  </si>
  <si>
    <t>216</t>
  </si>
  <si>
    <t>72072272</t>
  </si>
  <si>
    <t>217</t>
  </si>
  <si>
    <t>72072274</t>
  </si>
  <si>
    <t>218</t>
  </si>
  <si>
    <t>72072275</t>
  </si>
  <si>
    <t>219</t>
  </si>
  <si>
    <t>02/12/2010</t>
  </si>
  <si>
    <t>72072276</t>
  </si>
  <si>
    <t>220</t>
  </si>
  <si>
    <t>72072277</t>
  </si>
  <si>
    <t>221</t>
  </si>
  <si>
    <t>06/12/2010</t>
  </si>
  <si>
    <t>72072278</t>
  </si>
  <si>
    <t>224</t>
  </si>
  <si>
    <t>72072283</t>
  </si>
  <si>
    <t>225</t>
  </si>
  <si>
    <t>72072284</t>
  </si>
  <si>
    <t>227</t>
  </si>
  <si>
    <t>72072286</t>
  </si>
  <si>
    <t>228</t>
  </si>
  <si>
    <t>10/12/2010</t>
  </si>
  <si>
    <t>72072287</t>
  </si>
  <si>
    <t>229</t>
  </si>
  <si>
    <t>72072288</t>
  </si>
  <si>
    <t>230</t>
  </si>
  <si>
    <t>72072289</t>
  </si>
  <si>
    <t>231</t>
  </si>
  <si>
    <t>72072290</t>
  </si>
  <si>
    <t>232</t>
  </si>
  <si>
    <t>72072291</t>
  </si>
  <si>
    <t>FANI SHPK</t>
  </si>
  <si>
    <t>J64103620W</t>
  </si>
  <si>
    <t>234</t>
  </si>
  <si>
    <t>15/12/2010</t>
  </si>
  <si>
    <t>72072293</t>
  </si>
  <si>
    <t>236</t>
  </si>
  <si>
    <t>72072296</t>
  </si>
  <si>
    <t>16/12/2010</t>
  </si>
  <si>
    <t>83708405</t>
  </si>
  <si>
    <t>237</t>
  </si>
  <si>
    <t>72072297</t>
  </si>
  <si>
    <t>238</t>
  </si>
  <si>
    <t>72072298</t>
  </si>
  <si>
    <t>239</t>
  </si>
  <si>
    <t>72072299</t>
  </si>
  <si>
    <t>240</t>
  </si>
  <si>
    <t>72072300</t>
  </si>
  <si>
    <t>18/12/2010</t>
  </si>
  <si>
    <t>83708406</t>
  </si>
  <si>
    <t>20/12/2010</t>
  </si>
  <si>
    <t>83708408</t>
  </si>
  <si>
    <t>18,632,251.50</t>
  </si>
  <si>
    <t>15,526,992.00</t>
  </si>
  <si>
    <t>3,105,259.50</t>
  </si>
  <si>
    <t>21/12/2010</t>
  </si>
  <si>
    <t>83708410</t>
  </si>
  <si>
    <t>83708412</t>
  </si>
  <si>
    <t>UNIVERS REKLAMA</t>
  </si>
  <si>
    <t>K41926003M</t>
  </si>
  <si>
    <t>13</t>
  </si>
  <si>
    <t>83708413</t>
  </si>
  <si>
    <t>15</t>
  </si>
  <si>
    <t>83708415</t>
  </si>
  <si>
    <t>16</t>
  </si>
  <si>
    <t>83708416</t>
  </si>
  <si>
    <t>17</t>
  </si>
  <si>
    <t>27/12/2010</t>
  </si>
  <si>
    <t>83708417</t>
  </si>
  <si>
    <t>CLUB MUZIKOR SH.A</t>
  </si>
  <si>
    <t>K31617016M</t>
  </si>
  <si>
    <t>19</t>
  </si>
  <si>
    <t>83708419</t>
  </si>
  <si>
    <t>20</t>
  </si>
  <si>
    <t>83708420</t>
  </si>
  <si>
    <t>21</t>
  </si>
  <si>
    <t>83708421</t>
  </si>
  <si>
    <t>22</t>
  </si>
  <si>
    <t>83708422</t>
  </si>
  <si>
    <t>23</t>
  </si>
  <si>
    <t>83708423</t>
  </si>
  <si>
    <t>24</t>
  </si>
  <si>
    <t>28/12/2010</t>
  </si>
  <si>
    <t>83708424</t>
  </si>
  <si>
    <t>25</t>
  </si>
  <si>
    <t>83708425</t>
  </si>
  <si>
    <t>26</t>
  </si>
  <si>
    <t>29/12/2010</t>
  </si>
  <si>
    <t>83708426</t>
  </si>
  <si>
    <t>27</t>
  </si>
  <si>
    <t>83708427</t>
  </si>
  <si>
    <t>28</t>
  </si>
  <si>
    <t>83708428</t>
  </si>
  <si>
    <t>29</t>
  </si>
  <si>
    <t>83708429</t>
  </si>
  <si>
    <t>30</t>
  </si>
  <si>
    <t>83708430</t>
  </si>
  <si>
    <t>31</t>
  </si>
  <si>
    <t>83708431</t>
  </si>
  <si>
    <t>Kutia në deklaratën e pagesës së TVSH</t>
  </si>
  <si>
    <t>kutia 9</t>
  </si>
  <si>
    <t>kutia 10</t>
  </si>
  <si>
    <t>kutia 11</t>
  </si>
  <si>
    <t>kutia 12</t>
  </si>
  <si>
    <t>6,323,529.50</t>
  </si>
  <si>
    <t>5,269,725.00</t>
  </si>
  <si>
    <t>1,053,804.50</t>
  </si>
  <si>
    <t>Blerje Artikuj Kancelarie</t>
  </si>
  <si>
    <t>Albtelecomi</t>
  </si>
  <si>
    <t>Vodafon</t>
  </si>
  <si>
    <t>Sherbime interneti</t>
  </si>
  <si>
    <t>Alushi-ER</t>
  </si>
  <si>
    <t>62713</t>
  </si>
  <si>
    <t>Benimpex &amp; CO</t>
  </si>
  <si>
    <t>62714</t>
  </si>
  <si>
    <t>SHEGA TRANS SH.A</t>
  </si>
  <si>
    <t>638</t>
  </si>
  <si>
    <t>Tatime te tjera</t>
  </si>
  <si>
    <t>657</t>
  </si>
  <si>
    <t>Gjoba dhe demshperblime</t>
  </si>
  <si>
    <t>668</t>
  </si>
  <si>
    <t xml:space="preserve">Shpenzime  financiare te tjera </t>
  </si>
  <si>
    <t>Blerje Vendi</t>
  </si>
  <si>
    <t>Kredi TVSH 2009 Balance</t>
  </si>
  <si>
    <t>Kredi Vjetore TVSH 2010</t>
  </si>
  <si>
    <t>AA materiale ne proces</t>
  </si>
  <si>
    <t>4453</t>
  </si>
  <si>
    <t>Shteti-TVSH per tu paguar</t>
  </si>
  <si>
    <t>460</t>
  </si>
  <si>
    <t>Qera financiare</t>
  </si>
  <si>
    <t>banka ne GBP</t>
  </si>
  <si>
    <t>Më 1 janar 2010</t>
  </si>
  <si>
    <t>Më 31 dhjetor 2010</t>
  </si>
  <si>
    <t>Cr.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</si>
  <si>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</si>
  <si>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</si>
  <si>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</si>
  <si>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</si>
  <si>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</si>
  <si>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</si>
  <si>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</si>
  <si>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</si>
  <si>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</si>
  <si>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</si>
  <si>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</si>
  <si>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</si>
  <si>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</si>
  <si>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</si>
  <si>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</si>
  <si>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</si>
  <si>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</si>
  <si>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</si>
  <si>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</si>
  <si>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</si>
  <si>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</si>
  <si>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</si>
  <si>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</si>
  <si>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</si>
  <si>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</si>
  <si>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</si>
  <si>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</si>
  <si>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</si>
  <si>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</si>
  <si>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</si>
  <si>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</si>
  <si>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</si>
  <si>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</si>
  <si>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</si>
  <si>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</si>
  <si>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</si>
  <si>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</si>
  <si>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</si>
  <si>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</si>
  <si>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</si>
  <si>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</si>
  <si>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</si>
  <si>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</si>
  <si>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</si>
  <si>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</si>
  <si>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</si>
  <si>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</si>
  <si>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</si>
  <si>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</si>
  <si>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</si>
  <si>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</si>
  <si>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</si>
  <si>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</si>
  <si>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</si>
  <si>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</si>
  <si>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</si>
  <si>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</si>
  <si>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</si>
  <si>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</si>
  <si>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</si>
  <si>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</si>
  <si>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</si>
  <si>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</si>
  <si>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</si>
  <si>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</si>
  <si>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</si>
  <si>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</si>
  <si>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</si>
  <si>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</si>
  <si>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</si>
  <si>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</si>
  <si>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</si>
  <si>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</si>
  <si>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</si>
  <si>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</si>
  <si>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</si>
  <si>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</si>
  <si>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</si>
  <si>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</si>
  <si>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</si>
  <si>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</si>
  <si>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</si>
  <si>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</si>
  <si>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</si>
  <si>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</si>
  <si>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</si>
  <si>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</si>
  <si>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</si>
  <si>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</si>
  <si>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</si>
  <si>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</si>
  <si>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</si>
  <si>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</si>
  <si>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</si>
  <si>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Aktivet Afatgjata Materiale  me vlere fillestare   2010</t>
  </si>
  <si>
    <t>Nr</t>
  </si>
  <si>
    <t>Emertimi</t>
  </si>
  <si>
    <t>Sasia</t>
  </si>
  <si>
    <t>Pakesime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</si>
  <si>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</si>
  <si>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</si>
  <si>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</si>
  <si>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</si>
  <si>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</si>
  <si>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</si>
  <si>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Amortizimi A.A.Materiale   2010</t>
  </si>
  <si>
    <t>Makineri,paisje,vegla</t>
  </si>
  <si>
    <t>Vlera Kontabel Neto e A.A.Materiale  2010</t>
  </si>
  <si>
    <t>Aktiviteti  kryesor</t>
  </si>
  <si>
    <t>Aktiviteti dytesor</t>
  </si>
  <si>
    <t>Tregti</t>
  </si>
  <si>
    <t>NIPTI____________________</t>
  </si>
  <si>
    <t>Pasqyre Nr.3</t>
  </si>
  <si>
    <t>Tregti karburanti</t>
  </si>
  <si>
    <t>Aktiviteti</t>
  </si>
  <si>
    <t>Te ardhurat nga aktiviteti</t>
  </si>
  <si>
    <t>Tregti ushqimore</t>
  </si>
  <si>
    <t>Tregti pijesh</t>
  </si>
  <si>
    <t>Tregti ushqimore,pije</t>
  </si>
  <si>
    <t>Tregti cigaresh</t>
  </si>
  <si>
    <t>Tregti materiale ndertimi</t>
  </si>
  <si>
    <t>Tregti artikuj industrial</t>
  </si>
  <si>
    <t>Farmaci</t>
  </si>
  <si>
    <t>Eksport</t>
  </si>
  <si>
    <t>Tregti te tjera</t>
  </si>
  <si>
    <t>Eksport mallrash</t>
  </si>
  <si>
    <t>Ndertim</t>
  </si>
  <si>
    <t>Totali i te ardhurave nga   tregtia</t>
  </si>
  <si>
    <t>Ndertim pallati</t>
  </si>
  <si>
    <t xml:space="preserve">Ndertim banese </t>
  </si>
  <si>
    <t>Ndertim pune publike</t>
  </si>
  <si>
    <t>Ndertime te tjera</t>
  </si>
  <si>
    <t>Totali i te ardhurave nga ndertimi</t>
  </si>
  <si>
    <t>Prodhim</t>
  </si>
  <si>
    <t>Eksport, prodhime te ndryshme</t>
  </si>
  <si>
    <t>Fason te cdo lloji</t>
  </si>
  <si>
    <t>Fason</t>
  </si>
  <si>
    <t>Prodhim materiale ndertimi</t>
  </si>
  <si>
    <t xml:space="preserve">Prodhim ushqimore </t>
  </si>
  <si>
    <t>Prodhim pije alkolike, etj</t>
  </si>
  <si>
    <t>Prodhim pije alkolike</t>
  </si>
  <si>
    <t>Prodhime energji</t>
  </si>
  <si>
    <t>Prodhim hidrokarbure,</t>
  </si>
  <si>
    <t>Prodhim nafte</t>
  </si>
  <si>
    <t>Prodhime te tjera</t>
  </si>
  <si>
    <t>Totali i te ardhurave nga prodhimi</t>
  </si>
  <si>
    <t>Transport</t>
  </si>
  <si>
    <t>Transport mallrash</t>
  </si>
  <si>
    <t>Transport malli nderkombetare</t>
  </si>
  <si>
    <t>Transport malli</t>
  </si>
  <si>
    <t>Transport udhetaresh</t>
  </si>
  <si>
    <t>Transport udhetaresh nderkombetare</t>
  </si>
  <si>
    <t>IV</t>
  </si>
  <si>
    <t>Totali i te ardhurave nga transporti</t>
  </si>
  <si>
    <t xml:space="preserve">Sherbimi </t>
  </si>
  <si>
    <t xml:space="preserve">Sherbime financiare </t>
  </si>
  <si>
    <t>Siguracione</t>
  </si>
  <si>
    <t>Sherbime mjekesore</t>
  </si>
  <si>
    <t xml:space="preserve">Bar restorante </t>
  </si>
  <si>
    <t>Hoteleri</t>
  </si>
  <si>
    <t>Lojra Fati</t>
  </si>
  <si>
    <t>Veprimtari televizive</t>
  </si>
  <si>
    <t>Telekomunikacion</t>
  </si>
  <si>
    <t>Eksport sherbimish te ndryshme</t>
  </si>
  <si>
    <t>Profesione te lira</t>
  </si>
  <si>
    <t>Sherbime te tjera</t>
  </si>
  <si>
    <t>Totali i te ardhurave nga sherbimet</t>
  </si>
  <si>
    <t>TOALI (I+II+III+IV+V)</t>
  </si>
  <si>
    <t>Te punesuar mesatarisht per vitin 2010:</t>
  </si>
  <si>
    <t>Nr. I te punesuarve</t>
  </si>
  <si>
    <t>Me page deri ne 19.000 leke</t>
  </si>
  <si>
    <t>Me page nga 19.001 deri ne 30.000 leke</t>
  </si>
  <si>
    <t>Me page nga 30.001 deri  ne 66.500 leke</t>
  </si>
  <si>
    <t>Me page nga 66.501 deri ne 84.100 leke</t>
  </si>
  <si>
    <t>Me page me te larte se 84.100 leke</t>
  </si>
  <si>
    <t>447</t>
  </si>
  <si>
    <t>Te tjera tatime per tu paguar dhe per tu kthyer</t>
  </si>
  <si>
    <t>Sipas Situacionit Financiar  te Tatimeve</t>
  </si>
  <si>
    <t>Te korrigjohet ne deklaraten e TVSH</t>
  </si>
  <si>
    <t>Eshte deklaruar Tax Doganore per TVSH</t>
  </si>
  <si>
    <t>discrepancies</t>
  </si>
  <si>
    <t>Adjusting to be done in Accounting Books</t>
  </si>
  <si>
    <t>Dr.</t>
  </si>
  <si>
    <t>5 Janar 2010</t>
  </si>
  <si>
    <t>Gjendje Banka</t>
  </si>
  <si>
    <t>dt.</t>
  </si>
  <si>
    <t>28.03.2011  19.25.12</t>
  </si>
  <si>
    <t>1</t>
  </si>
  <si>
    <t xml:space="preserve">g   j   e   n   d   j   e </t>
  </si>
  <si>
    <t>monedhe</t>
  </si>
  <si>
    <t>kod</t>
  </si>
  <si>
    <t>baze</t>
  </si>
  <si>
    <t xml:space="preserve">Lek Shqiptar      </t>
  </si>
  <si>
    <t>ABL.</t>
  </si>
  <si>
    <t>ALPHA BANK LEK</t>
  </si>
  <si>
    <t>L</t>
  </si>
  <si>
    <t>ABO.</t>
  </si>
  <si>
    <t>ALPHA BANK OVERDRAFT LEK</t>
  </si>
  <si>
    <t>CBL.</t>
  </si>
  <si>
    <t>CREDINS BANK LEKE</t>
  </si>
  <si>
    <t>NBL.</t>
  </si>
  <si>
    <t>NGB BANK LEKE</t>
  </si>
  <si>
    <t>RBL.</t>
  </si>
  <si>
    <t>Raiffeisen Bank LEK</t>
  </si>
  <si>
    <t>TBL.</t>
  </si>
  <si>
    <t>TIRANA BANK LEK</t>
  </si>
  <si>
    <t>UBL.</t>
  </si>
  <si>
    <t>UNION BANK LEKE</t>
  </si>
  <si>
    <t>EUR</t>
  </si>
  <si>
    <t>Euro</t>
  </si>
  <si>
    <t>ABE.EUR</t>
  </si>
  <si>
    <t>ALPHA BANK EURO</t>
  </si>
  <si>
    <t>€</t>
  </si>
  <si>
    <t>CBE.EUR</t>
  </si>
  <si>
    <t>CREDINS BANK EURO</t>
  </si>
  <si>
    <t>EBE.EUR</t>
  </si>
  <si>
    <t>EMPORIKI BANK</t>
  </si>
  <si>
    <t>ISE.EUR</t>
  </si>
  <si>
    <t>INTESA SANPAOLO BANK EURO</t>
  </si>
  <si>
    <t>NBE.EUR</t>
  </si>
  <si>
    <t>NGB BANK EURO</t>
  </si>
  <si>
    <t>RBE.EUR</t>
  </si>
  <si>
    <t>Raiffeisen Bank EURO</t>
  </si>
  <si>
    <t>TBE.EUR</t>
  </si>
  <si>
    <t>TIRANA BANK EURO</t>
  </si>
  <si>
    <t>UBE.EUR</t>
  </si>
  <si>
    <t>UNION BANK EURO</t>
  </si>
  <si>
    <t>GBP</t>
  </si>
  <si>
    <t>ABG.GBP</t>
  </si>
  <si>
    <t>ALPHA BANK GBP</t>
  </si>
  <si>
    <t>£</t>
  </si>
  <si>
    <t>ISG.GBP</t>
  </si>
  <si>
    <t>INTESA SANPAOLO BANK GBP</t>
  </si>
  <si>
    <t>UBG.GBP</t>
  </si>
  <si>
    <t>UNION BANK  GBP</t>
  </si>
  <si>
    <t>USD</t>
  </si>
  <si>
    <t>ABU.USD</t>
  </si>
  <si>
    <t>ALPHA BANK USD</t>
  </si>
  <si>
    <t>$</t>
  </si>
  <si>
    <t>TBU.USD</t>
  </si>
  <si>
    <t>TIRANA BANK USD</t>
  </si>
  <si>
    <t>Kliente sipas gjendjes</t>
  </si>
  <si>
    <t>28.03.2011  19.27.38</t>
  </si>
  <si>
    <t xml:space="preserve">g  j  e  n  d  j  e </t>
  </si>
  <si>
    <t>debitore</t>
  </si>
  <si>
    <t>kreditore</t>
  </si>
  <si>
    <t>F018</t>
  </si>
  <si>
    <t>F035</t>
  </si>
  <si>
    <t>K001</t>
  </si>
  <si>
    <t>K002</t>
  </si>
  <si>
    <t>K003</t>
  </si>
  <si>
    <t>K004</t>
  </si>
  <si>
    <t>K005</t>
  </si>
  <si>
    <t>K006</t>
  </si>
  <si>
    <t>K008</t>
  </si>
  <si>
    <t>K009</t>
  </si>
  <si>
    <t>K011</t>
  </si>
  <si>
    <t>K013</t>
  </si>
  <si>
    <t>K014</t>
  </si>
  <si>
    <t>K015</t>
  </si>
  <si>
    <t>MAK ALBANIA</t>
  </si>
  <si>
    <t>K019</t>
  </si>
  <si>
    <t>K020</t>
  </si>
  <si>
    <t>K035</t>
  </si>
  <si>
    <t>K036</t>
  </si>
  <si>
    <t>K040</t>
  </si>
  <si>
    <t>EGNATIA TELEVIZION SH.A</t>
  </si>
  <si>
    <t>K041</t>
  </si>
  <si>
    <t>K042</t>
  </si>
  <si>
    <t>K044</t>
  </si>
  <si>
    <t>K045</t>
  </si>
  <si>
    <t>K046</t>
  </si>
  <si>
    <t xml:space="preserve">PORTI  DETAR SARANDE </t>
  </si>
  <si>
    <t>K072</t>
  </si>
  <si>
    <t>gjithsej</t>
  </si>
  <si>
    <t>F017</t>
  </si>
  <si>
    <t>LANI SHPK</t>
  </si>
  <si>
    <t>K007</t>
  </si>
  <si>
    <t>K010</t>
  </si>
  <si>
    <t>K012</t>
  </si>
  <si>
    <t xml:space="preserve">Fushe Kruja Cement Factory Sh.p.k. </t>
  </si>
  <si>
    <t>K016</t>
  </si>
  <si>
    <t>SHYZE SH.P.K</t>
  </si>
  <si>
    <t>K018</t>
  </si>
  <si>
    <t>K025</t>
  </si>
  <si>
    <t>44</t>
  </si>
  <si>
    <t>DP</t>
  </si>
  <si>
    <t>celja 2010</t>
  </si>
  <si>
    <t>FF</t>
  </si>
  <si>
    <t>F043</t>
  </si>
  <si>
    <t>F081</t>
  </si>
  <si>
    <t>VAN VIJFEIJKEN</t>
  </si>
  <si>
    <t>TAX DOGANORE PER AUTOMJETIN</t>
  </si>
  <si>
    <t>F089</t>
  </si>
  <si>
    <t>FONDACIONI QENDRA BIBLIKE</t>
  </si>
  <si>
    <t>Kthim Mjeti  me Lease</t>
  </si>
  <si>
    <t>F076</t>
  </si>
  <si>
    <t>ELECTRON ALBANIA 2008 Sh.p.k</t>
  </si>
  <si>
    <t>F026</t>
  </si>
  <si>
    <t>SIEM ALBA SH.P.K</t>
  </si>
  <si>
    <t>F050</t>
  </si>
  <si>
    <t>EURO OFFICE SH.P.K</t>
  </si>
  <si>
    <t>F083</t>
  </si>
  <si>
    <t>CCS SHPK</t>
  </si>
  <si>
    <t>21.6.2010</t>
  </si>
  <si>
    <t>Depriciation</t>
  </si>
  <si>
    <t>shtesa Mj. Transport</t>
  </si>
  <si>
    <t>Shtesa Paisje Inform</t>
  </si>
  <si>
    <t>amortiz Mje transp</t>
  </si>
  <si>
    <t>31.12.2010</t>
  </si>
  <si>
    <t>Adjustings</t>
  </si>
  <si>
    <t>Cr</t>
  </si>
  <si>
    <t>Debia</t>
  </si>
  <si>
    <t>Pagat 2010</t>
  </si>
  <si>
    <t>Ndryshimi</t>
  </si>
  <si>
    <t xml:space="preserve">FORMULARI I DEKLARIMIT DHE </t>
  </si>
  <si>
    <t>Numri i Vendosjes se Dokumentit (NVD)</t>
  </si>
  <si>
    <t>I PAGESES SE TATIM MBI FITIMIN</t>
  </si>
  <si>
    <t xml:space="preserve">            (Vetem Per Perdorim Zyrtar)</t>
  </si>
  <si>
    <t>(2)Periudha Tatimore</t>
  </si>
  <si>
    <t>(1)Numri Serial:____________________________</t>
  </si>
  <si>
    <t>Vjetori  2010</t>
  </si>
  <si>
    <t>Numri  Identifikiues i Personit te Tatueshem (NIPT)</t>
  </si>
  <si>
    <t>(3)</t>
  </si>
  <si>
    <t>Emri Tregetar i Personit te Tatueshem :</t>
  </si>
  <si>
    <t>(4)</t>
  </si>
  <si>
    <t>Emri, Mbiemri i Personit Fizik :</t>
  </si>
  <si>
    <t>(5)</t>
  </si>
  <si>
    <t>Adresa :</t>
  </si>
  <si>
    <t>(6)</t>
  </si>
  <si>
    <t>__________________________________________</t>
  </si>
  <si>
    <t>Qyteti/Komuna/Rrethi :</t>
  </si>
  <si>
    <t>Numri Telefonit :</t>
  </si>
  <si>
    <t>(7)</t>
  </si>
  <si>
    <t>Lajmero nese informacioni i mesiperm eshte jo i plote ose ka ndryshuar</t>
  </si>
  <si>
    <t>Llogaritja e rezultatit</t>
  </si>
  <si>
    <t>Te ardhurat dhe shpenzimet</t>
  </si>
  <si>
    <t xml:space="preserve">            Te ushtrimit</t>
  </si>
  <si>
    <t xml:space="preserve">                          Tatimore</t>
  </si>
  <si>
    <t xml:space="preserve">(8/9) Te ardhurat </t>
  </si>
  <si>
    <t>(10/11) Shpenzimet</t>
  </si>
  <si>
    <t>(12) Shpenzimet e pazbriteshme</t>
  </si>
  <si>
    <t>Rezultati</t>
  </si>
  <si>
    <t>(13/14) Humbja</t>
  </si>
  <si>
    <t>(15/16 Fitimi</t>
  </si>
  <si>
    <t>(17) Humbje e mbartur</t>
  </si>
  <si>
    <t>(18) Fitimi i tatueshem neto (16-17)</t>
  </si>
  <si>
    <t>Llogaritja e tatim fitimit</t>
  </si>
  <si>
    <t>(19) Tatim fitimi me 20%</t>
  </si>
  <si>
    <t>(20) Tatim fitimi me perqindje te tjera</t>
  </si>
  <si>
    <t>(21) Tatim fitimi (19+20)</t>
  </si>
  <si>
    <t>(22) Tatim fitimi i shtyre</t>
  </si>
  <si>
    <t>(23) Parapagimet</t>
  </si>
  <si>
    <t>(24) Tatim fitimi i mbipaguar</t>
  </si>
  <si>
    <t>(25) Tatim fitimi i detyrueshem per tu paguar</t>
  </si>
  <si>
    <t>(26) Denime / interesa per vonesa</t>
  </si>
  <si>
    <t>(27) TOTALI PER TU PAGUAR</t>
  </si>
  <si>
    <t>______________________________________________</t>
  </si>
  <si>
    <r>
      <t>Data dhe Nenshkrimi i personit te tatueshem</t>
    </r>
    <r>
      <rPr>
        <sz val="10"/>
        <rFont val="Arial"/>
        <family val="2"/>
      </rPr>
      <t xml:space="preserve"> - </t>
    </r>
    <r>
      <rPr>
        <sz val="7"/>
        <rFont val="Arial"/>
        <family val="2"/>
      </rPr>
      <t>Deklaroj nen pergjegjesine time qe informacioni i mesiperm eshte i plote dhe i sakte</t>
    </r>
  </si>
  <si>
    <t>PAGESA</t>
  </si>
  <si>
    <t>Vetem per perdorim zyrtar</t>
  </si>
  <si>
    <t>Leke</t>
  </si>
  <si>
    <t>Xhirim</t>
  </si>
  <si>
    <t>Cek</t>
  </si>
  <si>
    <t>Te tjera …………………………..</t>
  </si>
  <si>
    <t>SHUMA E PAGUAR</t>
  </si>
  <si>
    <t xml:space="preserve">               Data , vula e Bankes dhe nenshkrimi I nenpunesit te bankes      Origjinali - Zyra e Tatimeve </t>
  </si>
  <si>
    <t xml:space="preserve">                                                            Kopja - Personi i Tatueshem </t>
  </si>
  <si>
    <t>Besnik Likollari</t>
  </si>
  <si>
    <t>TOTALI PER TU PAGUAR (Mbipaguar)</t>
  </si>
  <si>
    <t>Cod Stat</t>
  </si>
  <si>
    <t>kjo duhet korrigjuar</t>
  </si>
  <si>
    <t>28 Mars 2011</t>
  </si>
  <si>
    <t>28.03.2011</t>
  </si>
  <si>
    <t xml:space="preserve"> Të tjera aktive afatshkurtra </t>
  </si>
  <si>
    <t>Inventari</t>
  </si>
  <si>
    <r>
      <rPr>
        <b/>
        <sz val="10"/>
        <color rgb="FF000000"/>
        <rFont val="Times New Roman"/>
        <family val="1"/>
      </rPr>
      <t>Aktive afatgjata materiale</t>
    </r>
    <r>
      <rPr>
        <b/>
        <sz val="10"/>
        <color theme="1"/>
        <rFont val="Times New Roman"/>
        <family val="1"/>
      </rPr>
      <t xml:space="preserve"> </t>
    </r>
  </si>
  <si>
    <t>Te pagueshme</t>
  </si>
  <si>
    <t>Kosto e Mallrave te Shitura dhe Shpenzimet Operative</t>
  </si>
  <si>
    <t>Shpenzimet Administrative</t>
  </si>
  <si>
    <t>BILANCI me 31.12.2010</t>
  </si>
  <si>
    <t>PASQYRA E NDRYSHIMEVE NE KAPITAL  31.12.2010</t>
  </si>
  <si>
    <t>SHOQERIA AEE Shpk</t>
  </si>
  <si>
    <t>1,508,210.000</t>
  </si>
  <si>
    <t>Pg. 6</t>
  </si>
  <si>
    <t>Pg. 7</t>
  </si>
  <si>
    <t>Pg. 8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</si>
</sst>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8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7"/>
      <color rgb="FF000000"/>
      <name val="Times New Roman"/>
      <family val="1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11"/>
      <color theme="1"/>
      <name val="Calibri"/>
      <family val="2"/>
      <scheme val="minor"/>
    </font>
    <font>
      <b/>
      <i/>
      <sz val="8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sz val="12"/>
      <color indexed="9"/>
      <name val="Times New Roman"/>
      <family val="1"/>
    </font>
    <font>
      <sz val="14"/>
      <color indexed="8"/>
      <name val="Arial"/>
      <family val="2"/>
    </font>
    <font>
      <sz val="12"/>
      <color indexed="9"/>
      <name val="Times New Roman"/>
      <family val="1"/>
    </font>
    <font>
      <sz val="14"/>
      <color indexed="8"/>
      <name val="Arial"/>
      <family val="2"/>
    </font>
    <font>
      <sz val="10"/>
      <color indexed="9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b/>
      <i/>
      <sz val="10"/>
      <color theme="1"/>
      <name val="Times New Roman"/>
      <family val="1"/>
    </font>
    <font>
      <b/>
      <i/>
      <sz val="10"/>
      <color rgb="FF000000"/>
      <name val="Times New Roman"/>
      <family val="1"/>
    </font>
    <font>
      <b/>
      <u/>
      <sz val="12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i/>
      <sz val="24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 CE"/>
    </font>
    <font>
      <b/>
      <sz val="12"/>
      <name val="Times New Roman"/>
      <family val="1"/>
    </font>
    <font>
      <b/>
      <i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theme="0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sz val="1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i/>
      <sz val="12.6"/>
      <color indexed="8"/>
      <name val="Times New Roman"/>
      <family val="1"/>
    </font>
    <font>
      <sz val="12"/>
      <name val="Arial CE"/>
      <charset val="238"/>
    </font>
    <font>
      <b/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28" fillId="0" borderId="0"/>
    <xf numFmtId="0" fontId="28" fillId="0" borderId="0"/>
    <xf numFmtId="0" fontId="50" fillId="0" borderId="0"/>
    <xf numFmtId="0" fontId="50" fillId="0" borderId="0"/>
    <xf numFmtId="0" fontId="28" fillId="0" borderId="0" applyFont="0" applyFill="0" applyBorder="0" applyAlignment="0" applyProtection="0"/>
    <xf numFmtId="0" fontId="28" fillId="0" borderId="0"/>
    <xf numFmtId="164" fontId="28" fillId="0" borderId="0" applyFont="0" applyFill="0" applyBorder="0" applyAlignment="0" applyProtection="0"/>
    <xf numFmtId="164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/>
    <xf numFmtId="0" fontId="71" fillId="0" borderId="0"/>
  </cellStyleXfs>
  <cellXfs count="594">
    <xf numFmtId="0" fontId="0" fillId="0" borderId="0" xfId="0"/>
    <xf numFmtId="0" fontId="3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vertical="top" wrapText="1"/>
    </xf>
    <xf numFmtId="3" fontId="0" fillId="0" borderId="0" xfId="0" applyNumberFormat="1"/>
    <xf numFmtId="3" fontId="6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2" fillId="0" borderId="0" xfId="0" applyFont="1"/>
    <xf numFmtId="3" fontId="4" fillId="0" borderId="1" xfId="0" applyNumberFormat="1" applyFont="1" applyBorder="1" applyAlignment="1">
      <alignment horizontal="right" wrapText="1"/>
    </xf>
    <xf numFmtId="0" fontId="6" fillId="0" borderId="2" xfId="0" applyFont="1" applyBorder="1" applyAlignment="1">
      <alignment horizontal="right" wrapText="1"/>
    </xf>
    <xf numFmtId="3" fontId="4" fillId="0" borderId="3" xfId="0" applyNumberFormat="1" applyFont="1" applyBorder="1" applyAlignment="1">
      <alignment horizontal="right" wrapText="1"/>
    </xf>
    <xf numFmtId="3" fontId="4" fillId="0" borderId="2" xfId="0" applyNumberFormat="1" applyFont="1" applyBorder="1" applyAlignment="1">
      <alignment horizontal="right" wrapText="1"/>
    </xf>
    <xf numFmtId="0" fontId="6" fillId="0" borderId="4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vertical="top" wrapText="1"/>
    </xf>
    <xf numFmtId="3" fontId="4" fillId="0" borderId="5" xfId="0" applyNumberFormat="1" applyFont="1" applyBorder="1" applyAlignment="1">
      <alignment horizontal="right" wrapText="1"/>
    </xf>
    <xf numFmtId="0" fontId="2" fillId="0" borderId="2" xfId="0" applyFont="1" applyBorder="1"/>
    <xf numFmtId="0" fontId="7" fillId="0" borderId="3" xfId="0" applyFont="1" applyBorder="1"/>
    <xf numFmtId="3" fontId="6" fillId="0" borderId="2" xfId="0" applyNumberFormat="1" applyFont="1" applyBorder="1" applyAlignment="1">
      <alignment horizontal="right" wrapText="1"/>
    </xf>
    <xf numFmtId="3" fontId="4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vertical="top" wrapText="1" indent="3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0" xfId="0" applyFont="1" applyAlignment="1">
      <alignment wrapText="1"/>
    </xf>
    <xf numFmtId="3" fontId="6" fillId="0" borderId="2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applyFont="1" applyAlignment="1">
      <alignment horizontal="justify"/>
    </xf>
    <xf numFmtId="0" fontId="2" fillId="0" borderId="4" xfId="0" applyFont="1" applyBorder="1"/>
    <xf numFmtId="0" fontId="2" fillId="0" borderId="5" xfId="0" applyFont="1" applyBorder="1" applyAlignment="1">
      <alignment wrapText="1"/>
    </xf>
    <xf numFmtId="3" fontId="2" fillId="0" borderId="5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 indent="1"/>
    </xf>
    <xf numFmtId="0" fontId="7" fillId="0" borderId="6" xfId="0" applyFont="1" applyBorder="1"/>
    <xf numFmtId="3" fontId="4" fillId="0" borderId="6" xfId="0" applyNumberFormat="1" applyFont="1" applyBorder="1" applyAlignment="1">
      <alignment horizontal="right" wrapText="1"/>
    </xf>
    <xf numFmtId="0" fontId="7" fillId="0" borderId="4" xfId="0" applyFont="1" applyBorder="1" applyAlignment="1">
      <alignment horizontal="right"/>
    </xf>
    <xf numFmtId="0" fontId="2" fillId="0" borderId="2" xfId="0" applyFont="1" applyBorder="1" applyAlignment="1">
      <alignment wrapText="1"/>
    </xf>
    <xf numFmtId="165" fontId="0" fillId="0" borderId="0" xfId="1" applyNumberFormat="1" applyFont="1"/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0" borderId="0" xfId="1" applyFont="1" applyAlignment="1">
      <alignment horizontal="right" wrapText="1"/>
    </xf>
    <xf numFmtId="165" fontId="2" fillId="0" borderId="5" xfId="1" applyNumberFormat="1" applyFont="1" applyBorder="1" applyAlignment="1">
      <alignment horizontal="right" wrapText="1"/>
    </xf>
    <xf numFmtId="165" fontId="2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left" indent="2"/>
    </xf>
    <xf numFmtId="0" fontId="10" fillId="0" borderId="0" xfId="0" applyFont="1" applyAlignment="1">
      <alignment horizontal="justify" vertical="top" wrapText="1"/>
    </xf>
    <xf numFmtId="0" fontId="10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right" wrapText="1"/>
    </xf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 wrapText="1"/>
    </xf>
    <xf numFmtId="0" fontId="10" fillId="0" borderId="1" xfId="0" applyFont="1" applyBorder="1" applyAlignment="1">
      <alignment wrapText="1"/>
    </xf>
    <xf numFmtId="3" fontId="10" fillId="0" borderId="1" xfId="0" applyNumberFormat="1" applyFont="1" applyBorder="1" applyAlignment="1">
      <alignment horizontal="right" wrapText="1"/>
    </xf>
    <xf numFmtId="0" fontId="13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10" fillId="0" borderId="1" xfId="0" applyFont="1" applyBorder="1" applyAlignment="1">
      <alignment horizontal="right" wrapText="1"/>
    </xf>
    <xf numFmtId="0" fontId="10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3" fontId="6" fillId="0" borderId="5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indent="1"/>
    </xf>
    <xf numFmtId="0" fontId="6" fillId="0" borderId="2" xfId="0" applyFont="1" applyBorder="1"/>
    <xf numFmtId="0" fontId="4" fillId="0" borderId="0" xfId="0" applyFont="1"/>
    <xf numFmtId="0" fontId="4" fillId="0" borderId="0" xfId="0" applyFont="1" applyAlignment="1">
      <alignment horizontal="left" indent="2"/>
    </xf>
    <xf numFmtId="0" fontId="2" fillId="2" borderId="4" xfId="0" applyFont="1" applyFill="1" applyBorder="1"/>
    <xf numFmtId="0" fontId="6" fillId="0" borderId="0" xfId="0" applyFont="1" applyAlignment="1">
      <alignment horizontal="left" wrapText="1" indent="1"/>
    </xf>
    <xf numFmtId="0" fontId="6" fillId="0" borderId="2" xfId="0" applyFont="1" applyBorder="1" applyAlignment="1">
      <alignment horizontal="left" wrapText="1" indent="1"/>
    </xf>
    <xf numFmtId="0" fontId="2" fillId="0" borderId="2" xfId="0" applyFont="1" applyBorder="1" applyAlignment="1">
      <alignment horizontal="right" wrapText="1"/>
    </xf>
    <xf numFmtId="0" fontId="6" fillId="0" borderId="2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15" fillId="0" borderId="0" xfId="2" applyAlignment="1" applyProtection="1">
      <alignment horizontal="center" wrapText="1"/>
    </xf>
    <xf numFmtId="3" fontId="6" fillId="0" borderId="0" xfId="0" applyNumberFormat="1" applyFont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3" fontId="4" fillId="0" borderId="3" xfId="0" applyNumberFormat="1" applyFont="1" applyBorder="1" applyAlignment="1">
      <alignment horizontal="right" vertical="top" wrapText="1"/>
    </xf>
    <xf numFmtId="0" fontId="2" fillId="0" borderId="7" xfId="0" applyFont="1" applyBorder="1"/>
    <xf numFmtId="0" fontId="6" fillId="0" borderId="2" xfId="0" applyFont="1" applyBorder="1" applyAlignment="1">
      <alignment wrapText="1"/>
    </xf>
    <xf numFmtId="165" fontId="2" fillId="0" borderId="0" xfId="1" applyNumberFormat="1" applyFont="1" applyAlignment="1">
      <alignment horizontal="right"/>
    </xf>
    <xf numFmtId="0" fontId="7" fillId="0" borderId="7" xfId="0" applyFont="1" applyBorder="1" applyAlignment="1">
      <alignment wrapText="1"/>
    </xf>
    <xf numFmtId="3" fontId="4" fillId="0" borderId="7" xfId="0" applyNumberFormat="1" applyFont="1" applyBorder="1" applyAlignment="1">
      <alignment horizontal="right" wrapText="1"/>
    </xf>
    <xf numFmtId="37" fontId="6" fillId="0" borderId="2" xfId="0" applyNumberFormat="1" applyFont="1" applyBorder="1" applyAlignment="1">
      <alignment horizontal="right" wrapText="1"/>
    </xf>
    <xf numFmtId="37" fontId="6" fillId="0" borderId="0" xfId="0" applyNumberFormat="1" applyFont="1" applyBorder="1" applyAlignment="1">
      <alignment horizontal="right" wrapText="1"/>
    </xf>
    <xf numFmtId="0" fontId="7" fillId="0" borderId="2" xfId="0" applyFont="1" applyBorder="1"/>
    <xf numFmtId="3" fontId="2" fillId="0" borderId="2" xfId="0" applyNumberFormat="1" applyFont="1" applyBorder="1" applyAlignment="1">
      <alignment horizontal="right" wrapText="1"/>
    </xf>
    <xf numFmtId="3" fontId="7" fillId="0" borderId="3" xfId="0" applyNumberFormat="1" applyFont="1" applyBorder="1" applyAlignment="1">
      <alignment horizontal="right" wrapText="1"/>
    </xf>
    <xf numFmtId="0" fontId="2" fillId="0" borderId="1" xfId="0" applyFont="1" applyBorder="1" applyAlignment="1"/>
    <xf numFmtId="0" fontId="7" fillId="0" borderId="1" xfId="0" applyFont="1" applyBorder="1" applyAlignment="1">
      <alignment horizontal="right" vertical="top" wrapText="1"/>
    </xf>
    <xf numFmtId="37" fontId="2" fillId="0" borderId="2" xfId="0" applyNumberFormat="1" applyFont="1" applyBorder="1" applyAlignment="1">
      <alignment horizontal="right"/>
    </xf>
    <xf numFmtId="165" fontId="0" fillId="0" borderId="0" xfId="0" applyNumberFormat="1"/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Border="1"/>
    <xf numFmtId="165" fontId="0" fillId="3" borderId="0" xfId="1" applyNumberFormat="1" applyFont="1" applyFill="1"/>
    <xf numFmtId="0" fontId="16" fillId="0" borderId="0" xfId="0" applyFont="1"/>
    <xf numFmtId="0" fontId="16" fillId="0" borderId="0" xfId="0" applyFont="1" applyAlignment="1">
      <alignment horizontal="center"/>
    </xf>
    <xf numFmtId="0" fontId="0" fillId="4" borderId="0" xfId="0" applyFill="1"/>
    <xf numFmtId="165" fontId="0" fillId="4" borderId="0" xfId="1" applyNumberFormat="1" applyFont="1" applyFill="1"/>
    <xf numFmtId="0" fontId="0" fillId="3" borderId="0" xfId="0" applyFill="1"/>
    <xf numFmtId="165" fontId="0" fillId="3" borderId="0" xfId="0" applyNumberFormat="1" applyFill="1"/>
    <xf numFmtId="2" fontId="18" fillId="0" borderId="0" xfId="0" applyNumberFormat="1" applyFont="1"/>
    <xf numFmtId="165" fontId="18" fillId="0" borderId="0" xfId="1" applyNumberFormat="1" applyFont="1"/>
    <xf numFmtId="0" fontId="19" fillId="0" borderId="0" xfId="0" applyFont="1"/>
    <xf numFmtId="2" fontId="19" fillId="0" borderId="0" xfId="0" applyNumberFormat="1" applyFont="1"/>
    <xf numFmtId="165" fontId="19" fillId="0" borderId="0" xfId="1" applyNumberFormat="1" applyFont="1"/>
    <xf numFmtId="0" fontId="20" fillId="0" borderId="0" xfId="0" applyFont="1"/>
    <xf numFmtId="0" fontId="23" fillId="0" borderId="0" xfId="0" applyFont="1"/>
    <xf numFmtId="165" fontId="23" fillId="0" borderId="0" xfId="1" applyNumberFormat="1" applyFont="1"/>
    <xf numFmtId="0" fontId="24" fillId="0" borderId="0" xfId="0" applyFont="1"/>
    <xf numFmtId="2" fontId="24" fillId="0" borderId="0" xfId="0" applyNumberFormat="1" applyFont="1"/>
    <xf numFmtId="165" fontId="24" fillId="0" borderId="0" xfId="1" applyNumberFormat="1" applyFont="1"/>
    <xf numFmtId="164" fontId="0" fillId="0" borderId="0" xfId="0" applyNumberFormat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165" fontId="25" fillId="0" borderId="0" xfId="1" applyNumberFormat="1" applyFont="1"/>
    <xf numFmtId="0" fontId="0" fillId="5" borderId="0" xfId="0" applyFill="1"/>
    <xf numFmtId="165" fontId="26" fillId="0" borderId="0" xfId="1" applyNumberFormat="1" applyFont="1"/>
    <xf numFmtId="165" fontId="27" fillId="0" borderId="0" xfId="1" applyNumberFormat="1" applyFont="1"/>
    <xf numFmtId="165" fontId="25" fillId="0" borderId="14" xfId="1" applyNumberFormat="1" applyFont="1" applyBorder="1"/>
    <xf numFmtId="165" fontId="25" fillId="0" borderId="15" xfId="1" applyNumberFormat="1" applyFont="1" applyBorder="1"/>
    <xf numFmtId="165" fontId="25" fillId="3" borderId="0" xfId="1" applyNumberFormat="1" applyFont="1" applyFill="1"/>
    <xf numFmtId="165" fontId="0" fillId="0" borderId="0" xfId="1" applyNumberFormat="1" applyFont="1" applyBorder="1"/>
    <xf numFmtId="0" fontId="22" fillId="0" borderId="0" xfId="3"/>
    <xf numFmtId="0" fontId="23" fillId="0" borderId="0" xfId="3" applyFont="1"/>
    <xf numFmtId="0" fontId="19" fillId="0" borderId="0" xfId="3" applyFont="1"/>
    <xf numFmtId="2" fontId="30" fillId="0" borderId="0" xfId="3" applyNumberFormat="1" applyFont="1"/>
    <xf numFmtId="2" fontId="24" fillId="0" borderId="0" xfId="3" applyNumberFormat="1" applyFont="1"/>
    <xf numFmtId="2" fontId="23" fillId="0" borderId="0" xfId="3" applyNumberFormat="1" applyFont="1"/>
    <xf numFmtId="0" fontId="24" fillId="0" borderId="0" xfId="3" applyFont="1"/>
    <xf numFmtId="0" fontId="21" fillId="0" borderId="0" xfId="3" applyFont="1"/>
    <xf numFmtId="0" fontId="33" fillId="0" borderId="0" xfId="3" applyFont="1"/>
    <xf numFmtId="0" fontId="34" fillId="0" borderId="0" xfId="3" applyFont="1"/>
    <xf numFmtId="0" fontId="35" fillId="0" borderId="0" xfId="3" applyFont="1"/>
    <xf numFmtId="2" fontId="18" fillId="0" borderId="0" xfId="3" applyNumberFormat="1" applyFont="1"/>
    <xf numFmtId="0" fontId="18" fillId="0" borderId="0" xfId="3" applyFont="1"/>
    <xf numFmtId="2" fontId="19" fillId="0" borderId="0" xfId="3" applyNumberFormat="1" applyFont="1"/>
    <xf numFmtId="0" fontId="0" fillId="7" borderId="0" xfId="0" applyFill="1"/>
    <xf numFmtId="0" fontId="23" fillId="7" borderId="0" xfId="0" applyFont="1" applyFill="1"/>
    <xf numFmtId="165" fontId="23" fillId="7" borderId="0" xfId="1" applyNumberFormat="1" applyFont="1" applyFill="1"/>
    <xf numFmtId="165" fontId="25" fillId="7" borderId="0" xfId="1" applyNumberFormat="1" applyFont="1" applyFill="1"/>
    <xf numFmtId="165" fontId="25" fillId="7" borderId="14" xfId="1" applyNumberFormat="1" applyFont="1" applyFill="1" applyBorder="1"/>
    <xf numFmtId="165" fontId="25" fillId="7" borderId="15" xfId="1" applyNumberFormat="1" applyFont="1" applyFill="1" applyBorder="1"/>
    <xf numFmtId="0" fontId="37" fillId="6" borderId="0" xfId="0" applyFont="1" applyFill="1"/>
    <xf numFmtId="0" fontId="36" fillId="6" borderId="0" xfId="0" applyFont="1" applyFill="1"/>
    <xf numFmtId="165" fontId="37" fillId="6" borderId="0" xfId="1" applyNumberFormat="1" applyFont="1" applyFill="1"/>
    <xf numFmtId="165" fontId="0" fillId="0" borderId="0" xfId="0" applyNumberFormat="1" applyBorder="1"/>
    <xf numFmtId="0" fontId="38" fillId="0" borderId="0" xfId="0" applyFont="1" applyAlignment="1">
      <alignment horizontal="justify"/>
    </xf>
    <xf numFmtId="0" fontId="2" fillId="0" borderId="4" xfId="0" applyFont="1" applyBorder="1" applyAlignment="1">
      <alignment horizontal="justify" vertical="top" wrapText="1"/>
    </xf>
    <xf numFmtId="0" fontId="7" fillId="0" borderId="4" xfId="0" applyFont="1" applyBorder="1" applyAlignment="1">
      <alignment horizontal="right" vertical="top" wrapText="1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 indent="1"/>
    </xf>
    <xf numFmtId="0" fontId="7" fillId="0" borderId="6" xfId="0" applyFont="1" applyBorder="1" applyAlignment="1">
      <alignment horizontal="left" wrapText="1"/>
    </xf>
    <xf numFmtId="3" fontId="7" fillId="0" borderId="6" xfId="0" applyNumberFormat="1" applyFont="1" applyBorder="1" applyAlignment="1">
      <alignment horizontal="right" wrapText="1"/>
    </xf>
    <xf numFmtId="0" fontId="2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 wrapText="1"/>
    </xf>
    <xf numFmtId="0" fontId="7" fillId="0" borderId="0" xfId="0" applyFont="1" applyBorder="1" applyAlignment="1">
      <alignment horizontal="right" vertical="top" wrapText="1"/>
    </xf>
    <xf numFmtId="3" fontId="7" fillId="0" borderId="0" xfId="0" applyNumberFormat="1" applyFont="1" applyBorder="1" applyAlignment="1">
      <alignment horizontal="right" vertical="top" wrapText="1"/>
    </xf>
    <xf numFmtId="3" fontId="7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/>
    </xf>
    <xf numFmtId="0" fontId="23" fillId="0" borderId="0" xfId="0" applyFont="1" applyFill="1"/>
    <xf numFmtId="165" fontId="4" fillId="0" borderId="4" xfId="0" applyNumberFormat="1" applyFont="1" applyBorder="1" applyAlignment="1">
      <alignment horizontal="right" wrapText="1"/>
    </xf>
    <xf numFmtId="0" fontId="28" fillId="0" borderId="12" xfId="4" applyBorder="1"/>
    <xf numFmtId="0" fontId="28" fillId="0" borderId="5" xfId="4" applyBorder="1"/>
    <xf numFmtId="0" fontId="28" fillId="0" borderId="13" xfId="4" applyBorder="1"/>
    <xf numFmtId="0" fontId="28" fillId="0" borderId="14" xfId="4" applyBorder="1"/>
    <xf numFmtId="0" fontId="28" fillId="0" borderId="0" xfId="4" applyBorder="1"/>
    <xf numFmtId="0" fontId="28" fillId="0" borderId="15" xfId="4" applyBorder="1"/>
    <xf numFmtId="0" fontId="40" fillId="0" borderId="0" xfId="4" applyFont="1" applyBorder="1"/>
    <xf numFmtId="0" fontId="41" fillId="0" borderId="0" xfId="4" applyFont="1" applyBorder="1"/>
    <xf numFmtId="0" fontId="41" fillId="0" borderId="15" xfId="4" applyFont="1" applyBorder="1"/>
    <xf numFmtId="0" fontId="42" fillId="0" borderId="0" xfId="4" applyFont="1" applyBorder="1"/>
    <xf numFmtId="14" fontId="41" fillId="0" borderId="0" xfId="4" applyNumberFormat="1" applyFont="1" applyBorder="1"/>
    <xf numFmtId="0" fontId="29" fillId="0" borderId="0" xfId="4" applyFont="1" applyBorder="1"/>
    <xf numFmtId="0" fontId="41" fillId="0" borderId="0" xfId="4" applyFont="1" applyBorder="1" applyAlignment="1">
      <alignment horizontal="center"/>
    </xf>
    <xf numFmtId="0" fontId="28" fillId="0" borderId="19" xfId="4" applyBorder="1"/>
    <xf numFmtId="0" fontId="28" fillId="0" borderId="20" xfId="4" applyBorder="1"/>
    <xf numFmtId="0" fontId="28" fillId="0" borderId="21" xfId="4" applyBorder="1"/>
    <xf numFmtId="0" fontId="28" fillId="0" borderId="22" xfId="4" applyBorder="1"/>
    <xf numFmtId="0" fontId="28" fillId="0" borderId="23" xfId="4" applyBorder="1"/>
    <xf numFmtId="14" fontId="28" fillId="0" borderId="18" xfId="4" applyNumberFormat="1" applyBorder="1"/>
    <xf numFmtId="15" fontId="28" fillId="0" borderId="18" xfId="4" applyNumberFormat="1" applyBorder="1" applyAlignment="1">
      <alignment horizontal="right" wrapText="1"/>
    </xf>
    <xf numFmtId="0" fontId="28" fillId="0" borderId="0" xfId="4" applyBorder="1" applyAlignment="1">
      <alignment horizontal="center"/>
    </xf>
    <xf numFmtId="15" fontId="28" fillId="0" borderId="18" xfId="4" applyNumberFormat="1" applyBorder="1" applyAlignment="1">
      <alignment wrapText="1"/>
    </xf>
    <xf numFmtId="0" fontId="28" fillId="0" borderId="18" xfId="4" applyBorder="1"/>
    <xf numFmtId="14" fontId="28" fillId="0" borderId="0" xfId="4" applyNumberFormat="1" applyBorder="1"/>
    <xf numFmtId="0" fontId="28" fillId="0" borderId="18" xfId="4" applyFont="1" applyBorder="1"/>
    <xf numFmtId="0" fontId="28" fillId="0" borderId="24" xfId="4" applyBorder="1"/>
    <xf numFmtId="0" fontId="28" fillId="0" borderId="25" xfId="4" applyBorder="1"/>
    <xf numFmtId="0" fontId="28" fillId="0" borderId="26" xfId="4" applyBorder="1"/>
    <xf numFmtId="0" fontId="29" fillId="0" borderId="15" xfId="4" applyFont="1" applyBorder="1" applyAlignment="1">
      <alignment horizontal="center"/>
    </xf>
    <xf numFmtId="0" fontId="28" fillId="0" borderId="16" xfId="4" applyBorder="1"/>
    <xf numFmtId="0" fontId="28" fillId="0" borderId="2" xfId="4" applyBorder="1"/>
    <xf numFmtId="0" fontId="28" fillId="0" borderId="17" xfId="4" applyBorder="1"/>
    <xf numFmtId="0" fontId="16" fillId="0" borderId="27" xfId="0" applyFont="1" applyBorder="1"/>
    <xf numFmtId="0" fontId="0" fillId="0" borderId="27" xfId="0" applyBorder="1" applyAlignment="1">
      <alignment horizontal="center"/>
    </xf>
    <xf numFmtId="0" fontId="0" fillId="0" borderId="27" xfId="0" applyBorder="1"/>
    <xf numFmtId="0" fontId="16" fillId="0" borderId="0" xfId="0" applyFont="1" applyBorder="1"/>
    <xf numFmtId="0" fontId="0" fillId="0" borderId="0" xfId="0" applyFill="1"/>
    <xf numFmtId="3" fontId="0" fillId="0" borderId="0" xfId="0" applyNumberFormat="1" applyFill="1"/>
    <xf numFmtId="0" fontId="2" fillId="0" borderId="7" xfId="0" applyFont="1" applyBorder="1" applyAlignment="1">
      <alignment horizontal="center"/>
    </xf>
    <xf numFmtId="1" fontId="0" fillId="0" borderId="0" xfId="0" applyNumberFormat="1"/>
    <xf numFmtId="0" fontId="0" fillId="0" borderId="12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165" fontId="0" fillId="0" borderId="14" xfId="1" applyNumberFormat="1" applyFont="1" applyBorder="1"/>
    <xf numFmtId="165" fontId="0" fillId="3" borderId="0" xfId="0" applyNumberFormat="1" applyFill="1" applyBorder="1"/>
    <xf numFmtId="0" fontId="0" fillId="3" borderId="0" xfId="0" applyFill="1" applyBorder="1"/>
    <xf numFmtId="165" fontId="0" fillId="3" borderId="14" xfId="1" applyNumberFormat="1" applyFont="1" applyFill="1" applyBorder="1"/>
    <xf numFmtId="165" fontId="0" fillId="4" borderId="14" xfId="1" applyNumberFormat="1" applyFont="1" applyFill="1" applyBorder="1"/>
    <xf numFmtId="165" fontId="16" fillId="0" borderId="16" xfId="1" applyNumberFormat="1" applyFont="1" applyBorder="1"/>
    <xf numFmtId="0" fontId="0" fillId="0" borderId="2" xfId="0" applyBorder="1"/>
    <xf numFmtId="0" fontId="0" fillId="0" borderId="17" xfId="0" applyBorder="1"/>
    <xf numFmtId="0" fontId="21" fillId="0" borderId="0" xfId="0" applyFont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0" fillId="0" borderId="15" xfId="1" applyNumberFormat="1" applyFont="1" applyBorder="1"/>
    <xf numFmtId="0" fontId="0" fillId="0" borderId="16" xfId="0" applyBorder="1"/>
    <xf numFmtId="0" fontId="16" fillId="3" borderId="12" xfId="0" applyFont="1" applyFill="1" applyBorder="1"/>
    <xf numFmtId="0" fontId="22" fillId="0" borderId="0" xfId="0" applyFont="1"/>
    <xf numFmtId="1" fontId="0" fillId="0" borderId="0" xfId="0" applyNumberForma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1" fontId="21" fillId="0" borderId="0" xfId="0" applyNumberFormat="1" applyFont="1"/>
    <xf numFmtId="0" fontId="46" fillId="0" borderId="0" xfId="0" applyFont="1"/>
    <xf numFmtId="2" fontId="23" fillId="0" borderId="0" xfId="0" applyNumberFormat="1" applyFont="1"/>
    <xf numFmtId="0" fontId="22" fillId="0" borderId="12" xfId="0" applyFont="1" applyBorder="1"/>
    <xf numFmtId="0" fontId="22" fillId="0" borderId="5" xfId="0" applyFont="1" applyBorder="1"/>
    <xf numFmtId="0" fontId="22" fillId="0" borderId="13" xfId="0" applyFont="1" applyBorder="1"/>
    <xf numFmtId="0" fontId="22" fillId="0" borderId="14" xfId="0" applyFont="1" applyBorder="1"/>
    <xf numFmtId="1" fontId="0" fillId="0" borderId="0" xfId="0" applyNumberFormat="1" applyBorder="1"/>
    <xf numFmtId="1" fontId="0" fillId="0" borderId="15" xfId="0" applyNumberFormat="1" applyBorder="1"/>
    <xf numFmtId="0" fontId="22" fillId="0" borderId="0" xfId="0" applyFont="1" applyBorder="1"/>
    <xf numFmtId="1" fontId="0" fillId="0" borderId="2" xfId="0" applyNumberFormat="1" applyBorder="1"/>
    <xf numFmtId="2" fontId="28" fillId="0" borderId="0" xfId="0" applyNumberFormat="1" applyFont="1"/>
    <xf numFmtId="2" fontId="29" fillId="0" borderId="0" xfId="0" applyNumberFormat="1" applyFont="1"/>
    <xf numFmtId="0" fontId="17" fillId="0" borderId="0" xfId="0" applyFont="1"/>
    <xf numFmtId="0" fontId="28" fillId="0" borderId="0" xfId="0" applyFont="1"/>
    <xf numFmtId="0" fontId="47" fillId="0" borderId="0" xfId="0" applyFont="1"/>
    <xf numFmtId="0" fontId="29" fillId="0" borderId="0" xfId="0" applyFont="1"/>
    <xf numFmtId="165" fontId="0" fillId="8" borderId="0" xfId="1" applyNumberFormat="1" applyFont="1" applyFill="1"/>
    <xf numFmtId="165" fontId="6" fillId="0" borderId="5" xfId="1" applyNumberFormat="1" applyFont="1" applyBorder="1" applyAlignment="1">
      <alignment horizontal="right" wrapText="1"/>
    </xf>
    <xf numFmtId="165" fontId="6" fillId="0" borderId="0" xfId="1" applyNumberFormat="1" applyFont="1" applyAlignment="1">
      <alignment horizontal="right" wrapText="1"/>
    </xf>
    <xf numFmtId="165" fontId="25" fillId="7" borderId="0" xfId="1" applyNumberFormat="1" applyFont="1" applyFill="1" applyBorder="1"/>
    <xf numFmtId="165" fontId="25" fillId="0" borderId="12" xfId="1" applyNumberFormat="1" applyFont="1" applyBorder="1"/>
    <xf numFmtId="165" fontId="25" fillId="0" borderId="13" xfId="1" applyNumberFormat="1" applyFont="1" applyBorder="1"/>
    <xf numFmtId="165" fontId="25" fillId="7" borderId="17" xfId="1" applyNumberFormat="1" applyFont="1" applyFill="1" applyBorder="1"/>
    <xf numFmtId="165" fontId="25" fillId="3" borderId="14" xfId="1" applyNumberFormat="1" applyFont="1" applyFill="1" applyBorder="1"/>
    <xf numFmtId="165" fontId="25" fillId="3" borderId="16" xfId="1" applyNumberFormat="1" applyFont="1" applyFill="1" applyBorder="1"/>
    <xf numFmtId="165" fontId="25" fillId="9" borderId="15" xfId="1" applyNumberFormat="1" applyFont="1" applyFill="1" applyBorder="1"/>
    <xf numFmtId="165" fontId="0" fillId="9" borderId="0" xfId="1" applyNumberFormat="1" applyFont="1" applyFill="1"/>
    <xf numFmtId="0" fontId="0" fillId="5" borderId="1" xfId="0" applyFill="1" applyBorder="1"/>
    <xf numFmtId="0" fontId="16" fillId="0" borderId="12" xfId="0" applyFont="1" applyBorder="1"/>
    <xf numFmtId="165" fontId="0" fillId="8" borderId="15" xfId="1" applyNumberFormat="1" applyFont="1" applyFill="1" applyBorder="1"/>
    <xf numFmtId="165" fontId="0" fillId="3" borderId="15" xfId="1" applyNumberFormat="1" applyFont="1" applyFill="1" applyBorder="1"/>
    <xf numFmtId="0" fontId="0" fillId="4" borderId="14" xfId="0" applyFill="1" applyBorder="1"/>
    <xf numFmtId="165" fontId="0" fillId="4" borderId="15" xfId="1" applyNumberFormat="1" applyFont="1" applyFill="1" applyBorder="1"/>
    <xf numFmtId="0" fontId="16" fillId="0" borderId="16" xfId="0" applyFont="1" applyBorder="1"/>
    <xf numFmtId="165" fontId="16" fillId="0" borderId="17" xfId="1" applyNumberFormat="1" applyFont="1" applyBorder="1"/>
    <xf numFmtId="0" fontId="28" fillId="0" borderId="0" xfId="5" applyFont="1"/>
    <xf numFmtId="0" fontId="48" fillId="0" borderId="0" xfId="5" applyFont="1"/>
    <xf numFmtId="0" fontId="49" fillId="0" borderId="0" xfId="5" applyFont="1"/>
    <xf numFmtId="0" fontId="28" fillId="0" borderId="0" xfId="5"/>
    <xf numFmtId="0" fontId="29" fillId="0" borderId="0" xfId="5" applyFont="1"/>
    <xf numFmtId="0" fontId="28" fillId="0" borderId="0" xfId="5" applyFont="1" applyBorder="1"/>
    <xf numFmtId="0" fontId="48" fillId="0" borderId="0" xfId="5" applyFont="1" applyBorder="1"/>
    <xf numFmtId="0" fontId="48" fillId="0" borderId="0" xfId="5" applyFont="1" applyBorder="1" applyAlignment="1">
      <alignment horizontal="right"/>
    </xf>
    <xf numFmtId="0" fontId="28" fillId="0" borderId="0" xfId="5" applyBorder="1"/>
    <xf numFmtId="2" fontId="51" fillId="0" borderId="0" xfId="6" applyNumberFormat="1" applyFont="1" applyBorder="1" applyAlignment="1">
      <alignment wrapText="1"/>
    </xf>
    <xf numFmtId="0" fontId="29" fillId="0" borderId="33" xfId="6" applyFont="1" applyBorder="1" applyAlignment="1">
      <alignment horizontal="left"/>
    </xf>
    <xf numFmtId="0" fontId="48" fillId="0" borderId="33" xfId="6" applyFont="1" applyBorder="1" applyAlignment="1">
      <alignment horizontal="left" wrapText="1"/>
    </xf>
    <xf numFmtId="0" fontId="29" fillId="0" borderId="33" xfId="5" applyFont="1" applyBorder="1" applyAlignment="1">
      <alignment horizontal="left"/>
    </xf>
    <xf numFmtId="0" fontId="29" fillId="0" borderId="33" xfId="5" applyFont="1" applyBorder="1"/>
    <xf numFmtId="0" fontId="28" fillId="0" borderId="33" xfId="5" applyFont="1" applyBorder="1" applyAlignment="1">
      <alignment horizontal="left"/>
    </xf>
    <xf numFmtId="0" fontId="29" fillId="0" borderId="0" xfId="6" applyFont="1" applyBorder="1" applyAlignment="1">
      <alignment horizontal="center"/>
    </xf>
    <xf numFmtId="0" fontId="29" fillId="0" borderId="0" xfId="6" applyFont="1" applyBorder="1" applyAlignment="1">
      <alignment horizontal="left" wrapText="1"/>
    </xf>
    <xf numFmtId="0" fontId="29" fillId="0" borderId="0" xfId="6" applyFont="1" applyBorder="1" applyAlignment="1">
      <alignment horizontal="left"/>
    </xf>
    <xf numFmtId="0" fontId="54" fillId="0" borderId="0" xfId="5" applyFont="1"/>
    <xf numFmtId="0" fontId="53" fillId="0" borderId="0" xfId="6" applyFont="1" applyBorder="1" applyAlignment="1">
      <alignment horizontal="left"/>
    </xf>
    <xf numFmtId="0" fontId="56" fillId="0" borderId="0" xfId="6" applyFont="1" applyBorder="1" applyAlignment="1">
      <alignment horizontal="left"/>
    </xf>
    <xf numFmtId="0" fontId="28" fillId="0" borderId="0" xfId="6" applyFont="1"/>
    <xf numFmtId="0" fontId="28" fillId="0" borderId="31" xfId="5" applyFont="1" applyBorder="1" applyAlignment="1">
      <alignment horizontal="center"/>
    </xf>
    <xf numFmtId="14" fontId="28" fillId="0" borderId="34" xfId="5" applyNumberFormat="1" applyFont="1" applyBorder="1" applyAlignment="1">
      <alignment horizontal="center"/>
    </xf>
    <xf numFmtId="0" fontId="28" fillId="0" borderId="33" xfId="5" applyBorder="1" applyAlignment="1">
      <alignment horizontal="center"/>
    </xf>
    <xf numFmtId="3" fontId="28" fillId="0" borderId="33" xfId="8" applyNumberFormat="1" applyBorder="1"/>
    <xf numFmtId="3" fontId="54" fillId="0" borderId="0" xfId="5" applyNumberFormat="1" applyFont="1" applyBorder="1"/>
    <xf numFmtId="3" fontId="28" fillId="0" borderId="0" xfId="5" applyNumberFormat="1" applyBorder="1"/>
    <xf numFmtId="0" fontId="54" fillId="0" borderId="33" xfId="5" applyFont="1" applyBorder="1"/>
    <xf numFmtId="0" fontId="28" fillId="0" borderId="33" xfId="5" applyBorder="1"/>
    <xf numFmtId="0" fontId="28" fillId="0" borderId="31" xfId="5" applyBorder="1" applyAlignment="1">
      <alignment horizontal="center"/>
    </xf>
    <xf numFmtId="0" fontId="28" fillId="0" borderId="31" xfId="5" applyBorder="1"/>
    <xf numFmtId="3" fontId="28" fillId="0" borderId="31" xfId="8" applyNumberFormat="1" applyBorder="1"/>
    <xf numFmtId="0" fontId="28" fillId="0" borderId="35" xfId="5" applyFont="1" applyBorder="1" applyAlignment="1">
      <alignment vertical="center"/>
    </xf>
    <xf numFmtId="0" fontId="49" fillId="0" borderId="36" xfId="5" applyFont="1" applyBorder="1" applyAlignment="1">
      <alignment vertical="center"/>
    </xf>
    <xf numFmtId="0" fontId="49" fillId="0" borderId="36" xfId="5" applyFont="1" applyBorder="1" applyAlignment="1">
      <alignment horizontal="center" vertical="center"/>
    </xf>
    <xf numFmtId="3" fontId="49" fillId="0" borderId="36" xfId="8" applyNumberFormat="1" applyFont="1" applyBorder="1" applyAlignment="1">
      <alignment vertical="center"/>
    </xf>
    <xf numFmtId="3" fontId="49" fillId="0" borderId="37" xfId="8" applyNumberFormat="1" applyFont="1" applyBorder="1" applyAlignment="1">
      <alignment vertical="center"/>
    </xf>
    <xf numFmtId="3" fontId="28" fillId="0" borderId="0" xfId="5" applyNumberFormat="1"/>
    <xf numFmtId="1" fontId="28" fillId="0" borderId="0" xfId="5" applyNumberFormat="1"/>
    <xf numFmtId="0" fontId="29" fillId="0" borderId="0" xfId="5" applyFont="1" applyBorder="1"/>
    <xf numFmtId="3" fontId="28" fillId="0" borderId="0" xfId="8" applyNumberFormat="1" applyFill="1" applyBorder="1"/>
    <xf numFmtId="0" fontId="28" fillId="0" borderId="33" xfId="5" applyFont="1" applyBorder="1"/>
    <xf numFmtId="0" fontId="28" fillId="0" borderId="32" xfId="5" applyFont="1" applyFill="1" applyBorder="1"/>
    <xf numFmtId="0" fontId="28" fillId="0" borderId="33" xfId="5" applyFill="1" applyBorder="1"/>
    <xf numFmtId="3" fontId="29" fillId="0" borderId="33" xfId="5" applyNumberFormat="1" applyFont="1" applyBorder="1"/>
    <xf numFmtId="0" fontId="29" fillId="0" borderId="31" xfId="5" applyFont="1" applyBorder="1"/>
    <xf numFmtId="0" fontId="28" fillId="0" borderId="28" xfId="5" applyBorder="1"/>
    <xf numFmtId="0" fontId="28" fillId="0" borderId="30" xfId="5" applyBorder="1"/>
    <xf numFmtId="0" fontId="28" fillId="0" borderId="34" xfId="5" applyBorder="1"/>
    <xf numFmtId="0" fontId="28" fillId="0" borderId="31" xfId="5" applyFont="1" applyBorder="1"/>
    <xf numFmtId="0" fontId="29" fillId="0" borderId="28" xfId="5" applyFont="1" applyBorder="1"/>
    <xf numFmtId="0" fontId="29" fillId="0" borderId="30" xfId="5" applyFont="1" applyBorder="1"/>
    <xf numFmtId="0" fontId="0" fillId="5" borderId="0" xfId="0" applyFill="1" applyBorder="1"/>
    <xf numFmtId="165" fontId="25" fillId="3" borderId="0" xfId="1" applyNumberFormat="1" applyFont="1" applyFill="1" applyBorder="1"/>
    <xf numFmtId="0" fontId="0" fillId="10" borderId="0" xfId="0" applyFill="1"/>
    <xf numFmtId="0" fontId="22" fillId="0" borderId="0" xfId="0" applyFont="1" applyFill="1" applyBorder="1"/>
    <xf numFmtId="0" fontId="0" fillId="0" borderId="0" xfId="0" applyFill="1" applyBorder="1"/>
    <xf numFmtId="165" fontId="22" fillId="0" borderId="0" xfId="1" applyNumberFormat="1" applyFont="1" applyFill="1" applyBorder="1"/>
    <xf numFmtId="0" fontId="20" fillId="0" borderId="0" xfId="0" applyFont="1" applyFill="1" applyBorder="1"/>
    <xf numFmtId="165" fontId="0" fillId="0" borderId="0" xfId="1" applyNumberFormat="1" applyFont="1" applyFill="1" applyBorder="1"/>
    <xf numFmtId="165" fontId="21" fillId="0" borderId="0" xfId="1" applyNumberFormat="1" applyFont="1" applyFill="1" applyBorder="1"/>
    <xf numFmtId="165" fontId="0" fillId="0" borderId="0" xfId="0" applyNumberFormat="1" applyFill="1" applyBorder="1"/>
    <xf numFmtId="2" fontId="28" fillId="3" borderId="0" xfId="0" applyNumberFormat="1" applyFont="1" applyFill="1"/>
    <xf numFmtId="0" fontId="17" fillId="3" borderId="0" xfId="0" applyFont="1" applyFill="1"/>
    <xf numFmtId="165" fontId="16" fillId="0" borderId="0" xfId="0" applyNumberFormat="1" applyFont="1"/>
    <xf numFmtId="165" fontId="23" fillId="0" borderId="0" xfId="1" applyNumberFormat="1" applyFont="1" applyFill="1"/>
    <xf numFmtId="165" fontId="58" fillId="13" borderId="0" xfId="0" applyNumberFormat="1" applyFont="1" applyFill="1"/>
    <xf numFmtId="165" fontId="58" fillId="13" borderId="0" xfId="1" applyNumberFormat="1" applyFont="1" applyFill="1"/>
    <xf numFmtId="0" fontId="23" fillId="3" borderId="0" xfId="0" applyFont="1" applyFill="1"/>
    <xf numFmtId="165" fontId="36" fillId="14" borderId="0" xfId="0" applyNumberFormat="1" applyFont="1" applyFill="1"/>
    <xf numFmtId="165" fontId="23" fillId="6" borderId="0" xfId="1" applyNumberFormat="1" applyFont="1" applyFill="1"/>
    <xf numFmtId="164" fontId="0" fillId="0" borderId="0" xfId="1" applyFont="1"/>
    <xf numFmtId="166" fontId="0" fillId="0" borderId="0" xfId="1" applyNumberFormat="1" applyFont="1"/>
    <xf numFmtId="0" fontId="32" fillId="0" borderId="0" xfId="0" applyFont="1"/>
    <xf numFmtId="0" fontId="31" fillId="0" borderId="0" xfId="0" applyFont="1"/>
    <xf numFmtId="2" fontId="0" fillId="0" borderId="0" xfId="0" applyNumberFormat="1"/>
    <xf numFmtId="2" fontId="45" fillId="0" borderId="0" xfId="0" applyNumberFormat="1" applyFont="1"/>
    <xf numFmtId="2" fontId="44" fillId="0" borderId="0" xfId="0" applyNumberFormat="1" applyFont="1"/>
    <xf numFmtId="0" fontId="18" fillId="0" borderId="0" xfId="0" applyFont="1"/>
    <xf numFmtId="164" fontId="2" fillId="0" borderId="0" xfId="1" applyFont="1" applyAlignment="1">
      <alignment horizontal="right" wrapText="1"/>
    </xf>
    <xf numFmtId="0" fontId="23" fillId="7" borderId="0" xfId="0" applyFont="1" applyFill="1" applyAlignment="1">
      <alignment horizontal="center"/>
    </xf>
    <xf numFmtId="165" fontId="11" fillId="0" borderId="0" xfId="1" applyNumberFormat="1" applyFont="1" applyFill="1" applyAlignment="1">
      <alignment horizontal="right" wrapText="1"/>
    </xf>
    <xf numFmtId="3" fontId="12" fillId="0" borderId="0" xfId="0" applyNumberFormat="1" applyFont="1" applyFill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0" fontId="10" fillId="0" borderId="0" xfId="0" applyFont="1" applyFill="1" applyAlignment="1">
      <alignment horizontal="right" wrapText="1"/>
    </xf>
    <xf numFmtId="0" fontId="11" fillId="0" borderId="0" xfId="0" applyFont="1" applyFill="1" applyAlignment="1">
      <alignment horizontal="right" wrapText="1"/>
    </xf>
    <xf numFmtId="0" fontId="12" fillId="0" borderId="0" xfId="0" applyFont="1" applyFill="1" applyAlignment="1">
      <alignment horizontal="right" wrapText="1"/>
    </xf>
    <xf numFmtId="165" fontId="11" fillId="0" borderId="0" xfId="1" applyNumberFormat="1" applyFont="1" applyAlignment="1">
      <alignment horizontal="right"/>
    </xf>
    <xf numFmtId="164" fontId="10" fillId="0" borderId="1" xfId="1" applyFont="1" applyFill="1" applyBorder="1" applyAlignment="1">
      <alignment horizontal="right" wrapText="1"/>
    </xf>
    <xf numFmtId="0" fontId="24" fillId="0" borderId="33" xfId="0" applyFont="1" applyBorder="1"/>
    <xf numFmtId="0" fontId="0" fillId="0" borderId="33" xfId="0" applyBorder="1"/>
    <xf numFmtId="0" fontId="23" fillId="0" borderId="33" xfId="0" applyFont="1" applyBorder="1"/>
    <xf numFmtId="0" fontId="19" fillId="0" borderId="33" xfId="0" applyFont="1" applyBorder="1"/>
    <xf numFmtId="1" fontId="19" fillId="0" borderId="33" xfId="0" applyNumberFormat="1" applyFont="1" applyBorder="1"/>
    <xf numFmtId="2" fontId="19" fillId="0" borderId="33" xfId="0" applyNumberFormat="1" applyFont="1" applyBorder="1"/>
    <xf numFmtId="0" fontId="18" fillId="0" borderId="33" xfId="0" applyFont="1" applyBorder="1"/>
    <xf numFmtId="2" fontId="18" fillId="0" borderId="33" xfId="0" applyNumberFormat="1" applyFont="1" applyBorder="1"/>
    <xf numFmtId="0" fontId="23" fillId="0" borderId="33" xfId="0" applyFont="1" applyFill="1" applyBorder="1"/>
    <xf numFmtId="0" fontId="0" fillId="0" borderId="33" xfId="0" applyFill="1" applyBorder="1"/>
    <xf numFmtId="165" fontId="0" fillId="0" borderId="33" xfId="1" applyNumberFormat="1" applyFont="1" applyFill="1" applyBorder="1"/>
    <xf numFmtId="165" fontId="23" fillId="0" borderId="33" xfId="1" applyNumberFormat="1" applyFont="1" applyFill="1" applyBorder="1"/>
    <xf numFmtId="3" fontId="0" fillId="0" borderId="33" xfId="0" applyNumberFormat="1" applyBorder="1"/>
    <xf numFmtId="0" fontId="19" fillId="3" borderId="33" xfId="0" applyFont="1" applyFill="1" applyBorder="1"/>
    <xf numFmtId="1" fontId="19" fillId="3" borderId="33" xfId="0" applyNumberFormat="1" applyFont="1" applyFill="1" applyBorder="1"/>
    <xf numFmtId="0" fontId="0" fillId="3" borderId="33" xfId="0" applyFill="1" applyBorder="1"/>
    <xf numFmtId="2" fontId="19" fillId="3" borderId="33" xfId="0" applyNumberFormat="1" applyFont="1" applyFill="1" applyBorder="1"/>
    <xf numFmtId="2" fontId="0" fillId="3" borderId="0" xfId="0" applyNumberFormat="1" applyFill="1"/>
    <xf numFmtId="0" fontId="18" fillId="3" borderId="33" xfId="0" applyFont="1" applyFill="1" applyBorder="1"/>
    <xf numFmtId="2" fontId="18" fillId="3" borderId="33" xfId="0" applyNumberFormat="1" applyFont="1" applyFill="1" applyBorder="1"/>
    <xf numFmtId="2" fontId="16" fillId="3" borderId="0" xfId="0" applyNumberFormat="1" applyFont="1" applyFill="1"/>
    <xf numFmtId="2" fontId="19" fillId="6" borderId="33" xfId="0" applyNumberFormat="1" applyFont="1" applyFill="1" applyBorder="1"/>
    <xf numFmtId="0" fontId="19" fillId="6" borderId="33" xfId="0" applyFont="1" applyFill="1" applyBorder="1"/>
    <xf numFmtId="0" fontId="0" fillId="6" borderId="33" xfId="0" applyFill="1" applyBorder="1"/>
    <xf numFmtId="2" fontId="0" fillId="6" borderId="0" xfId="0" applyNumberFormat="1" applyFill="1"/>
    <xf numFmtId="164" fontId="16" fillId="0" borderId="0" xfId="0" applyNumberFormat="1" applyFont="1"/>
    <xf numFmtId="9" fontId="0" fillId="0" borderId="0" xfId="0" applyNumberFormat="1"/>
    <xf numFmtId="0" fontId="18" fillId="0" borderId="33" xfId="0" applyFont="1" applyFill="1" applyBorder="1"/>
    <xf numFmtId="2" fontId="18" fillId="0" borderId="33" xfId="0" applyNumberFormat="1" applyFont="1" applyFill="1" applyBorder="1"/>
    <xf numFmtId="0" fontId="19" fillId="0" borderId="33" xfId="0" applyFont="1" applyFill="1" applyBorder="1"/>
    <xf numFmtId="2" fontId="16" fillId="0" borderId="0" xfId="0" applyNumberFormat="1" applyFont="1" applyFill="1"/>
    <xf numFmtId="0" fontId="24" fillId="0" borderId="33" xfId="0" applyFont="1" applyFill="1" applyBorder="1"/>
    <xf numFmtId="2" fontId="0" fillId="0" borderId="0" xfId="0" applyNumberFormat="1" applyFill="1"/>
    <xf numFmtId="9" fontId="0" fillId="0" borderId="0" xfId="0" applyNumberFormat="1" applyFill="1"/>
    <xf numFmtId="2" fontId="0" fillId="11" borderId="0" xfId="0" applyNumberFormat="1" applyFill="1"/>
    <xf numFmtId="165" fontId="16" fillId="3" borderId="0" xfId="1" applyNumberFormat="1" applyFont="1" applyFill="1"/>
    <xf numFmtId="164" fontId="16" fillId="3" borderId="0" xfId="0" applyNumberFormat="1" applyFont="1" applyFill="1"/>
    <xf numFmtId="164" fontId="16" fillId="3" borderId="0" xfId="1" applyFont="1" applyFill="1"/>
    <xf numFmtId="0" fontId="13" fillId="0" borderId="0" xfId="0" applyFont="1" applyFill="1" applyAlignment="1">
      <alignment horizontal="right" wrapText="1"/>
    </xf>
    <xf numFmtId="165" fontId="13" fillId="0" borderId="0" xfId="0" applyNumberFormat="1" applyFont="1" applyAlignment="1">
      <alignment horizontal="right"/>
    </xf>
    <xf numFmtId="0" fontId="24" fillId="0" borderId="0" xfId="0" applyFont="1" applyFill="1"/>
    <xf numFmtId="2" fontId="24" fillId="0" borderId="0" xfId="0" applyNumberFormat="1" applyFont="1" applyFill="1"/>
    <xf numFmtId="0" fontId="36" fillId="12" borderId="0" xfId="0" applyFont="1" applyFill="1"/>
    <xf numFmtId="164" fontId="0" fillId="0" borderId="0" xfId="1" applyFont="1" applyFill="1"/>
    <xf numFmtId="164" fontId="0" fillId="0" borderId="0" xfId="1" applyNumberFormat="1" applyFont="1" applyFill="1"/>
    <xf numFmtId="0" fontId="16" fillId="0" borderId="38" xfId="0" applyFont="1" applyBorder="1"/>
    <xf numFmtId="0" fontId="16" fillId="0" borderId="0" xfId="0" applyFont="1" applyFill="1"/>
    <xf numFmtId="0" fontId="0" fillId="0" borderId="0" xfId="0" applyFill="1" applyAlignment="1">
      <alignment horizontal="center"/>
    </xf>
    <xf numFmtId="0" fontId="59" fillId="0" borderId="0" xfId="0" applyFont="1"/>
    <xf numFmtId="2" fontId="59" fillId="0" borderId="0" xfId="0" applyNumberFormat="1" applyFont="1"/>
    <xf numFmtId="0" fontId="60" fillId="0" borderId="0" xfId="0" applyFont="1"/>
    <xf numFmtId="2" fontId="60" fillId="0" borderId="0" xfId="0" applyNumberFormat="1" applyFont="1"/>
    <xf numFmtId="164" fontId="13" fillId="0" borderId="0" xfId="1" applyFont="1" applyAlignment="1">
      <alignment horizontal="right" wrapText="1"/>
    </xf>
    <xf numFmtId="164" fontId="13" fillId="0" borderId="0" xfId="1" applyFont="1" applyFill="1" applyAlignment="1">
      <alignment horizontal="right" wrapText="1"/>
    </xf>
    <xf numFmtId="37" fontId="0" fillId="0" borderId="0" xfId="0" applyNumberFormat="1"/>
    <xf numFmtId="0" fontId="49" fillId="0" borderId="33" xfId="6" applyFont="1" applyBorder="1" applyAlignment="1">
      <alignment horizontal="left" wrapText="1"/>
    </xf>
    <xf numFmtId="0" fontId="29" fillId="0" borderId="33" xfId="6" applyFont="1" applyBorder="1" applyAlignment="1">
      <alignment horizontal="left" wrapText="1"/>
    </xf>
    <xf numFmtId="0" fontId="54" fillId="0" borderId="33" xfId="6" applyFont="1" applyBorder="1" applyAlignment="1">
      <alignment horizontal="left" wrapText="1"/>
    </xf>
    <xf numFmtId="0" fontId="54" fillId="0" borderId="33" xfId="7" applyFont="1" applyFill="1" applyBorder="1" applyAlignment="1">
      <alignment horizontal="left" wrapText="1"/>
    </xf>
    <xf numFmtId="0" fontId="53" fillId="0" borderId="33" xfId="6" applyFont="1" applyBorder="1" applyAlignment="1">
      <alignment horizontal="left" wrapText="1"/>
    </xf>
    <xf numFmtId="0" fontId="54" fillId="0" borderId="33" xfId="6" applyFont="1" applyBorder="1" applyAlignment="1">
      <alignment horizontal="left"/>
    </xf>
    <xf numFmtId="0" fontId="53" fillId="0" borderId="33" xfId="6" applyFont="1" applyBorder="1" applyAlignment="1">
      <alignment horizontal="left"/>
    </xf>
    <xf numFmtId="0" fontId="0" fillId="15" borderId="0" xfId="0" applyFill="1"/>
    <xf numFmtId="0" fontId="23" fillId="15" borderId="0" xfId="0" applyFont="1" applyFill="1"/>
    <xf numFmtId="164" fontId="0" fillId="15" borderId="0" xfId="1" applyFont="1" applyFill="1"/>
    <xf numFmtId="165" fontId="0" fillId="15" borderId="0" xfId="1" applyNumberFormat="1" applyFont="1" applyFill="1"/>
    <xf numFmtId="165" fontId="23" fillId="15" borderId="0" xfId="1" applyNumberFormat="1" applyFont="1" applyFill="1"/>
    <xf numFmtId="165" fontId="25" fillId="15" borderId="0" xfId="1" applyNumberFormat="1" applyFont="1" applyFill="1"/>
    <xf numFmtId="39" fontId="0" fillId="0" borderId="0" xfId="0" applyNumberFormat="1"/>
    <xf numFmtId="0" fontId="15" fillId="0" borderId="0" xfId="2" applyAlignment="1" applyProtection="1">
      <alignment horizontal="center"/>
    </xf>
    <xf numFmtId="164" fontId="61" fillId="0" borderId="0" xfId="1" applyFont="1" applyFill="1" applyAlignment="1">
      <alignment horizontal="right" vertical="center" wrapText="1"/>
    </xf>
    <xf numFmtId="0" fontId="17" fillId="0" borderId="27" xfId="0" applyFont="1" applyBorder="1"/>
    <xf numFmtId="0" fontId="62" fillId="0" borderId="0" xfId="0" applyFont="1" applyAlignment="1">
      <alignment horizontal="right" wrapText="1"/>
    </xf>
    <xf numFmtId="0" fontId="61" fillId="0" borderId="0" xfId="0" applyFont="1" applyAlignment="1">
      <alignment horizontal="right" vertical="top" wrapText="1"/>
    </xf>
    <xf numFmtId="0" fontId="61" fillId="0" borderId="0" xfId="0" applyFont="1" applyFill="1" applyAlignment="1">
      <alignment horizontal="right" wrapText="1"/>
    </xf>
    <xf numFmtId="165" fontId="61" fillId="0" borderId="0" xfId="1" applyNumberFormat="1" applyFont="1" applyFill="1" applyAlignment="1">
      <alignment horizontal="right" vertical="center" wrapText="1"/>
    </xf>
    <xf numFmtId="0" fontId="17" fillId="0" borderId="0" xfId="0" applyFont="1" applyFill="1"/>
    <xf numFmtId="165" fontId="62" fillId="0" borderId="1" xfId="1" applyNumberFormat="1" applyFont="1" applyFill="1" applyBorder="1" applyAlignment="1">
      <alignment horizontal="right" vertical="center" wrapText="1"/>
    </xf>
    <xf numFmtId="1" fontId="61" fillId="0" borderId="0" xfId="0" applyNumberFormat="1" applyFont="1" applyFill="1" applyAlignment="1">
      <alignment horizontal="right" vertical="center" wrapText="1"/>
    </xf>
    <xf numFmtId="165" fontId="61" fillId="0" borderId="2" xfId="1" applyNumberFormat="1" applyFont="1" applyFill="1" applyBorder="1" applyAlignment="1">
      <alignment horizontal="right" vertical="center" wrapText="1"/>
    </xf>
    <xf numFmtId="165" fontId="62" fillId="0" borderId="3" xfId="1" applyNumberFormat="1" applyFont="1" applyFill="1" applyBorder="1" applyAlignment="1">
      <alignment horizontal="right" vertical="center" wrapText="1"/>
    </xf>
    <xf numFmtId="1" fontId="62" fillId="0" borderId="0" xfId="0" applyNumberFormat="1" applyFont="1" applyFill="1" applyAlignment="1">
      <alignment horizontal="right" vertical="center" wrapText="1"/>
    </xf>
    <xf numFmtId="165" fontId="62" fillId="0" borderId="0" xfId="1" applyNumberFormat="1" applyFont="1" applyFill="1" applyAlignment="1">
      <alignment horizontal="right" vertical="center" wrapText="1"/>
    </xf>
    <xf numFmtId="165" fontId="17" fillId="0" borderId="0" xfId="1" applyNumberFormat="1" applyFont="1" applyFill="1" applyAlignment="1">
      <alignment vertical="center"/>
    </xf>
    <xf numFmtId="165" fontId="62" fillId="0" borderId="2" xfId="1" applyNumberFormat="1" applyFont="1" applyFill="1" applyBorder="1" applyAlignment="1">
      <alignment horizontal="right" vertical="center" wrapText="1"/>
    </xf>
    <xf numFmtId="1" fontId="61" fillId="0" borderId="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Alignment="1">
      <alignment vertical="center"/>
    </xf>
    <xf numFmtId="165" fontId="17" fillId="0" borderId="0" xfId="1" applyNumberFormat="1" applyFont="1" applyAlignment="1">
      <alignment vertical="center"/>
    </xf>
    <xf numFmtId="165" fontId="17" fillId="0" borderId="0" xfId="0" applyNumberFormat="1" applyFont="1"/>
    <xf numFmtId="164" fontId="17" fillId="0" borderId="0" xfId="0" applyNumberFormat="1" applyFont="1"/>
    <xf numFmtId="3" fontId="36" fillId="0" borderId="0" xfId="0" applyNumberFormat="1" applyFont="1"/>
    <xf numFmtId="3" fontId="28" fillId="0" borderId="33" xfId="5" applyNumberFormat="1" applyBorder="1"/>
    <xf numFmtId="165" fontId="28" fillId="0" borderId="33" xfId="1" applyNumberFormat="1" applyFont="1" applyBorder="1"/>
    <xf numFmtId="165" fontId="29" fillId="0" borderId="33" xfId="5" applyNumberFormat="1" applyFont="1" applyBorder="1"/>
    <xf numFmtId="165" fontId="29" fillId="0" borderId="33" xfId="1" applyNumberFormat="1" applyFont="1" applyBorder="1"/>
    <xf numFmtId="0" fontId="63" fillId="0" borderId="0" xfId="9" applyFont="1"/>
    <xf numFmtId="0" fontId="28" fillId="0" borderId="0" xfId="9"/>
    <xf numFmtId="0" fontId="28" fillId="0" borderId="0" xfId="9" applyFill="1"/>
    <xf numFmtId="0" fontId="29" fillId="0" borderId="19" xfId="9" applyFont="1" applyFill="1" applyBorder="1"/>
    <xf numFmtId="0" fontId="28" fillId="0" borderId="20" xfId="9" applyFill="1" applyBorder="1"/>
    <xf numFmtId="0" fontId="28" fillId="0" borderId="21" xfId="9" applyFill="1" applyBorder="1"/>
    <xf numFmtId="0" fontId="29" fillId="0" borderId="0" xfId="9" applyFont="1"/>
    <xf numFmtId="0" fontId="29" fillId="0" borderId="24" xfId="9" applyFont="1" applyFill="1" applyBorder="1"/>
    <xf numFmtId="0" fontId="28" fillId="0" borderId="25" xfId="9" applyFill="1" applyBorder="1"/>
    <xf numFmtId="0" fontId="28" fillId="0" borderId="26" xfId="9" applyFill="1" applyBorder="1"/>
    <xf numFmtId="0" fontId="64" fillId="0" borderId="0" xfId="9" applyFont="1"/>
    <xf numFmtId="0" fontId="28" fillId="0" borderId="0" xfId="9" applyFill="1" applyBorder="1"/>
    <xf numFmtId="0" fontId="29" fillId="0" borderId="19" xfId="9" applyFont="1" applyBorder="1"/>
    <xf numFmtId="0" fontId="29" fillId="0" borderId="20" xfId="9" applyFont="1" applyBorder="1"/>
    <xf numFmtId="0" fontId="28" fillId="0" borderId="21" xfId="9" applyBorder="1"/>
    <xf numFmtId="0" fontId="28" fillId="0" borderId="0" xfId="9" applyBorder="1"/>
    <xf numFmtId="0" fontId="28" fillId="0" borderId="24" xfId="9" applyFill="1" applyBorder="1"/>
    <xf numFmtId="0" fontId="65" fillId="0" borderId="19" xfId="9" applyFont="1" applyBorder="1"/>
    <xf numFmtId="0" fontId="28" fillId="0" borderId="20" xfId="9" applyBorder="1"/>
    <xf numFmtId="49" fontId="29" fillId="0" borderId="20" xfId="9" applyNumberFormat="1" applyFont="1" applyFill="1" applyBorder="1" applyAlignment="1">
      <alignment horizontal="left"/>
    </xf>
    <xf numFmtId="0" fontId="65" fillId="0" borderId="22" xfId="9" applyFont="1" applyBorder="1"/>
    <xf numFmtId="49" fontId="29" fillId="0" borderId="0" xfId="9" applyNumberFormat="1" applyFont="1" applyFill="1" applyBorder="1" applyAlignment="1">
      <alignment horizontal="left"/>
    </xf>
    <xf numFmtId="0" fontId="28" fillId="0" borderId="23" xfId="9" applyFill="1" applyBorder="1"/>
    <xf numFmtId="0" fontId="66" fillId="0" borderId="0" xfId="9" applyFont="1" applyBorder="1"/>
    <xf numFmtId="49" fontId="65" fillId="0" borderId="0" xfId="9" applyNumberFormat="1" applyFont="1" applyFill="1" applyBorder="1" applyAlignment="1">
      <alignment horizontal="left"/>
    </xf>
    <xf numFmtId="0" fontId="0" fillId="0" borderId="0" xfId="9" applyFont="1" applyFill="1" applyBorder="1"/>
    <xf numFmtId="0" fontId="66" fillId="0" borderId="0" xfId="9" applyFont="1"/>
    <xf numFmtId="0" fontId="28" fillId="0" borderId="0" xfId="9" applyFont="1" applyFill="1" applyBorder="1"/>
    <xf numFmtId="0" fontId="66" fillId="0" borderId="24" xfId="9" applyFont="1" applyBorder="1"/>
    <xf numFmtId="0" fontId="66" fillId="0" borderId="25" xfId="9" applyFont="1" applyBorder="1"/>
    <xf numFmtId="0" fontId="54" fillId="0" borderId="25" xfId="9" applyFont="1" applyBorder="1"/>
    <xf numFmtId="0" fontId="66" fillId="0" borderId="25" xfId="9" applyFont="1" applyFill="1" applyBorder="1"/>
    <xf numFmtId="0" fontId="66" fillId="0" borderId="26" xfId="9" applyFont="1" applyFill="1" applyBorder="1"/>
    <xf numFmtId="0" fontId="52" fillId="0" borderId="0" xfId="9" applyFont="1" applyBorder="1"/>
    <xf numFmtId="0" fontId="66" fillId="0" borderId="0" xfId="9" applyFont="1" applyFill="1" applyBorder="1"/>
    <xf numFmtId="0" fontId="54" fillId="0" borderId="0" xfId="9" applyFont="1" applyBorder="1"/>
    <xf numFmtId="0" fontId="67" fillId="0" borderId="0" xfId="9" applyFont="1"/>
    <xf numFmtId="0" fontId="66" fillId="0" borderId="0" xfId="9" applyFont="1" applyFill="1"/>
    <xf numFmtId="0" fontId="65" fillId="0" borderId="0" xfId="9" applyFont="1" applyFill="1"/>
    <xf numFmtId="0" fontId="29" fillId="0" borderId="28" xfId="9" applyFont="1" applyFill="1" applyBorder="1"/>
    <xf numFmtId="165" fontId="28" fillId="0" borderId="30" xfId="10" applyNumberFormat="1" applyFill="1" applyBorder="1"/>
    <xf numFmtId="0" fontId="29" fillId="0" borderId="33" xfId="9" applyFont="1" applyFill="1" applyBorder="1"/>
    <xf numFmtId="165" fontId="28" fillId="0" borderId="33" xfId="10" applyNumberFormat="1" applyFill="1" applyBorder="1"/>
    <xf numFmtId="0" fontId="65" fillId="0" borderId="0" xfId="9" applyFont="1"/>
    <xf numFmtId="0" fontId="29" fillId="0" borderId="0" xfId="9" applyFont="1" applyFill="1"/>
    <xf numFmtId="165" fontId="28" fillId="0" borderId="0" xfId="10" applyNumberFormat="1" applyFill="1"/>
    <xf numFmtId="0" fontId="48" fillId="0" borderId="0" xfId="9" applyFont="1" applyFill="1"/>
    <xf numFmtId="165" fontId="28" fillId="0" borderId="30" xfId="10" applyNumberFormat="1" applyFont="1" applyFill="1" applyBorder="1"/>
    <xf numFmtId="3" fontId="28" fillId="0" borderId="30" xfId="9" applyNumberFormat="1" applyFill="1" applyBorder="1"/>
    <xf numFmtId="165" fontId="28" fillId="0" borderId="26" xfId="10" applyNumberFormat="1" applyFill="1" applyBorder="1"/>
    <xf numFmtId="3" fontId="28" fillId="0" borderId="0" xfId="9" applyNumberFormat="1"/>
    <xf numFmtId="0" fontId="28" fillId="0" borderId="25" xfId="9" applyBorder="1"/>
    <xf numFmtId="0" fontId="29" fillId="0" borderId="39" xfId="9" applyFont="1" applyBorder="1"/>
    <xf numFmtId="0" fontId="28" fillId="0" borderId="8" xfId="9" applyFill="1" applyBorder="1"/>
    <xf numFmtId="0" fontId="28" fillId="0" borderId="9" xfId="9" applyFill="1" applyBorder="1"/>
    <xf numFmtId="0" fontId="69" fillId="0" borderId="0" xfId="9" applyFont="1"/>
    <xf numFmtId="0" fontId="69" fillId="0" borderId="0" xfId="9" applyFont="1" applyFill="1"/>
    <xf numFmtId="165" fontId="28" fillId="0" borderId="0" xfId="9" applyNumberFormat="1" applyFill="1"/>
    <xf numFmtId="165" fontId="29" fillId="0" borderId="33" xfId="6" applyNumberFormat="1" applyFont="1" applyBorder="1" applyAlignment="1">
      <alignment horizontal="left"/>
    </xf>
    <xf numFmtId="165" fontId="28" fillId="0" borderId="0" xfId="1" applyNumberFormat="1" applyFont="1"/>
    <xf numFmtId="0" fontId="53" fillId="0" borderId="33" xfId="6" applyFont="1" applyBorder="1" applyAlignment="1">
      <alignment horizontal="center"/>
    </xf>
    <xf numFmtId="0" fontId="54" fillId="0" borderId="33" xfId="6" applyFont="1" applyBorder="1" applyAlignment="1">
      <alignment horizontal="right"/>
    </xf>
    <xf numFmtId="165" fontId="54" fillId="0" borderId="33" xfId="1" applyNumberFormat="1" applyFont="1" applyBorder="1" applyAlignment="1">
      <alignment horizontal="right"/>
    </xf>
    <xf numFmtId="165" fontId="53" fillId="0" borderId="33" xfId="6" applyNumberFormat="1" applyFont="1" applyBorder="1" applyAlignment="1">
      <alignment horizontal="left"/>
    </xf>
    <xf numFmtId="165" fontId="53" fillId="0" borderId="33" xfId="1" applyNumberFormat="1" applyFont="1" applyBorder="1" applyAlignment="1">
      <alignment horizontal="right"/>
    </xf>
    <xf numFmtId="3" fontId="53" fillId="0" borderId="33" xfId="6" applyNumberFormat="1" applyFont="1" applyBorder="1" applyAlignment="1">
      <alignment horizontal="right"/>
    </xf>
    <xf numFmtId="3" fontId="54" fillId="0" borderId="33" xfId="6" applyNumberFormat="1" applyFont="1" applyBorder="1" applyAlignment="1">
      <alignment horizontal="right"/>
    </xf>
    <xf numFmtId="165" fontId="0" fillId="7" borderId="0" xfId="1" applyNumberFormat="1" applyFont="1" applyFill="1"/>
    <xf numFmtId="165" fontId="25" fillId="7" borderId="12" xfId="1" applyNumberFormat="1" applyFont="1" applyFill="1" applyBorder="1"/>
    <xf numFmtId="165" fontId="25" fillId="7" borderId="13" xfId="1" applyNumberFormat="1" applyFont="1" applyFill="1" applyBorder="1"/>
    <xf numFmtId="165" fontId="25" fillId="0" borderId="16" xfId="1" applyNumberFormat="1" applyFont="1" applyBorder="1"/>
    <xf numFmtId="165" fontId="25" fillId="0" borderId="17" xfId="1" applyNumberFormat="1" applyFont="1" applyBorder="1"/>
    <xf numFmtId="0" fontId="28" fillId="0" borderId="33" xfId="5" applyBorder="1" applyAlignment="1">
      <alignment horizontal="right"/>
    </xf>
    <xf numFmtId="0" fontId="29" fillId="0" borderId="30" xfId="5" applyFont="1" applyBorder="1" applyAlignment="1">
      <alignment horizontal="right"/>
    </xf>
    <xf numFmtId="165" fontId="28" fillId="0" borderId="33" xfId="1" applyNumberFormat="1" applyFont="1" applyBorder="1" applyAlignment="1">
      <alignment horizontal="left"/>
    </xf>
    <xf numFmtId="0" fontId="72" fillId="0" borderId="0" xfId="0" applyFont="1"/>
    <xf numFmtId="0" fontId="29" fillId="0" borderId="33" xfId="6" applyFont="1" applyBorder="1" applyAlignment="1">
      <alignment horizontal="center"/>
    </xf>
    <xf numFmtId="2" fontId="52" fillId="0" borderId="33" xfId="6" applyNumberFormat="1" applyFont="1" applyBorder="1" applyAlignment="1">
      <alignment horizontal="center" wrapText="1"/>
    </xf>
    <xf numFmtId="0" fontId="53" fillId="0" borderId="33" xfId="6" applyFont="1" applyBorder="1" applyAlignment="1">
      <alignment horizontal="center" vertical="center" wrapText="1"/>
    </xf>
    <xf numFmtId="0" fontId="28" fillId="0" borderId="33" xfId="6" applyFont="1" applyBorder="1" applyAlignment="1">
      <alignment horizontal="center"/>
    </xf>
    <xf numFmtId="0" fontId="28" fillId="0" borderId="33" xfId="6" applyFont="1" applyBorder="1" applyAlignment="1">
      <alignment horizontal="left" wrapText="1"/>
    </xf>
    <xf numFmtId="0" fontId="29" fillId="0" borderId="33" xfId="6" applyFont="1" applyBorder="1" applyAlignment="1">
      <alignment horizontal="center" vertical="center"/>
    </xf>
    <xf numFmtId="0" fontId="28" fillId="0" borderId="33" xfId="6" applyFont="1" applyBorder="1" applyAlignment="1">
      <alignment horizontal="center" wrapText="1"/>
    </xf>
    <xf numFmtId="0" fontId="54" fillId="0" borderId="33" xfId="6" applyFont="1" applyBorder="1"/>
    <xf numFmtId="0" fontId="54" fillId="0" borderId="33" xfId="6" applyFont="1" applyBorder="1" applyAlignment="1">
      <alignment horizontal="center"/>
    </xf>
    <xf numFmtId="0" fontId="54" fillId="0" borderId="33" xfId="6" applyFont="1" applyFill="1" applyBorder="1" applyAlignment="1">
      <alignment horizontal="center"/>
    </xf>
    <xf numFmtId="0" fontId="53" fillId="0" borderId="33" xfId="5" applyFont="1" applyBorder="1"/>
    <xf numFmtId="0" fontId="53" fillId="0" borderId="33" xfId="6" applyFont="1" applyBorder="1"/>
    <xf numFmtId="0" fontId="53" fillId="0" borderId="33" xfId="6" applyFont="1" applyBorder="1" applyAlignment="1">
      <alignment horizontal="right"/>
    </xf>
    <xf numFmtId="0" fontId="0" fillId="0" borderId="0" xfId="0" applyAlignment="1">
      <alignment horizontal="right"/>
    </xf>
    <xf numFmtId="165" fontId="17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165" fontId="28" fillId="0" borderId="33" xfId="1" applyNumberFormat="1" applyFont="1" applyBorder="1" applyAlignment="1">
      <alignment horizontal="center"/>
    </xf>
    <xf numFmtId="165" fontId="28" fillId="0" borderId="31" xfId="1" applyNumberFormat="1" applyFont="1" applyBorder="1" applyAlignment="1">
      <alignment horizontal="center"/>
    </xf>
    <xf numFmtId="165" fontId="28" fillId="0" borderId="31" xfId="1" applyNumberFormat="1" applyFont="1" applyBorder="1"/>
    <xf numFmtId="164" fontId="49" fillId="0" borderId="36" xfId="1" applyFont="1" applyBorder="1" applyAlignment="1">
      <alignment vertical="center"/>
    </xf>
    <xf numFmtId="164" fontId="7" fillId="0" borderId="1" xfId="1" applyFont="1" applyBorder="1" applyAlignment="1">
      <alignment horizontal="right"/>
    </xf>
    <xf numFmtId="0" fontId="4" fillId="2" borderId="4" xfId="0" applyFont="1" applyFill="1" applyBorder="1" applyAlignment="1">
      <alignment horizontal="right" vertical="top" wrapText="1"/>
    </xf>
    <xf numFmtId="0" fontId="29" fillId="0" borderId="28" xfId="9" applyFont="1" applyBorder="1" applyAlignment="1">
      <alignment horizontal="center"/>
    </xf>
    <xf numFmtId="0" fontId="29" fillId="0" borderId="29" xfId="9" applyFont="1" applyBorder="1" applyAlignment="1">
      <alignment horizontal="center"/>
    </xf>
    <xf numFmtId="0" fontId="29" fillId="0" borderId="30" xfId="9" applyFont="1" applyBorder="1" applyAlignment="1">
      <alignment horizontal="center"/>
    </xf>
    <xf numFmtId="0" fontId="40" fillId="0" borderId="0" xfId="5" applyFont="1" applyAlignment="1">
      <alignment horizontal="center"/>
    </xf>
    <xf numFmtId="0" fontId="28" fillId="0" borderId="31" xfId="5" applyFont="1" applyBorder="1" applyAlignment="1">
      <alignment horizontal="center" vertical="center"/>
    </xf>
    <xf numFmtId="0" fontId="28" fillId="0" borderId="34" xfId="5" applyFont="1" applyBorder="1" applyAlignment="1">
      <alignment horizontal="center" vertical="center"/>
    </xf>
    <xf numFmtId="0" fontId="57" fillId="0" borderId="31" xfId="5" applyFont="1" applyBorder="1" applyAlignment="1">
      <alignment horizontal="center" vertical="center"/>
    </xf>
    <xf numFmtId="0" fontId="57" fillId="0" borderId="34" xfId="5" applyFont="1" applyBorder="1" applyAlignment="1">
      <alignment horizontal="center" vertical="center"/>
    </xf>
    <xf numFmtId="0" fontId="56" fillId="0" borderId="0" xfId="5" applyFont="1" applyAlignment="1">
      <alignment horizontal="center"/>
    </xf>
    <xf numFmtId="0" fontId="28" fillId="0" borderId="0" xfId="5" applyAlignment="1">
      <alignment horizontal="center"/>
    </xf>
    <xf numFmtId="0" fontId="28" fillId="0" borderId="33" xfId="6" applyFont="1" applyBorder="1" applyAlignment="1">
      <alignment horizontal="left" wrapText="1"/>
    </xf>
    <xf numFmtId="2" fontId="29" fillId="0" borderId="33" xfId="6" applyNumberFormat="1" applyFont="1" applyBorder="1" applyAlignment="1">
      <alignment horizontal="center" wrapText="1"/>
    </xf>
    <xf numFmtId="2" fontId="52" fillId="0" borderId="33" xfId="6" applyNumberFormat="1" applyFont="1" applyBorder="1" applyAlignment="1">
      <alignment horizontal="center" wrapText="1"/>
    </xf>
    <xf numFmtId="0" fontId="29" fillId="0" borderId="33" xfId="6" applyFont="1" applyBorder="1" applyAlignment="1">
      <alignment horizontal="left" wrapText="1"/>
    </xf>
    <xf numFmtId="0" fontId="28" fillId="0" borderId="33" xfId="6" applyFont="1" applyBorder="1" applyAlignment="1">
      <alignment horizontal="center" wrapText="1"/>
    </xf>
    <xf numFmtId="0" fontId="49" fillId="0" borderId="33" xfId="6" applyFont="1" applyBorder="1" applyAlignment="1">
      <alignment horizontal="left" wrapText="1"/>
    </xf>
    <xf numFmtId="0" fontId="54" fillId="0" borderId="33" xfId="6" applyFont="1" applyBorder="1" applyAlignment="1">
      <alignment horizontal="left" wrapText="1"/>
    </xf>
    <xf numFmtId="0" fontId="52" fillId="0" borderId="33" xfId="6" applyFont="1" applyBorder="1" applyAlignment="1">
      <alignment horizontal="center" wrapText="1"/>
    </xf>
    <xf numFmtId="0" fontId="53" fillId="0" borderId="33" xfId="6" applyFont="1" applyBorder="1" applyAlignment="1">
      <alignment horizontal="left" wrapText="1"/>
    </xf>
    <xf numFmtId="0" fontId="54" fillId="0" borderId="33" xfId="7" applyFont="1" applyFill="1" applyBorder="1" applyAlignment="1">
      <alignment horizontal="left" wrapText="1"/>
    </xf>
    <xf numFmtId="0" fontId="53" fillId="0" borderId="33" xfId="7" applyFont="1" applyFill="1" applyBorder="1" applyAlignment="1">
      <alignment horizontal="left" wrapText="1"/>
    </xf>
    <xf numFmtId="0" fontId="54" fillId="0" borderId="33" xfId="6" applyFont="1" applyBorder="1" applyAlignment="1">
      <alignment horizontal="left"/>
    </xf>
    <xf numFmtId="0" fontId="53" fillId="0" borderId="33" xfId="6" applyFont="1" applyBorder="1" applyAlignment="1">
      <alignment horizontal="left"/>
    </xf>
    <xf numFmtId="0" fontId="55" fillId="0" borderId="33" xfId="7" applyFont="1" applyFill="1" applyBorder="1" applyAlignment="1">
      <alignment horizontal="left" wrapText="1"/>
    </xf>
    <xf numFmtId="0" fontId="55" fillId="0" borderId="33" xfId="6" applyFont="1" applyBorder="1" applyAlignment="1">
      <alignment horizontal="left"/>
    </xf>
  </cellXfs>
  <cellStyles count="17">
    <cellStyle name="Comma" xfId="1" builtinId="3"/>
    <cellStyle name="Comma 2" xfId="11"/>
    <cellStyle name="Comma 3" xfId="12"/>
    <cellStyle name="Comma 4" xfId="13"/>
    <cellStyle name="Comma 5" xfId="14"/>
    <cellStyle name="Comma_21.Aktivet Afatgjata Materiale  09" xfId="8"/>
    <cellStyle name="Comma_Formularet e bilancit kompletuar" xfId="10"/>
    <cellStyle name="Hyperlink" xfId="2" builtinId="8"/>
    <cellStyle name="Normal" xfId="0" builtinId="0"/>
    <cellStyle name="Normal 2" xfId="3"/>
    <cellStyle name="Normal 3" xfId="5"/>
    <cellStyle name="Normal_asn_2009 Propozimet" xfId="6"/>
    <cellStyle name="Normal_Bilanc2008" xfId="4"/>
    <cellStyle name="Normal_Formularet e bilancit kompletuar" xfId="9"/>
    <cellStyle name="Normal_Sheet2" xfId="7"/>
    <cellStyle name="Normale_BILANCIO FKT 1997" xfId="15"/>
    <cellStyle name="Normalny_AKTYWA" xfId="16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6"/>
  <sheetViews>
    <sheetView workbookViewId="0">
      <selection sqref="A1:XFD1048576"/>
    </sheetView>
  </sheetViews>
  <sheetFormatPr defaultRowHeight="12.75"/>
  <cols>
    <col min="1" max="16384" width="9.140625" style="147"/>
  </cols>
  <sheetData>
    <row r="1" spans="2:11">
      <c r="C1" s="159"/>
      <c r="J1" s="159"/>
      <c r="K1" s="159"/>
    </row>
    <row r="2" spans="2:11">
      <c r="B2" s="159"/>
      <c r="C2" s="149"/>
      <c r="J2" s="160"/>
    </row>
    <row r="3" spans="2:11">
      <c r="B3" s="159"/>
      <c r="C3" s="149"/>
      <c r="J3" s="149"/>
    </row>
    <row r="4" spans="2:11">
      <c r="B4" s="159"/>
      <c r="C4" s="149"/>
    </row>
    <row r="5" spans="2:11">
      <c r="B5" s="159"/>
      <c r="C5" s="149"/>
    </row>
    <row r="6" spans="2:11">
      <c r="B6" s="159"/>
      <c r="C6" s="149"/>
      <c r="J6" s="160"/>
    </row>
    <row r="7" spans="2:11">
      <c r="C7" s="159"/>
      <c r="J7" s="158"/>
    </row>
    <row r="8" spans="2:11">
      <c r="B8" s="159"/>
      <c r="C8" s="149"/>
    </row>
    <row r="9" spans="2:11">
      <c r="B9" s="159"/>
      <c r="C9" s="149"/>
    </row>
    <row r="10" spans="2:11">
      <c r="B10" s="159"/>
      <c r="C10" s="149"/>
      <c r="J10" s="160"/>
    </row>
    <row r="11" spans="2:11">
      <c r="B11" s="159"/>
      <c r="C11" s="149"/>
    </row>
    <row r="12" spans="2:11">
      <c r="B12" s="159"/>
      <c r="C12" s="149"/>
      <c r="J12" s="149"/>
    </row>
    <row r="13" spans="2:11">
      <c r="B13" s="159"/>
      <c r="C13" s="149"/>
      <c r="J13" s="158"/>
    </row>
    <row r="15" spans="2:11">
      <c r="B15" s="159"/>
      <c r="C15" s="149"/>
    </row>
    <row r="16" spans="2:11">
      <c r="B16" s="159"/>
      <c r="C16" s="149"/>
    </row>
    <row r="17" spans="2:11">
      <c r="B17" s="159"/>
      <c r="C17" s="149"/>
    </row>
    <row r="18" spans="2:11">
      <c r="B18" s="159"/>
      <c r="C18" s="149"/>
    </row>
    <row r="19" spans="2:11">
      <c r="C19" s="159"/>
    </row>
    <row r="20" spans="2:11">
      <c r="C20" s="159"/>
      <c r="J20" s="158"/>
      <c r="K20" s="158"/>
    </row>
    <row r="21" spans="2:11">
      <c r="B21" s="159"/>
      <c r="C21" s="149"/>
      <c r="J21" s="149"/>
    </row>
    <row r="22" spans="2:11">
      <c r="C22" s="159"/>
      <c r="J22" s="159"/>
    </row>
    <row r="23" spans="2:11">
      <c r="J23" s="159"/>
      <c r="K23" s="158"/>
    </row>
    <row r="24" spans="2:11">
      <c r="J24" s="159"/>
      <c r="K24" s="158"/>
    </row>
    <row r="25" spans="2:11">
      <c r="I25" s="149"/>
      <c r="J25" s="159"/>
      <c r="K25" s="158"/>
    </row>
    <row r="26" spans="2:11">
      <c r="B26" s="157"/>
    </row>
  </sheetData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57"/>
  <sheetViews>
    <sheetView topLeftCell="A4" workbookViewId="0">
      <selection activeCell="F25" sqref="F25"/>
    </sheetView>
  </sheetViews>
  <sheetFormatPr defaultRowHeight="15"/>
  <cols>
    <col min="2" max="2" width="6.7109375" customWidth="1"/>
    <col min="3" max="3" width="49.140625" customWidth="1"/>
  </cols>
  <sheetData>
    <row r="1" spans="1:4">
      <c r="B1" s="167" t="s">
        <v>205</v>
      </c>
      <c r="C1" s="167" t="s">
        <v>204</v>
      </c>
    </row>
    <row r="2" spans="1:4">
      <c r="B2" s="130" t="s">
        <v>279</v>
      </c>
      <c r="C2" s="130" t="s">
        <v>245</v>
      </c>
    </row>
    <row r="3" spans="1:4">
      <c r="B3" s="130" t="s">
        <v>278</v>
      </c>
      <c r="C3" s="130" t="s">
        <v>244</v>
      </c>
    </row>
    <row r="4" spans="1:4">
      <c r="A4" s="161"/>
      <c r="B4" s="162" t="s">
        <v>267</v>
      </c>
      <c r="C4" s="162" t="s">
        <v>243</v>
      </c>
      <c r="D4" s="161"/>
    </row>
    <row r="5" spans="1:4">
      <c r="A5" s="161"/>
      <c r="B5" s="162" t="s">
        <v>266</v>
      </c>
      <c r="C5" s="162" t="s">
        <v>242</v>
      </c>
      <c r="D5" s="161"/>
    </row>
    <row r="6" spans="1:4">
      <c r="A6" s="161"/>
      <c r="B6" s="162" t="s">
        <v>265</v>
      </c>
      <c r="C6" s="162" t="s">
        <v>241</v>
      </c>
      <c r="D6" s="161"/>
    </row>
    <row r="7" spans="1:4">
      <c r="A7" s="161"/>
      <c r="B7" s="162" t="s">
        <v>277</v>
      </c>
      <c r="C7" s="162" t="s">
        <v>240</v>
      </c>
      <c r="D7" s="161"/>
    </row>
    <row r="8" spans="1:4">
      <c r="A8" s="161"/>
      <c r="B8" s="162" t="s">
        <v>276</v>
      </c>
      <c r="C8" s="162" t="s">
        <v>275</v>
      </c>
      <c r="D8" s="161"/>
    </row>
    <row r="9" spans="1:4">
      <c r="B9" s="130" t="s">
        <v>264</v>
      </c>
      <c r="C9" s="130" t="s">
        <v>263</v>
      </c>
    </row>
    <row r="10" spans="1:4">
      <c r="A10" s="161"/>
      <c r="B10" s="162" t="s">
        <v>274</v>
      </c>
      <c r="C10" s="162" t="s">
        <v>239</v>
      </c>
      <c r="D10" s="161"/>
    </row>
    <row r="11" spans="1:4">
      <c r="B11" s="130" t="s">
        <v>262</v>
      </c>
      <c r="C11" s="130" t="s">
        <v>238</v>
      </c>
    </row>
    <row r="12" spans="1:4">
      <c r="A12" s="161"/>
      <c r="B12" s="162" t="s">
        <v>261</v>
      </c>
      <c r="C12" s="162" t="s">
        <v>237</v>
      </c>
      <c r="D12" s="161"/>
    </row>
    <row r="13" spans="1:4">
      <c r="B13" s="130" t="s">
        <v>273</v>
      </c>
      <c r="C13" s="130" t="s">
        <v>236</v>
      </c>
    </row>
    <row r="14" spans="1:4">
      <c r="A14" s="161"/>
      <c r="B14" s="162" t="s">
        <v>272</v>
      </c>
      <c r="C14" s="162" t="s">
        <v>235</v>
      </c>
      <c r="D14" s="161"/>
    </row>
    <row r="15" spans="1:4">
      <c r="B15" s="130" t="s">
        <v>260</v>
      </c>
      <c r="C15" s="130" t="s">
        <v>234</v>
      </c>
    </row>
    <row r="16" spans="1:4">
      <c r="A16" s="161"/>
      <c r="B16" s="162" t="s">
        <v>259</v>
      </c>
      <c r="C16" s="162" t="s">
        <v>233</v>
      </c>
      <c r="D16" s="161"/>
    </row>
    <row r="17" spans="1:4">
      <c r="B17" s="130" t="s">
        <v>258</v>
      </c>
      <c r="C17" s="130" t="s">
        <v>232</v>
      </c>
    </row>
    <row r="18" spans="1:4">
      <c r="A18" s="161"/>
      <c r="B18" s="162" t="s">
        <v>257</v>
      </c>
      <c r="C18" s="162" t="s">
        <v>231</v>
      </c>
      <c r="D18" s="161"/>
    </row>
    <row r="19" spans="1:4">
      <c r="B19" s="130" t="s">
        <v>256</v>
      </c>
      <c r="C19" s="130" t="s">
        <v>230</v>
      </c>
    </row>
    <row r="20" spans="1:4">
      <c r="A20" s="161"/>
      <c r="B20" s="162" t="s">
        <v>255</v>
      </c>
      <c r="C20" s="162" t="s">
        <v>229</v>
      </c>
      <c r="D20" s="161"/>
    </row>
    <row r="21" spans="1:4">
      <c r="B21" s="130" t="s">
        <v>254</v>
      </c>
      <c r="C21" s="130" t="s">
        <v>228</v>
      </c>
    </row>
    <row r="22" spans="1:4">
      <c r="A22" s="161"/>
      <c r="B22" s="162" t="s">
        <v>271</v>
      </c>
      <c r="C22" s="162" t="s">
        <v>227</v>
      </c>
      <c r="D22" s="161"/>
    </row>
    <row r="23" spans="1:4">
      <c r="B23" s="130" t="s">
        <v>253</v>
      </c>
      <c r="C23" s="130" t="s">
        <v>226</v>
      </c>
    </row>
    <row r="24" spans="1:4">
      <c r="B24" s="130" t="s">
        <v>252</v>
      </c>
      <c r="C24" s="130" t="s">
        <v>251</v>
      </c>
    </row>
    <row r="25" spans="1:4">
      <c r="B25" s="130" t="s">
        <v>250</v>
      </c>
      <c r="C25" s="130" t="s">
        <v>249</v>
      </c>
    </row>
    <row r="26" spans="1:4">
      <c r="B26" s="130" t="s">
        <v>248</v>
      </c>
      <c r="C26" s="130" t="s">
        <v>247</v>
      </c>
    </row>
    <row r="27" spans="1:4">
      <c r="B27" s="130" t="s">
        <v>246</v>
      </c>
      <c r="C27" s="130" t="s">
        <v>225</v>
      </c>
    </row>
    <row r="28" spans="1:4">
      <c r="B28" s="130" t="s">
        <v>270</v>
      </c>
      <c r="C28" s="130" t="s">
        <v>269</v>
      </c>
    </row>
    <row r="29" spans="1:4">
      <c r="B29" s="130" t="s">
        <v>281</v>
      </c>
      <c r="C29" s="130" t="s">
        <v>172</v>
      </c>
    </row>
    <row r="30" spans="1:4">
      <c r="A30" s="161" t="s">
        <v>324</v>
      </c>
      <c r="B30" s="162" t="s">
        <v>282</v>
      </c>
      <c r="C30" s="162" t="s">
        <v>283</v>
      </c>
      <c r="D30" s="161" t="s">
        <v>324</v>
      </c>
    </row>
    <row r="31" spans="1:4">
      <c r="A31" s="161" t="s">
        <v>322</v>
      </c>
      <c r="B31" s="162" t="s">
        <v>284</v>
      </c>
      <c r="C31" s="162" t="s">
        <v>285</v>
      </c>
      <c r="D31" s="161" t="s">
        <v>322</v>
      </c>
    </row>
    <row r="32" spans="1:4">
      <c r="A32" t="s">
        <v>317</v>
      </c>
      <c r="B32" s="130" t="s">
        <v>286</v>
      </c>
      <c r="C32" s="130" t="s">
        <v>224</v>
      </c>
      <c r="D32" t="s">
        <v>317</v>
      </c>
    </row>
    <row r="33" spans="1:4">
      <c r="A33" s="161" t="s">
        <v>315</v>
      </c>
      <c r="B33" s="162" t="s">
        <v>287</v>
      </c>
      <c r="C33" s="162" t="s">
        <v>223</v>
      </c>
      <c r="D33" s="161" t="s">
        <v>315</v>
      </c>
    </row>
    <row r="34" spans="1:4">
      <c r="A34" s="161" t="s">
        <v>315</v>
      </c>
      <c r="B34" s="162" t="s">
        <v>288</v>
      </c>
      <c r="C34" s="162" t="s">
        <v>222</v>
      </c>
      <c r="D34" s="161" t="s">
        <v>315</v>
      </c>
    </row>
    <row r="35" spans="1:4">
      <c r="A35" t="s">
        <v>319</v>
      </c>
      <c r="B35" s="130" t="s">
        <v>289</v>
      </c>
      <c r="C35" s="130" t="s">
        <v>174</v>
      </c>
      <c r="D35" t="s">
        <v>319</v>
      </c>
    </row>
    <row r="36" spans="1:4">
      <c r="A36" s="161" t="s">
        <v>315</v>
      </c>
      <c r="B36" s="162" t="s">
        <v>290</v>
      </c>
      <c r="C36" s="162" t="s">
        <v>175</v>
      </c>
      <c r="D36" s="161" t="s">
        <v>315</v>
      </c>
    </row>
    <row r="37" spans="1:4">
      <c r="A37" s="161" t="s">
        <v>315</v>
      </c>
      <c r="B37" s="162" t="s">
        <v>291</v>
      </c>
      <c r="C37" s="162" t="s">
        <v>221</v>
      </c>
      <c r="D37" s="161" t="s">
        <v>315</v>
      </c>
    </row>
    <row r="38" spans="1:4">
      <c r="A38" s="161" t="s">
        <v>315</v>
      </c>
      <c r="B38" s="162" t="s">
        <v>292</v>
      </c>
      <c r="C38" s="162" t="s">
        <v>220</v>
      </c>
      <c r="D38" s="161" t="s">
        <v>315</v>
      </c>
    </row>
    <row r="39" spans="1:4">
      <c r="A39" s="161" t="s">
        <v>315</v>
      </c>
      <c r="B39" s="162" t="s">
        <v>293</v>
      </c>
      <c r="C39" s="162" t="s">
        <v>219</v>
      </c>
      <c r="D39" s="161" t="s">
        <v>315</v>
      </c>
    </row>
    <row r="40" spans="1:4">
      <c r="A40" s="161" t="s">
        <v>315</v>
      </c>
      <c r="B40" s="162" t="s">
        <v>294</v>
      </c>
      <c r="C40" s="162" t="s">
        <v>218</v>
      </c>
      <c r="D40" s="161" t="s">
        <v>315</v>
      </c>
    </row>
    <row r="41" spans="1:4">
      <c r="A41" s="161" t="s">
        <v>315</v>
      </c>
      <c r="B41" s="162" t="s">
        <v>295</v>
      </c>
      <c r="C41" s="162" t="s">
        <v>176</v>
      </c>
      <c r="D41" s="161" t="s">
        <v>315</v>
      </c>
    </row>
    <row r="42" spans="1:4">
      <c r="A42" s="161" t="s">
        <v>315</v>
      </c>
      <c r="B42" s="162" t="s">
        <v>296</v>
      </c>
      <c r="C42" s="162" t="s">
        <v>177</v>
      </c>
      <c r="D42" s="161" t="s">
        <v>315</v>
      </c>
    </row>
    <row r="43" spans="1:4">
      <c r="A43" s="161" t="s">
        <v>315</v>
      </c>
      <c r="B43" s="162" t="s">
        <v>297</v>
      </c>
      <c r="C43" s="162" t="s">
        <v>217</v>
      </c>
      <c r="D43" s="161" t="s">
        <v>315</v>
      </c>
    </row>
    <row r="44" spans="1:4">
      <c r="A44" t="s">
        <v>318</v>
      </c>
      <c r="B44" s="130" t="s">
        <v>298</v>
      </c>
      <c r="C44" s="130" t="s">
        <v>216</v>
      </c>
      <c r="D44" t="s">
        <v>318</v>
      </c>
    </row>
    <row r="45" spans="1:4">
      <c r="A45" t="s">
        <v>318</v>
      </c>
      <c r="B45" s="130" t="s">
        <v>299</v>
      </c>
      <c r="C45" s="130" t="s">
        <v>215</v>
      </c>
      <c r="D45" t="s">
        <v>318</v>
      </c>
    </row>
    <row r="46" spans="1:4">
      <c r="A46" s="161" t="s">
        <v>316</v>
      </c>
      <c r="B46" s="162" t="s">
        <v>300</v>
      </c>
      <c r="C46" s="162" t="s">
        <v>214</v>
      </c>
      <c r="D46" s="161" t="s">
        <v>316</v>
      </c>
    </row>
    <row r="47" spans="1:4">
      <c r="A47" t="s">
        <v>323</v>
      </c>
      <c r="B47" s="130" t="s">
        <v>301</v>
      </c>
      <c r="C47" s="130" t="s">
        <v>213</v>
      </c>
      <c r="D47" t="s">
        <v>323</v>
      </c>
    </row>
    <row r="48" spans="1:4">
      <c r="A48" t="s">
        <v>323</v>
      </c>
      <c r="B48" s="130" t="s">
        <v>302</v>
      </c>
      <c r="C48" s="130" t="s">
        <v>212</v>
      </c>
      <c r="D48" t="s">
        <v>323</v>
      </c>
    </row>
    <row r="49" spans="1:4">
      <c r="A49" s="161" t="s">
        <v>320</v>
      </c>
      <c r="B49" s="162" t="s">
        <v>303</v>
      </c>
      <c r="C49" s="162" t="s">
        <v>211</v>
      </c>
      <c r="D49" s="161" t="s">
        <v>320</v>
      </c>
    </row>
    <row r="50" spans="1:4">
      <c r="A50" s="161" t="s">
        <v>321</v>
      </c>
      <c r="B50" s="162" t="s">
        <v>304</v>
      </c>
      <c r="C50" s="162" t="s">
        <v>210</v>
      </c>
      <c r="D50" s="161" t="s">
        <v>321</v>
      </c>
    </row>
    <row r="51" spans="1:4">
      <c r="B51" s="130" t="s">
        <v>305</v>
      </c>
      <c r="C51" s="130" t="s">
        <v>209</v>
      </c>
    </row>
    <row r="52" spans="1:4">
      <c r="A52" t="s">
        <v>327</v>
      </c>
      <c r="B52" s="130" t="s">
        <v>306</v>
      </c>
      <c r="C52" s="130" t="s">
        <v>208</v>
      </c>
      <c r="D52" t="s">
        <v>327</v>
      </c>
    </row>
    <row r="53" spans="1:4">
      <c r="A53" s="161" t="s">
        <v>325</v>
      </c>
      <c r="B53" s="162" t="s">
        <v>307</v>
      </c>
      <c r="C53" s="162" t="s">
        <v>308</v>
      </c>
      <c r="D53" s="161" t="s">
        <v>325</v>
      </c>
    </row>
    <row r="54" spans="1:4">
      <c r="A54" s="161" t="s">
        <v>325</v>
      </c>
      <c r="B54" s="162" t="s">
        <v>309</v>
      </c>
      <c r="C54" s="162" t="s">
        <v>207</v>
      </c>
      <c r="D54" s="161" t="s">
        <v>325</v>
      </c>
    </row>
    <row r="55" spans="1:4">
      <c r="A55" t="s">
        <v>326</v>
      </c>
      <c r="B55" s="130" t="s">
        <v>310</v>
      </c>
      <c r="C55" s="130" t="s">
        <v>206</v>
      </c>
      <c r="D55" t="s">
        <v>326</v>
      </c>
    </row>
    <row r="56" spans="1:4">
      <c r="B56" s="130" t="s">
        <v>311</v>
      </c>
      <c r="C56" s="130" t="s">
        <v>312</v>
      </c>
    </row>
    <row r="57" spans="1:4">
      <c r="B57" s="130"/>
      <c r="C57" s="13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K58"/>
  <sheetViews>
    <sheetView topLeftCell="A28" workbookViewId="0">
      <selection activeCell="B46" sqref="B46"/>
    </sheetView>
  </sheetViews>
  <sheetFormatPr defaultRowHeight="15"/>
  <cols>
    <col min="8" max="8" width="11.140625" customWidth="1"/>
    <col min="10" max="10" width="11.140625" customWidth="1"/>
    <col min="11" max="11" width="11.42578125" customWidth="1"/>
  </cols>
  <sheetData>
    <row r="1" spans="1:11">
      <c r="A1" s="424" t="s">
        <v>205</v>
      </c>
      <c r="C1" s="424" t="s">
        <v>204</v>
      </c>
      <c r="G1" s="424" t="s">
        <v>203</v>
      </c>
      <c r="H1" s="424" t="s">
        <v>202</v>
      </c>
      <c r="J1" s="424" t="s">
        <v>201</v>
      </c>
      <c r="K1" s="424" t="s">
        <v>200</v>
      </c>
    </row>
    <row r="2" spans="1:11">
      <c r="A2" s="424" t="s">
        <v>279</v>
      </c>
      <c r="C2" s="424" t="s">
        <v>245</v>
      </c>
      <c r="J2" s="425">
        <v>100000</v>
      </c>
      <c r="K2" s="425">
        <v>-100000</v>
      </c>
    </row>
    <row r="3" spans="1:11">
      <c r="A3" s="424" t="s">
        <v>278</v>
      </c>
      <c r="C3" s="424" t="s">
        <v>244</v>
      </c>
      <c r="J3" s="425">
        <v>4662271</v>
      </c>
      <c r="K3" s="425">
        <v>-4662271</v>
      </c>
    </row>
    <row r="4" spans="1:11">
      <c r="A4" s="424" t="s">
        <v>267</v>
      </c>
      <c r="C4" s="424" t="s">
        <v>243</v>
      </c>
      <c r="H4" s="425">
        <v>7045588.5</v>
      </c>
      <c r="J4" s="425">
        <v>2006772</v>
      </c>
      <c r="K4" s="425">
        <v>5038816.5</v>
      </c>
    </row>
    <row r="5" spans="1:11">
      <c r="A5" s="424" t="s">
        <v>266</v>
      </c>
      <c r="C5" s="424" t="s">
        <v>242</v>
      </c>
      <c r="H5" s="425">
        <v>378643.92</v>
      </c>
      <c r="J5" s="425">
        <v>18150.27</v>
      </c>
      <c r="K5" s="425">
        <v>360493.65</v>
      </c>
    </row>
    <row r="6" spans="1:11">
      <c r="A6" s="424" t="s">
        <v>265</v>
      </c>
      <c r="C6" s="424" t="s">
        <v>241</v>
      </c>
      <c r="H6" s="425">
        <v>37782</v>
      </c>
      <c r="K6" s="425">
        <v>37782</v>
      </c>
    </row>
    <row r="7" spans="1:11">
      <c r="A7" s="424" t="s">
        <v>847</v>
      </c>
      <c r="C7" s="424" t="s">
        <v>945</v>
      </c>
      <c r="H7" s="425">
        <v>7395510</v>
      </c>
      <c r="K7" s="425">
        <v>7395510</v>
      </c>
    </row>
    <row r="8" spans="1:11">
      <c r="A8" s="424" t="s">
        <v>277</v>
      </c>
      <c r="C8" s="424" t="s">
        <v>240</v>
      </c>
      <c r="J8" s="425">
        <v>42771</v>
      </c>
      <c r="K8" s="425">
        <v>-42771</v>
      </c>
    </row>
    <row r="9" spans="1:11">
      <c r="A9" s="424" t="s">
        <v>276</v>
      </c>
      <c r="C9" s="424" t="s">
        <v>275</v>
      </c>
      <c r="J9" s="425">
        <v>414291.7</v>
      </c>
      <c r="K9" s="425">
        <v>-414291.7</v>
      </c>
    </row>
    <row r="10" spans="1:11">
      <c r="A10" s="424" t="s">
        <v>264</v>
      </c>
      <c r="C10" s="424" t="s">
        <v>263</v>
      </c>
      <c r="H10" s="425">
        <v>145413012.30000001</v>
      </c>
      <c r="J10" s="425">
        <v>131946013.90000001</v>
      </c>
      <c r="K10" s="425">
        <v>13466998.4</v>
      </c>
    </row>
    <row r="11" spans="1:11">
      <c r="A11" s="424" t="s">
        <v>274</v>
      </c>
      <c r="C11" s="424" t="s">
        <v>239</v>
      </c>
      <c r="H11" s="425">
        <v>149973856.72999999</v>
      </c>
      <c r="J11" s="425">
        <v>206616836.75999999</v>
      </c>
      <c r="K11" s="425">
        <v>-56642980.030000001</v>
      </c>
    </row>
    <row r="12" spans="1:11">
      <c r="A12" s="424" t="s">
        <v>262</v>
      </c>
      <c r="C12" s="424" t="s">
        <v>238</v>
      </c>
      <c r="H12" s="425">
        <v>230130821.13999999</v>
      </c>
      <c r="J12" s="425">
        <v>195247090.68000001</v>
      </c>
      <c r="K12" s="425">
        <v>34883730.460000001</v>
      </c>
    </row>
    <row r="13" spans="1:11">
      <c r="A13" s="424" t="s">
        <v>261</v>
      </c>
      <c r="C13" s="424" t="s">
        <v>237</v>
      </c>
      <c r="H13" s="425">
        <v>1699830</v>
      </c>
      <c r="J13" s="425">
        <v>1590195</v>
      </c>
      <c r="K13" s="425">
        <v>109635</v>
      </c>
    </row>
    <row r="14" spans="1:11">
      <c r="A14" s="424" t="s">
        <v>273</v>
      </c>
      <c r="C14" s="424" t="s">
        <v>236</v>
      </c>
      <c r="H14" s="425">
        <v>522733</v>
      </c>
      <c r="J14" s="425">
        <v>584480</v>
      </c>
      <c r="K14" s="425">
        <v>-61747</v>
      </c>
    </row>
    <row r="15" spans="1:11">
      <c r="A15" s="424" t="s">
        <v>272</v>
      </c>
      <c r="C15" s="424" t="s">
        <v>235</v>
      </c>
      <c r="H15" s="425">
        <v>134310</v>
      </c>
      <c r="J15" s="425">
        <v>146310</v>
      </c>
      <c r="K15" s="425">
        <v>-12000</v>
      </c>
    </row>
    <row r="16" spans="1:11">
      <c r="A16" s="424" t="s">
        <v>260</v>
      </c>
      <c r="C16" s="424" t="s">
        <v>234</v>
      </c>
      <c r="H16" s="425">
        <v>783819</v>
      </c>
      <c r="K16" s="425">
        <v>783819</v>
      </c>
    </row>
    <row r="17" spans="1:11">
      <c r="A17" s="424" t="s">
        <v>259</v>
      </c>
      <c r="C17" s="424" t="s">
        <v>233</v>
      </c>
      <c r="H17" s="425">
        <v>18236137</v>
      </c>
      <c r="J17" s="425">
        <v>18236137</v>
      </c>
    </row>
    <row r="18" spans="1:11">
      <c r="A18" s="424" t="s">
        <v>946</v>
      </c>
      <c r="C18" s="424" t="s">
        <v>947</v>
      </c>
      <c r="H18" s="425">
        <v>249526</v>
      </c>
      <c r="K18" s="425">
        <v>249526</v>
      </c>
    </row>
    <row r="19" spans="1:11">
      <c r="A19" s="424" t="s">
        <v>258</v>
      </c>
      <c r="C19" s="424" t="s">
        <v>232</v>
      </c>
      <c r="H19" s="425">
        <v>1529516</v>
      </c>
      <c r="K19" s="425">
        <v>1529516</v>
      </c>
    </row>
    <row r="20" spans="1:11">
      <c r="A20" s="424" t="s">
        <v>257</v>
      </c>
      <c r="C20" s="424" t="s">
        <v>231</v>
      </c>
      <c r="H20" s="425">
        <v>18306118.91</v>
      </c>
      <c r="K20" s="425">
        <v>18306118.91</v>
      </c>
    </row>
    <row r="21" spans="1:11">
      <c r="A21" s="424" t="s">
        <v>256</v>
      </c>
      <c r="C21" s="424" t="s">
        <v>230</v>
      </c>
      <c r="J21" s="425">
        <v>37322745.369999997</v>
      </c>
      <c r="K21" s="425">
        <v>-37322745.369999997</v>
      </c>
    </row>
    <row r="22" spans="1:11">
      <c r="A22" s="424" t="s">
        <v>254</v>
      </c>
      <c r="C22" s="424" t="s">
        <v>228</v>
      </c>
      <c r="H22" s="425">
        <v>36510291</v>
      </c>
      <c r="J22" s="425">
        <v>18608088</v>
      </c>
      <c r="K22" s="425">
        <v>17902203</v>
      </c>
    </row>
    <row r="23" spans="1:11">
      <c r="A23" s="424" t="s">
        <v>1129</v>
      </c>
      <c r="C23" s="424" t="s">
        <v>1130</v>
      </c>
      <c r="H23" s="425">
        <v>371951</v>
      </c>
      <c r="J23" s="425">
        <v>371951</v>
      </c>
    </row>
    <row r="24" spans="1:11">
      <c r="A24" s="424" t="s">
        <v>271</v>
      </c>
      <c r="C24" s="424" t="s">
        <v>227</v>
      </c>
      <c r="H24" s="425">
        <v>775556.71</v>
      </c>
      <c r="J24" s="425">
        <v>5385200</v>
      </c>
      <c r="K24" s="425">
        <v>-4609643.29</v>
      </c>
    </row>
    <row r="25" spans="1:11">
      <c r="A25" s="424" t="s">
        <v>948</v>
      </c>
      <c r="C25" s="424" t="s">
        <v>949</v>
      </c>
      <c r="H25" s="425">
        <v>1714047.1</v>
      </c>
      <c r="J25" s="425">
        <v>3099177</v>
      </c>
      <c r="K25" s="425">
        <v>-1385129.9</v>
      </c>
    </row>
    <row r="26" spans="1:11">
      <c r="A26" s="424" t="s">
        <v>253</v>
      </c>
      <c r="C26" s="424" t="s">
        <v>226</v>
      </c>
      <c r="H26" s="425">
        <v>131802187.93000001</v>
      </c>
      <c r="J26" s="425">
        <v>129303003.84</v>
      </c>
      <c r="K26" s="425">
        <v>2499184.09</v>
      </c>
    </row>
    <row r="27" spans="1:11">
      <c r="A27" s="424" t="s">
        <v>252</v>
      </c>
      <c r="C27" s="424" t="s">
        <v>251</v>
      </c>
      <c r="H27" s="425">
        <v>224340607.41</v>
      </c>
      <c r="J27" s="425">
        <v>211788781.62</v>
      </c>
      <c r="K27" s="425">
        <v>12551825.789999999</v>
      </c>
    </row>
    <row r="28" spans="1:11">
      <c r="A28" s="424" t="s">
        <v>250</v>
      </c>
      <c r="C28" s="424" t="s">
        <v>249</v>
      </c>
      <c r="H28" s="425">
        <v>3420747.65</v>
      </c>
      <c r="J28" s="425">
        <v>3420550.49</v>
      </c>
      <c r="K28" s="425">
        <v>197.16</v>
      </c>
    </row>
    <row r="29" spans="1:11">
      <c r="A29" s="424" t="s">
        <v>248</v>
      </c>
      <c r="C29" s="424" t="s">
        <v>950</v>
      </c>
      <c r="H29" s="425">
        <v>62124860.82</v>
      </c>
      <c r="J29" s="425">
        <v>62077965.469999999</v>
      </c>
      <c r="K29" s="425">
        <v>46895.35</v>
      </c>
    </row>
    <row r="30" spans="1:11">
      <c r="A30" s="424" t="s">
        <v>246</v>
      </c>
      <c r="C30" s="424" t="s">
        <v>225</v>
      </c>
      <c r="H30" s="425">
        <v>775556.71</v>
      </c>
      <c r="J30" s="425">
        <v>775556.71</v>
      </c>
    </row>
    <row r="31" spans="1:11">
      <c r="A31" s="424" t="s">
        <v>270</v>
      </c>
      <c r="C31" s="424" t="s">
        <v>269</v>
      </c>
      <c r="H31" s="425">
        <v>8205416.71</v>
      </c>
      <c r="J31" s="425">
        <v>11000000</v>
      </c>
      <c r="K31" s="425">
        <v>-2794583.29</v>
      </c>
    </row>
    <row r="32" spans="1:11">
      <c r="A32" s="424" t="s">
        <v>281</v>
      </c>
      <c r="C32" s="424" t="s">
        <v>172</v>
      </c>
      <c r="H32" s="425">
        <v>233848288.75999999</v>
      </c>
      <c r="J32" s="425">
        <v>233848288.75999999</v>
      </c>
      <c r="K32" s="425">
        <v>0</v>
      </c>
    </row>
    <row r="33" spans="1:11">
      <c r="A33" s="424" t="s">
        <v>282</v>
      </c>
      <c r="C33" s="424" t="s">
        <v>283</v>
      </c>
      <c r="H33" s="425">
        <v>131946013.90000001</v>
      </c>
      <c r="J33" s="425">
        <v>127864659.3</v>
      </c>
      <c r="K33" s="425">
        <v>4081354.6</v>
      </c>
    </row>
    <row r="34" spans="1:11">
      <c r="A34" s="424" t="s">
        <v>284</v>
      </c>
      <c r="C34" s="424" t="s">
        <v>285</v>
      </c>
      <c r="H34" s="425">
        <v>167480458.58000001</v>
      </c>
      <c r="K34" s="425">
        <v>167480458.58000001</v>
      </c>
    </row>
    <row r="35" spans="1:11">
      <c r="A35" s="424" t="s">
        <v>286</v>
      </c>
      <c r="C35" s="424" t="s">
        <v>927</v>
      </c>
      <c r="H35" s="425">
        <v>40462.99</v>
      </c>
      <c r="K35" s="425">
        <v>40462.99</v>
      </c>
    </row>
    <row r="36" spans="1:11">
      <c r="A36" s="424" t="s">
        <v>289</v>
      </c>
      <c r="C36" s="424" t="s">
        <v>174</v>
      </c>
      <c r="H36" s="425">
        <v>579000</v>
      </c>
      <c r="K36" s="425">
        <v>579000</v>
      </c>
    </row>
    <row r="37" spans="1:11">
      <c r="A37" s="424" t="s">
        <v>290</v>
      </c>
      <c r="C37" s="424" t="s">
        <v>175</v>
      </c>
      <c r="H37" s="425">
        <v>79023.5</v>
      </c>
      <c r="K37" s="425">
        <v>79023.5</v>
      </c>
    </row>
    <row r="38" spans="1:11">
      <c r="A38" s="424" t="s">
        <v>291</v>
      </c>
      <c r="C38" s="424" t="s">
        <v>221</v>
      </c>
      <c r="H38" s="425">
        <v>199666.34</v>
      </c>
      <c r="K38" s="425">
        <v>199666.34</v>
      </c>
    </row>
    <row r="39" spans="1:11">
      <c r="A39" s="424" t="s">
        <v>294</v>
      </c>
      <c r="C39" s="424" t="s">
        <v>928</v>
      </c>
      <c r="H39" s="425">
        <v>26194.22</v>
      </c>
      <c r="K39" s="425">
        <v>26194.22</v>
      </c>
    </row>
    <row r="40" spans="1:11">
      <c r="A40" s="424" t="s">
        <v>295</v>
      </c>
      <c r="C40" s="424" t="s">
        <v>929</v>
      </c>
      <c r="H40" s="425">
        <v>369238.63</v>
      </c>
      <c r="K40" s="425">
        <v>369238.63</v>
      </c>
    </row>
    <row r="41" spans="1:11">
      <c r="A41" s="424" t="s">
        <v>296</v>
      </c>
      <c r="C41" s="424" t="s">
        <v>930</v>
      </c>
      <c r="H41" s="425">
        <v>12576.16</v>
      </c>
      <c r="K41" s="425">
        <v>12576.16</v>
      </c>
    </row>
    <row r="42" spans="1:11">
      <c r="A42" s="424" t="s">
        <v>299</v>
      </c>
      <c r="C42" s="424" t="s">
        <v>931</v>
      </c>
      <c r="H42" s="425">
        <v>775332.5</v>
      </c>
      <c r="K42" s="425">
        <v>775332.5</v>
      </c>
    </row>
    <row r="43" spans="1:11">
      <c r="A43" s="424" t="s">
        <v>932</v>
      </c>
      <c r="C43" s="424" t="s">
        <v>933</v>
      </c>
      <c r="H43" s="425">
        <v>160275</v>
      </c>
      <c r="K43" s="425">
        <v>160275</v>
      </c>
    </row>
    <row r="44" spans="1:11">
      <c r="A44" s="424" t="s">
        <v>934</v>
      </c>
      <c r="C44" s="424" t="s">
        <v>935</v>
      </c>
      <c r="H44" s="425">
        <v>962975</v>
      </c>
      <c r="K44" s="425">
        <v>962975</v>
      </c>
    </row>
    <row r="45" spans="1:11">
      <c r="A45" s="424" t="s">
        <v>300</v>
      </c>
      <c r="C45" s="424" t="s">
        <v>214</v>
      </c>
      <c r="H45" s="425">
        <v>1152065.21</v>
      </c>
      <c r="J45" s="425">
        <v>168.97</v>
      </c>
      <c r="K45" s="425">
        <v>1151896.24</v>
      </c>
    </row>
    <row r="46" spans="1:11">
      <c r="A46" s="424" t="s">
        <v>301</v>
      </c>
      <c r="C46" s="424" t="s">
        <v>213</v>
      </c>
      <c r="H46" s="425">
        <v>66120</v>
      </c>
      <c r="K46" s="425">
        <v>66120</v>
      </c>
    </row>
    <row r="47" spans="1:11">
      <c r="A47" s="424" t="s">
        <v>936</v>
      </c>
      <c r="C47" s="424" t="s">
        <v>937</v>
      </c>
      <c r="H47" s="425">
        <v>102513</v>
      </c>
      <c r="K47" s="425">
        <v>102513</v>
      </c>
    </row>
    <row r="48" spans="1:11">
      <c r="A48" s="424" t="s">
        <v>303</v>
      </c>
      <c r="C48" s="424" t="s">
        <v>211</v>
      </c>
      <c r="H48" s="425">
        <v>1942908</v>
      </c>
      <c r="K48" s="425">
        <v>1942908</v>
      </c>
    </row>
    <row r="49" spans="1:11">
      <c r="A49" s="424" t="s">
        <v>304</v>
      </c>
      <c r="C49" s="424" t="s">
        <v>210</v>
      </c>
      <c r="H49" s="425">
        <v>324469</v>
      </c>
      <c r="K49" s="425">
        <v>324469</v>
      </c>
    </row>
    <row r="50" spans="1:11">
      <c r="A50" s="424" t="s">
        <v>938</v>
      </c>
      <c r="C50" s="424" t="s">
        <v>939</v>
      </c>
      <c r="H50" s="425">
        <v>15840</v>
      </c>
      <c r="K50" s="425">
        <v>15840</v>
      </c>
    </row>
    <row r="51" spans="1:11">
      <c r="A51" s="424" t="s">
        <v>940</v>
      </c>
      <c r="C51" s="424" t="s">
        <v>941</v>
      </c>
      <c r="H51" s="425">
        <v>754905.67</v>
      </c>
      <c r="K51" s="425">
        <v>754905.67</v>
      </c>
    </row>
    <row r="52" spans="1:11">
      <c r="A52" s="424" t="s">
        <v>306</v>
      </c>
      <c r="C52" s="424" t="s">
        <v>208</v>
      </c>
      <c r="H52" s="425">
        <v>383467.7</v>
      </c>
      <c r="K52" s="425">
        <v>383467.7</v>
      </c>
    </row>
    <row r="53" spans="1:11">
      <c r="A53" s="424" t="s">
        <v>307</v>
      </c>
      <c r="C53" s="424" t="s">
        <v>308</v>
      </c>
      <c r="J53" s="425">
        <v>14990827.880000001</v>
      </c>
      <c r="K53" s="425">
        <v>-14990827.880000001</v>
      </c>
    </row>
    <row r="54" spans="1:11">
      <c r="A54" s="424" t="s">
        <v>309</v>
      </c>
      <c r="C54" s="424" t="s">
        <v>207</v>
      </c>
      <c r="J54" s="425">
        <v>171631148.90000001</v>
      </c>
      <c r="K54" s="425">
        <v>-171631148.90000001</v>
      </c>
    </row>
    <row r="55" spans="1:11">
      <c r="A55" s="424" t="s">
        <v>310</v>
      </c>
      <c r="C55" s="424" t="s">
        <v>206</v>
      </c>
      <c r="J55" s="425">
        <v>789.1</v>
      </c>
      <c r="K55" s="425">
        <v>-789.1</v>
      </c>
    </row>
    <row r="56" spans="1:11">
      <c r="A56" s="424" t="s">
        <v>311</v>
      </c>
      <c r="C56" s="424" t="s">
        <v>312</v>
      </c>
      <c r="H56" s="425">
        <v>18342820.289999999</v>
      </c>
      <c r="J56" s="425">
        <v>18342820.289999999</v>
      </c>
    </row>
    <row r="57" spans="1:11">
      <c r="A57" s="424" t="s">
        <v>205</v>
      </c>
      <c r="C57" s="424" t="s">
        <v>204</v>
      </c>
      <c r="G57" s="424" t="s">
        <v>203</v>
      </c>
      <c r="H57" s="424" t="s">
        <v>202</v>
      </c>
      <c r="J57" s="424" t="s">
        <v>201</v>
      </c>
      <c r="K57" s="424" t="s">
        <v>200</v>
      </c>
    </row>
    <row r="58" spans="1:11">
      <c r="F58" s="426" t="s">
        <v>199</v>
      </c>
      <c r="G58" s="427">
        <v>0</v>
      </c>
      <c r="H58" s="427">
        <v>1611443041.99</v>
      </c>
      <c r="J58" s="427">
        <v>1611443041.99</v>
      </c>
      <c r="K58" s="427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FF00"/>
  </sheetPr>
  <dimension ref="A1:H32"/>
  <sheetViews>
    <sheetView topLeftCell="A16" workbookViewId="0">
      <selection activeCell="G31" sqref="G31"/>
    </sheetView>
  </sheetViews>
  <sheetFormatPr defaultRowHeight="15"/>
  <cols>
    <col min="2" max="2" width="39.42578125" customWidth="1"/>
    <col min="3" max="3" width="12.7109375" customWidth="1"/>
    <col min="4" max="4" width="15.85546875" customWidth="1"/>
    <col min="5" max="5" width="13.28515625" customWidth="1"/>
    <col min="7" max="7" width="17.5703125" customWidth="1"/>
    <col min="8" max="8" width="14.5703125" customWidth="1"/>
  </cols>
  <sheetData>
    <row r="1" spans="1:8">
      <c r="A1" t="s">
        <v>1135</v>
      </c>
    </row>
    <row r="3" spans="1:8">
      <c r="A3" s="118">
        <v>1</v>
      </c>
    </row>
    <row r="4" spans="1:8" s="222" customFormat="1">
      <c r="B4" s="422" t="s">
        <v>1137</v>
      </c>
      <c r="D4" s="423"/>
      <c r="E4" s="423"/>
      <c r="G4" s="423" t="s">
        <v>1136</v>
      </c>
      <c r="H4" s="423" t="s">
        <v>953</v>
      </c>
    </row>
    <row r="5" spans="1:8" s="222" customFormat="1">
      <c r="A5" s="184" t="s">
        <v>271</v>
      </c>
      <c r="B5" s="184" t="s">
        <v>227</v>
      </c>
      <c r="D5" s="420"/>
      <c r="E5" s="420"/>
      <c r="G5" s="420">
        <v>775556.71</v>
      </c>
      <c r="H5" s="420"/>
    </row>
    <row r="6" spans="1:8" s="222" customFormat="1">
      <c r="D6" s="420"/>
      <c r="E6" s="420"/>
      <c r="G6" s="420"/>
      <c r="H6" s="420"/>
    </row>
    <row r="7" spans="1:8" s="222" customFormat="1">
      <c r="A7" s="222" t="s">
        <v>246</v>
      </c>
      <c r="B7" s="222" t="s">
        <v>225</v>
      </c>
      <c r="D7" s="420"/>
      <c r="E7" s="420"/>
      <c r="G7" s="420"/>
      <c r="H7" s="420">
        <v>775556.71</v>
      </c>
    </row>
    <row r="9" spans="1:8">
      <c r="A9" s="118">
        <v>2</v>
      </c>
    </row>
    <row r="10" spans="1:8" s="222" customFormat="1">
      <c r="B10" s="222" t="s">
        <v>1263</v>
      </c>
      <c r="D10" s="423"/>
      <c r="E10" s="423"/>
      <c r="G10" s="423" t="s">
        <v>1136</v>
      </c>
      <c r="H10" s="423" t="s">
        <v>953</v>
      </c>
    </row>
    <row r="11" spans="1:8" s="222" customFormat="1">
      <c r="A11" s="222">
        <v>60801</v>
      </c>
      <c r="D11" s="408"/>
      <c r="G11" s="408">
        <v>18150.27</v>
      </c>
    </row>
    <row r="12" spans="1:8" s="222" customFormat="1">
      <c r="A12" s="222">
        <v>2181</v>
      </c>
      <c r="E12" s="408"/>
      <c r="H12" s="408">
        <v>18150.27</v>
      </c>
    </row>
    <row r="13" spans="1:8" s="222" customFormat="1"/>
    <row r="17" spans="1:8">
      <c r="A17" s="118">
        <v>2</v>
      </c>
      <c r="D17" s="50"/>
      <c r="E17" s="50"/>
      <c r="G17" s="50" t="s">
        <v>1136</v>
      </c>
      <c r="H17" s="50" t="s">
        <v>1265</v>
      </c>
    </row>
    <row r="18" spans="1:8">
      <c r="A18">
        <v>641</v>
      </c>
      <c r="D18" s="358"/>
      <c r="E18" s="358"/>
      <c r="G18" s="358">
        <v>1942908</v>
      </c>
      <c r="H18" s="358"/>
    </row>
    <row r="19" spans="1:8">
      <c r="A19">
        <v>644</v>
      </c>
      <c r="D19" s="358"/>
      <c r="E19" s="358"/>
      <c r="G19" s="358">
        <v>324469</v>
      </c>
      <c r="H19" s="358"/>
    </row>
    <row r="20" spans="1:8">
      <c r="A20">
        <v>442</v>
      </c>
      <c r="D20" s="358"/>
      <c r="E20" s="358"/>
      <c r="G20" s="358"/>
      <c r="H20" s="358">
        <v>135110</v>
      </c>
    </row>
    <row r="21" spans="1:8">
      <c r="A21">
        <v>431</v>
      </c>
      <c r="D21" s="358"/>
      <c r="E21" s="358"/>
      <c r="G21" s="358"/>
      <c r="H21" s="358">
        <v>542072</v>
      </c>
    </row>
    <row r="22" spans="1:8">
      <c r="A22">
        <v>421</v>
      </c>
      <c r="D22" s="358"/>
      <c r="E22" s="358"/>
      <c r="G22" s="358"/>
      <c r="H22" s="358">
        <v>1590195</v>
      </c>
    </row>
    <row r="23" spans="1:8">
      <c r="D23" s="351"/>
      <c r="E23" s="351"/>
      <c r="G23" s="351">
        <v>2267377</v>
      </c>
      <c r="H23" s="351">
        <v>2267377</v>
      </c>
    </row>
    <row r="27" spans="1:8">
      <c r="A27">
        <v>444</v>
      </c>
      <c r="E27" s="430"/>
    </row>
    <row r="28" spans="1:8">
      <c r="A28" s="130" t="s">
        <v>278</v>
      </c>
      <c r="C28" s="430"/>
      <c r="D28" s="430"/>
    </row>
    <row r="31" spans="1:8">
      <c r="A31" s="439" t="s">
        <v>282</v>
      </c>
      <c r="D31" s="116" t="str">
        <f>E32</f>
        <v>1,508,210.000</v>
      </c>
      <c r="E31" s="116"/>
    </row>
    <row r="32" spans="1:8">
      <c r="A32" t="s">
        <v>264</v>
      </c>
      <c r="D32" s="259"/>
      <c r="E32" s="259" t="s">
        <v>1337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34"/>
  <sheetViews>
    <sheetView workbookViewId="0">
      <selection activeCell="H19" sqref="H19"/>
    </sheetView>
  </sheetViews>
  <sheetFormatPr defaultRowHeight="15"/>
  <cols>
    <col min="11" max="11" width="11.85546875" customWidth="1"/>
  </cols>
  <sheetData>
    <row r="1" spans="1:12" ht="18">
      <c r="A1" s="360" t="s">
        <v>434</v>
      </c>
    </row>
    <row r="2" spans="1:12" ht="15.75">
      <c r="A2" s="361" t="s">
        <v>1138</v>
      </c>
    </row>
    <row r="3" spans="1:12">
      <c r="A3" s="126" t="s">
        <v>1139</v>
      </c>
      <c r="B3" s="126" t="s">
        <v>1140</v>
      </c>
      <c r="K3" s="126" t="s">
        <v>334</v>
      </c>
      <c r="L3" s="126" t="s">
        <v>1141</v>
      </c>
    </row>
    <row r="4" spans="1:12">
      <c r="G4" s="132" t="s">
        <v>1142</v>
      </c>
      <c r="K4" s="130" t="s">
        <v>1143</v>
      </c>
    </row>
    <row r="5" spans="1:12">
      <c r="A5" s="130" t="s">
        <v>1144</v>
      </c>
      <c r="C5" s="130" t="s">
        <v>204</v>
      </c>
      <c r="G5" s="130" t="s">
        <v>202</v>
      </c>
      <c r="I5" s="130" t="s">
        <v>201</v>
      </c>
      <c r="K5" s="130" t="s">
        <v>1145</v>
      </c>
    </row>
    <row r="6" spans="1:12">
      <c r="C6" s="239" t="s">
        <v>1146</v>
      </c>
    </row>
    <row r="7" spans="1:12">
      <c r="A7" s="130" t="s">
        <v>1147</v>
      </c>
      <c r="C7" s="130" t="s">
        <v>1148</v>
      </c>
      <c r="G7" s="252">
        <v>717.06</v>
      </c>
      <c r="I7" s="130" t="s">
        <v>1149</v>
      </c>
      <c r="K7" s="252">
        <v>717.06</v>
      </c>
    </row>
    <row r="8" spans="1:12">
      <c r="A8" s="130" t="s">
        <v>1150</v>
      </c>
      <c r="C8" s="130" t="s">
        <v>1151</v>
      </c>
      <c r="G8" s="252">
        <v>1924627.76</v>
      </c>
      <c r="I8" s="130" t="s">
        <v>1149</v>
      </c>
      <c r="K8" s="252">
        <v>1924627.76</v>
      </c>
    </row>
    <row r="9" spans="1:12">
      <c r="A9" s="130" t="s">
        <v>1152</v>
      </c>
      <c r="C9" s="130" t="s">
        <v>1153</v>
      </c>
      <c r="G9" s="252">
        <v>1811.3</v>
      </c>
      <c r="I9" s="130" t="s">
        <v>1149</v>
      </c>
      <c r="K9" s="252">
        <v>1811.3</v>
      </c>
    </row>
    <row r="10" spans="1:12">
      <c r="A10" s="130" t="s">
        <v>1154</v>
      </c>
      <c r="C10" s="130" t="s">
        <v>1155</v>
      </c>
    </row>
    <row r="11" spans="1:12">
      <c r="A11" s="130" t="s">
        <v>1156</v>
      </c>
      <c r="C11" s="130" t="s">
        <v>1157</v>
      </c>
      <c r="G11" s="252">
        <v>17393.439999999999</v>
      </c>
      <c r="I11" s="130" t="s">
        <v>1149</v>
      </c>
      <c r="K11" s="252">
        <v>17393.439999999999</v>
      </c>
    </row>
    <row r="12" spans="1:12">
      <c r="A12" s="130" t="s">
        <v>1158</v>
      </c>
      <c r="C12" s="130" t="s">
        <v>1159</v>
      </c>
      <c r="I12" s="252">
        <v>1602.73</v>
      </c>
      <c r="K12" s="130" t="s">
        <v>1149</v>
      </c>
    </row>
    <row r="13" spans="1:12">
      <c r="A13" s="130" t="s">
        <v>1160</v>
      </c>
      <c r="C13" s="130" t="s">
        <v>1161</v>
      </c>
      <c r="G13" s="252">
        <v>556237.26</v>
      </c>
      <c r="I13" s="130" t="s">
        <v>1149</v>
      </c>
      <c r="K13" s="252">
        <v>556237.26</v>
      </c>
    </row>
    <row r="14" spans="1:12">
      <c r="G14" s="133">
        <v>2500786.8199999998</v>
      </c>
      <c r="I14" s="133">
        <v>1602.73</v>
      </c>
      <c r="K14" s="133">
        <v>2499184.09</v>
      </c>
    </row>
    <row r="15" spans="1:12">
      <c r="A15" s="239" t="s">
        <v>1162</v>
      </c>
      <c r="C15" s="239" t="s">
        <v>1163</v>
      </c>
    </row>
    <row r="16" spans="1:12">
      <c r="A16" s="130" t="s">
        <v>1164</v>
      </c>
      <c r="C16" s="130" t="s">
        <v>1165</v>
      </c>
      <c r="G16" s="252">
        <v>85503.52</v>
      </c>
      <c r="I16" s="130" t="s">
        <v>1166</v>
      </c>
      <c r="K16" s="252">
        <v>11815939.75</v>
      </c>
    </row>
    <row r="17" spans="1:11">
      <c r="A17" s="130" t="s">
        <v>1167</v>
      </c>
      <c r="C17" s="130" t="s">
        <v>1168</v>
      </c>
      <c r="G17" s="252">
        <v>22.44</v>
      </c>
      <c r="I17" s="130" t="s">
        <v>1166</v>
      </c>
      <c r="K17" s="252">
        <v>3107.94</v>
      </c>
    </row>
    <row r="18" spans="1:11">
      <c r="A18" s="130" t="s">
        <v>1169</v>
      </c>
      <c r="C18" s="130" t="s">
        <v>1170</v>
      </c>
      <c r="G18" s="252">
        <v>3190</v>
      </c>
      <c r="I18" s="130" t="s">
        <v>1166</v>
      </c>
      <c r="K18" s="252">
        <v>441815</v>
      </c>
    </row>
    <row r="19" spans="1:11">
      <c r="A19" s="130" t="s">
        <v>1171</v>
      </c>
      <c r="C19" s="130" t="s">
        <v>1172</v>
      </c>
      <c r="I19" s="252">
        <v>1.76</v>
      </c>
      <c r="K19" s="130" t="s">
        <v>1166</v>
      </c>
    </row>
    <row r="20" spans="1:11">
      <c r="A20" s="130" t="s">
        <v>1173</v>
      </c>
      <c r="C20" s="130" t="s">
        <v>1174</v>
      </c>
      <c r="G20" s="252">
        <v>1435.26</v>
      </c>
      <c r="I20" s="130" t="s">
        <v>1166</v>
      </c>
      <c r="K20" s="252">
        <v>198783.51</v>
      </c>
    </row>
    <row r="21" spans="1:11">
      <c r="A21" s="130" t="s">
        <v>1175</v>
      </c>
      <c r="C21" s="130" t="s">
        <v>1176</v>
      </c>
      <c r="G21" s="252">
        <v>75.459999999999994</v>
      </c>
      <c r="I21" s="130" t="s">
        <v>1166</v>
      </c>
      <c r="K21" s="252">
        <v>9172.0499999999993</v>
      </c>
    </row>
    <row r="22" spans="1:11">
      <c r="A22" s="130" t="s">
        <v>1177</v>
      </c>
      <c r="C22" s="130" t="s">
        <v>1178</v>
      </c>
      <c r="G22" s="252">
        <v>1.03</v>
      </c>
      <c r="I22" s="130" t="s">
        <v>1166</v>
      </c>
      <c r="K22" s="252">
        <v>292.45</v>
      </c>
    </row>
    <row r="23" spans="1:11">
      <c r="A23" s="130" t="s">
        <v>1179</v>
      </c>
      <c r="C23" s="130" t="s">
        <v>1180</v>
      </c>
      <c r="G23" s="252">
        <v>603.41</v>
      </c>
      <c r="I23" s="130" t="s">
        <v>1166</v>
      </c>
      <c r="K23" s="252">
        <v>83572.289999999994</v>
      </c>
    </row>
    <row r="24" spans="1:11">
      <c r="F24" s="132" t="s">
        <v>1162</v>
      </c>
      <c r="G24" s="133">
        <v>90831.12</v>
      </c>
      <c r="I24" s="133">
        <v>1.76</v>
      </c>
      <c r="K24" s="133">
        <v>12551825.789999999</v>
      </c>
    </row>
    <row r="25" spans="1:11">
      <c r="A25" s="239" t="s">
        <v>1181</v>
      </c>
      <c r="C25" s="239" t="s">
        <v>1181</v>
      </c>
    </row>
    <row r="26" spans="1:11">
      <c r="A26" s="130" t="s">
        <v>1182</v>
      </c>
      <c r="C26" s="130" t="s">
        <v>1183</v>
      </c>
      <c r="G26" s="252">
        <v>233.05</v>
      </c>
      <c r="I26" s="130" t="s">
        <v>1184</v>
      </c>
      <c r="K26" s="252">
        <v>35936.32</v>
      </c>
    </row>
    <row r="27" spans="1:11">
      <c r="A27" s="130" t="s">
        <v>1185</v>
      </c>
      <c r="C27" s="130" t="s">
        <v>1186</v>
      </c>
      <c r="I27" s="252">
        <v>35.31</v>
      </c>
      <c r="K27" s="130" t="s">
        <v>1184</v>
      </c>
    </row>
    <row r="28" spans="1:11">
      <c r="A28" s="130" t="s">
        <v>1187</v>
      </c>
      <c r="C28" s="130" t="s">
        <v>1188</v>
      </c>
      <c r="G28" s="252">
        <v>106.38</v>
      </c>
      <c r="I28" s="130" t="s">
        <v>1184</v>
      </c>
      <c r="K28" s="252">
        <v>16403.82</v>
      </c>
    </row>
    <row r="29" spans="1:11">
      <c r="F29" s="132" t="s">
        <v>1181</v>
      </c>
      <c r="G29" s="133">
        <v>339.43</v>
      </c>
      <c r="I29" s="133">
        <v>35.31</v>
      </c>
      <c r="K29" s="133">
        <v>46895.35</v>
      </c>
    </row>
    <row r="30" spans="1:11">
      <c r="A30" s="239" t="s">
        <v>1189</v>
      </c>
      <c r="C30" s="239" t="s">
        <v>1189</v>
      </c>
    </row>
    <row r="31" spans="1:11">
      <c r="A31" s="130" t="s">
        <v>1190</v>
      </c>
      <c r="C31" s="130" t="s">
        <v>1191</v>
      </c>
      <c r="G31" s="252">
        <v>0</v>
      </c>
      <c r="I31" s="130" t="s">
        <v>1192</v>
      </c>
      <c r="K31" s="252">
        <v>2.46</v>
      </c>
    </row>
    <row r="32" spans="1:11">
      <c r="A32" s="130" t="s">
        <v>1193</v>
      </c>
      <c r="C32" s="130" t="s">
        <v>1194</v>
      </c>
      <c r="G32" s="252">
        <v>1.92</v>
      </c>
      <c r="I32" s="130" t="s">
        <v>1192</v>
      </c>
      <c r="K32" s="252">
        <v>194.7</v>
      </c>
    </row>
    <row r="33" spans="6:11">
      <c r="F33" s="132" t="s">
        <v>1189</v>
      </c>
      <c r="G33" s="133">
        <v>1.92</v>
      </c>
      <c r="I33" s="133">
        <v>0</v>
      </c>
      <c r="K33" s="133">
        <v>197.16</v>
      </c>
    </row>
    <row r="34" spans="6:11">
      <c r="K34" s="133">
        <v>15098102.390000001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3"/>
  <sheetViews>
    <sheetView topLeftCell="B1" workbookViewId="0">
      <selection activeCell="C23" sqref="C23"/>
    </sheetView>
  </sheetViews>
  <sheetFormatPr defaultRowHeight="15"/>
  <cols>
    <col min="1" max="1" width="0" hidden="1" customWidth="1"/>
    <col min="2" max="2" width="33.42578125" customWidth="1"/>
    <col min="3" max="3" width="22.42578125" customWidth="1"/>
    <col min="4" max="4" width="27.140625" customWidth="1"/>
    <col min="5" max="5" width="13.28515625" bestFit="1" customWidth="1"/>
    <col min="7" max="7" width="11.85546875" customWidth="1"/>
  </cols>
  <sheetData>
    <row r="1" spans="1:7">
      <c r="B1" t="s">
        <v>378</v>
      </c>
    </row>
    <row r="2" spans="1:7" ht="15.75" thickBot="1"/>
    <row r="3" spans="1:7" ht="16.5" thickTop="1" thickBot="1">
      <c r="B3" s="18"/>
      <c r="C3" s="19" t="s">
        <v>403</v>
      </c>
      <c r="D3" s="19" t="s">
        <v>38</v>
      </c>
    </row>
    <row r="4" spans="1:7" ht="20.25" customHeight="1">
      <c r="B4" s="20" t="s">
        <v>39</v>
      </c>
      <c r="C4" s="21"/>
      <c r="D4" s="21"/>
    </row>
    <row r="5" spans="1:7">
      <c r="A5" s="130" t="s">
        <v>253</v>
      </c>
      <c r="B5" s="20" t="s">
        <v>40</v>
      </c>
      <c r="C5" s="11">
        <f>SUMIFS('TB DBase'!N:N,'TB DBase'!C:C,A5)</f>
        <v>2499184.0900000036</v>
      </c>
      <c r="D5" s="11">
        <v>1067317.6299999952</v>
      </c>
      <c r="G5" s="10"/>
    </row>
    <row r="6" spans="1:7">
      <c r="A6" s="130" t="s">
        <v>252</v>
      </c>
      <c r="B6" s="20" t="s">
        <v>41</v>
      </c>
      <c r="C6" s="11">
        <f>SUMIFS('TB DBase'!N:N,'TB DBase'!C:C,A6)</f>
        <v>12551825.789999992</v>
      </c>
      <c r="D6" s="11">
        <v>402754.8599999994</v>
      </c>
    </row>
    <row r="7" spans="1:7">
      <c r="A7" s="130" t="s">
        <v>250</v>
      </c>
      <c r="B7" s="20" t="s">
        <v>195</v>
      </c>
      <c r="C7" s="11">
        <f>SUMIFS('TB DBase'!N:N,'TB DBase'!C:C,A7)</f>
        <v>197.15999999968335</v>
      </c>
      <c r="D7" s="11">
        <v>-1377.9799999999814</v>
      </c>
      <c r="E7" s="61"/>
    </row>
    <row r="8" spans="1:7" ht="15.75" thickBot="1">
      <c r="A8" s="130" t="s">
        <v>248</v>
      </c>
      <c r="B8" s="20" t="s">
        <v>314</v>
      </c>
      <c r="C8" s="11">
        <f>SUMIFS('TB DBase'!N:N,'TB DBase'!C:C,A8)</f>
        <v>46895.35000000149</v>
      </c>
      <c r="D8" s="11">
        <v>62371.60000000149</v>
      </c>
      <c r="E8" s="61"/>
    </row>
    <row r="9" spans="1:7">
      <c r="B9" s="22"/>
      <c r="C9" s="23">
        <f>SUM(C5:C8)</f>
        <v>15098102.389999997</v>
      </c>
      <c r="D9" s="23">
        <v>1531066.1099999961</v>
      </c>
    </row>
    <row r="10" spans="1:7">
      <c r="B10" s="20" t="s">
        <v>42</v>
      </c>
      <c r="C10" s="20"/>
      <c r="D10" s="20"/>
    </row>
    <row r="11" spans="1:7">
      <c r="A11" s="130" t="s">
        <v>246</v>
      </c>
      <c r="B11" s="20" t="s">
        <v>40</v>
      </c>
      <c r="C11" s="64">
        <f>SUMIFS('TB DBase'!N:N,'TB DBase'!C:C,A11)</f>
        <v>0</v>
      </c>
      <c r="D11" s="11">
        <v>38956</v>
      </c>
    </row>
    <row r="12" spans="1:7" ht="17.25" customHeight="1" thickBot="1">
      <c r="B12" s="20" t="s">
        <v>41</v>
      </c>
      <c r="C12" s="15"/>
      <c r="D12" s="15"/>
    </row>
    <row r="13" spans="1:7" ht="15.75" thickBot="1">
      <c r="B13" s="24"/>
      <c r="C13" s="17">
        <f>SUM(C10:C12)</f>
        <v>0</v>
      </c>
      <c r="D13" s="17">
        <v>38956</v>
      </c>
    </row>
    <row r="14" spans="1:7" ht="15.75" thickBot="1">
      <c r="B14" s="25" t="s">
        <v>43</v>
      </c>
      <c r="C14" s="16">
        <f>C9+C13</f>
        <v>15098102.389999997</v>
      </c>
      <c r="D14" s="16">
        <v>1570022.1099999961</v>
      </c>
    </row>
    <row r="15" spans="1:7" ht="15.75" thickTop="1"/>
    <row r="16" spans="1:7">
      <c r="C16" s="225"/>
    </row>
    <row r="17" spans="3:3">
      <c r="C17" s="225"/>
    </row>
    <row r="19" spans="3:3">
      <c r="C19" s="130"/>
    </row>
    <row r="20" spans="3:3">
      <c r="C20" s="130"/>
    </row>
    <row r="21" spans="3:3">
      <c r="C21" s="130"/>
    </row>
    <row r="22" spans="3:3">
      <c r="C22" s="130"/>
    </row>
    <row r="23" spans="3:3">
      <c r="C23" s="130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57"/>
  <sheetViews>
    <sheetView topLeftCell="A40" workbookViewId="0">
      <selection activeCell="J63" sqref="J63"/>
    </sheetView>
  </sheetViews>
  <sheetFormatPr defaultRowHeight="15"/>
  <cols>
    <col min="2" max="2" width="21.85546875" customWidth="1"/>
    <col min="7" max="7" width="13.42578125" customWidth="1"/>
    <col min="9" max="9" width="9.85546875" bestFit="1" customWidth="1"/>
    <col min="11" max="11" width="12.42578125" customWidth="1"/>
  </cols>
  <sheetData>
    <row r="1" spans="1:12" ht="18">
      <c r="A1" s="360" t="s">
        <v>434</v>
      </c>
    </row>
    <row r="2" spans="1:12" ht="15.75">
      <c r="A2" s="361" t="s">
        <v>1195</v>
      </c>
    </row>
    <row r="3" spans="1:12">
      <c r="A3" s="126" t="s">
        <v>1139</v>
      </c>
      <c r="B3" s="126" t="s">
        <v>1196</v>
      </c>
      <c r="K3" s="126" t="s">
        <v>334</v>
      </c>
      <c r="L3" s="126" t="s">
        <v>1141</v>
      </c>
    </row>
    <row r="4" spans="1:12">
      <c r="G4" s="248" t="s">
        <v>1197</v>
      </c>
      <c r="K4" s="249" t="s">
        <v>1143</v>
      </c>
    </row>
    <row r="5" spans="1:12">
      <c r="A5" s="249" t="s">
        <v>1144</v>
      </c>
      <c r="C5" s="249" t="s">
        <v>204</v>
      </c>
      <c r="G5" s="249" t="s">
        <v>1198</v>
      </c>
      <c r="I5" s="249" t="s">
        <v>1199</v>
      </c>
      <c r="K5" s="249" t="s">
        <v>1145</v>
      </c>
    </row>
    <row r="6" spans="1:12">
      <c r="C6" s="239" t="s">
        <v>1146</v>
      </c>
    </row>
    <row r="7" spans="1:12">
      <c r="A7" s="249" t="s">
        <v>1200</v>
      </c>
      <c r="C7" s="249" t="s">
        <v>565</v>
      </c>
      <c r="G7" s="363">
        <v>1328388</v>
      </c>
      <c r="I7" s="249" t="s">
        <v>1149</v>
      </c>
      <c r="K7" s="363">
        <v>1328388</v>
      </c>
    </row>
    <row r="8" spans="1:12">
      <c r="A8" s="249" t="s">
        <v>1201</v>
      </c>
      <c r="C8" s="249" t="s">
        <v>602</v>
      </c>
    </row>
    <row r="9" spans="1:12">
      <c r="A9" s="249" t="s">
        <v>1202</v>
      </c>
      <c r="C9" s="249" t="s">
        <v>479</v>
      </c>
    </row>
    <row r="10" spans="1:12">
      <c r="A10" s="249" t="s">
        <v>1203</v>
      </c>
      <c r="C10" s="249" t="s">
        <v>484</v>
      </c>
      <c r="G10" s="363">
        <v>5177859.9800000004</v>
      </c>
      <c r="I10" s="249" t="s">
        <v>1149</v>
      </c>
      <c r="K10" s="363">
        <v>5177859.9800000004</v>
      </c>
    </row>
    <row r="11" spans="1:12">
      <c r="A11" s="249" t="s">
        <v>1204</v>
      </c>
      <c r="C11" s="249" t="s">
        <v>337</v>
      </c>
      <c r="I11" s="363">
        <v>0.8</v>
      </c>
      <c r="K11" s="249" t="s">
        <v>1149</v>
      </c>
    </row>
    <row r="12" spans="1:12">
      <c r="A12" s="249" t="s">
        <v>1205</v>
      </c>
      <c r="C12" s="249" t="s">
        <v>492</v>
      </c>
      <c r="G12" s="363">
        <v>201583.98</v>
      </c>
      <c r="I12" s="249" t="s">
        <v>1149</v>
      </c>
      <c r="K12" s="363">
        <v>201583.98</v>
      </c>
    </row>
    <row r="13" spans="1:12">
      <c r="A13" s="249" t="s">
        <v>1206</v>
      </c>
      <c r="C13" s="249" t="s">
        <v>338</v>
      </c>
      <c r="G13" s="363">
        <v>11399371.98</v>
      </c>
      <c r="I13" s="249" t="s">
        <v>1149</v>
      </c>
      <c r="K13" s="363">
        <v>11399371.98</v>
      </c>
    </row>
    <row r="14" spans="1:12">
      <c r="A14" s="249" t="s">
        <v>1207</v>
      </c>
      <c r="C14" s="249" t="s">
        <v>500</v>
      </c>
    </row>
    <row r="15" spans="1:12">
      <c r="A15" s="249" t="s">
        <v>1208</v>
      </c>
      <c r="C15" s="249" t="s">
        <v>515</v>
      </c>
      <c r="G15" s="363">
        <v>255684.53</v>
      </c>
      <c r="I15" s="249" t="s">
        <v>1149</v>
      </c>
      <c r="K15" s="363">
        <v>255684.53</v>
      </c>
    </row>
    <row r="16" spans="1:12">
      <c r="A16" s="249" t="s">
        <v>1209</v>
      </c>
      <c r="C16" s="249" t="s">
        <v>520</v>
      </c>
      <c r="G16" s="363">
        <v>157166</v>
      </c>
      <c r="I16" s="249" t="s">
        <v>1149</v>
      </c>
      <c r="K16" s="363">
        <v>157166</v>
      </c>
    </row>
    <row r="17" spans="1:11">
      <c r="A17" s="249" t="s">
        <v>1210</v>
      </c>
      <c r="C17" s="249" t="s">
        <v>532</v>
      </c>
    </row>
    <row r="18" spans="1:11">
      <c r="A18" s="249" t="s">
        <v>1211</v>
      </c>
      <c r="C18" s="249" t="s">
        <v>547</v>
      </c>
      <c r="G18" s="363">
        <v>12464000</v>
      </c>
      <c r="I18" s="249" t="s">
        <v>1149</v>
      </c>
      <c r="K18" s="363">
        <v>12464000</v>
      </c>
    </row>
    <row r="19" spans="1:11">
      <c r="A19" s="249" t="s">
        <v>1212</v>
      </c>
      <c r="C19" s="249" t="s">
        <v>552</v>
      </c>
      <c r="G19" s="363">
        <v>142298798.84999999</v>
      </c>
      <c r="I19" s="249" t="s">
        <v>1149</v>
      </c>
      <c r="K19" s="363">
        <v>142298798.84999999</v>
      </c>
    </row>
    <row r="20" spans="1:11">
      <c r="A20" s="249" t="s">
        <v>1213</v>
      </c>
      <c r="C20" s="249" t="s">
        <v>1214</v>
      </c>
      <c r="G20" s="363">
        <v>6814170.7999999998</v>
      </c>
      <c r="I20" s="249" t="s">
        <v>1149</v>
      </c>
      <c r="K20" s="363">
        <v>6814170.7999999998</v>
      </c>
    </row>
    <row r="21" spans="1:11">
      <c r="A21" s="249" t="s">
        <v>1215</v>
      </c>
      <c r="C21" s="249" t="s">
        <v>635</v>
      </c>
      <c r="G21" s="363">
        <v>844390</v>
      </c>
      <c r="I21" s="249" t="s">
        <v>1149</v>
      </c>
      <c r="K21" s="363">
        <v>844390</v>
      </c>
    </row>
    <row r="22" spans="1:11">
      <c r="A22" s="249" t="s">
        <v>1216</v>
      </c>
      <c r="C22" s="249" t="s">
        <v>335</v>
      </c>
      <c r="G22" s="363">
        <v>2211916</v>
      </c>
      <c r="I22" s="249" t="s">
        <v>1149</v>
      </c>
      <c r="K22" s="363">
        <v>2211916</v>
      </c>
    </row>
    <row r="23" spans="1:11">
      <c r="A23" s="249" t="s">
        <v>1217</v>
      </c>
      <c r="C23" s="249" t="s">
        <v>607</v>
      </c>
      <c r="G23" s="363">
        <v>2591599.2000000002</v>
      </c>
      <c r="I23" s="249" t="s">
        <v>1149</v>
      </c>
      <c r="K23" s="363">
        <v>2591599.2000000002</v>
      </c>
    </row>
    <row r="24" spans="1:11">
      <c r="A24" s="249" t="s">
        <v>1218</v>
      </c>
      <c r="C24" s="249" t="s">
        <v>688</v>
      </c>
      <c r="G24" s="363">
        <v>2604520</v>
      </c>
      <c r="I24" s="249" t="s">
        <v>1149</v>
      </c>
      <c r="K24" s="363">
        <v>2604520</v>
      </c>
    </row>
    <row r="25" spans="1:11">
      <c r="A25" s="249" t="s">
        <v>1219</v>
      </c>
      <c r="C25" s="249" t="s">
        <v>1220</v>
      </c>
      <c r="G25" s="363">
        <v>465000</v>
      </c>
      <c r="I25" s="249" t="s">
        <v>1149</v>
      </c>
      <c r="K25" s="363">
        <v>465000</v>
      </c>
    </row>
    <row r="26" spans="1:11">
      <c r="A26" s="249" t="s">
        <v>1221</v>
      </c>
      <c r="C26" s="249" t="s">
        <v>779</v>
      </c>
    </row>
    <row r="27" spans="1:11">
      <c r="A27" s="249" t="s">
        <v>1222</v>
      </c>
      <c r="C27" s="249" t="s">
        <v>889</v>
      </c>
      <c r="G27" s="363">
        <v>465000</v>
      </c>
      <c r="I27" s="249" t="s">
        <v>1149</v>
      </c>
      <c r="K27" s="363">
        <v>465000</v>
      </c>
    </row>
    <row r="28" spans="1:11">
      <c r="A28" s="249" t="s">
        <v>1223</v>
      </c>
      <c r="C28" s="249" t="s">
        <v>878</v>
      </c>
    </row>
    <row r="29" spans="1:11">
      <c r="A29" s="249" t="s">
        <v>1224</v>
      </c>
      <c r="C29" s="249" t="s">
        <v>851</v>
      </c>
      <c r="G29" s="363">
        <v>862482</v>
      </c>
      <c r="I29" s="249" t="s">
        <v>1149</v>
      </c>
      <c r="K29" s="363">
        <v>862482</v>
      </c>
    </row>
    <row r="30" spans="1:11">
      <c r="A30" s="249" t="s">
        <v>1225</v>
      </c>
      <c r="C30" s="249" t="s">
        <v>1226</v>
      </c>
      <c r="I30" s="363">
        <v>55200</v>
      </c>
      <c r="K30" s="249" t="s">
        <v>1149</v>
      </c>
    </row>
    <row r="31" spans="1:11">
      <c r="A31" s="249" t="s">
        <v>1227</v>
      </c>
      <c r="C31" s="249" t="s">
        <v>597</v>
      </c>
      <c r="G31" s="363">
        <v>2223.96</v>
      </c>
      <c r="I31" s="249" t="s">
        <v>1149</v>
      </c>
      <c r="K31" s="363">
        <v>2223.96</v>
      </c>
    </row>
    <row r="32" spans="1:11">
      <c r="A32" s="126" t="s">
        <v>1228</v>
      </c>
      <c r="B32" s="126" t="s">
        <v>904</v>
      </c>
      <c r="G32" s="363">
        <v>190144155.28</v>
      </c>
      <c r="I32" s="245" t="s">
        <v>1149</v>
      </c>
      <c r="K32" s="249" t="s">
        <v>1149</v>
      </c>
    </row>
    <row r="33" spans="1:13">
      <c r="K33" s="364">
        <v>190088954.47999999</v>
      </c>
      <c r="M33" s="249" t="s">
        <v>1149</v>
      </c>
    </row>
    <row r="34" spans="1:13">
      <c r="A34" s="239" t="s">
        <v>1162</v>
      </c>
      <c r="C34" s="239" t="s">
        <v>1163</v>
      </c>
    </row>
    <row r="35" spans="1:13">
      <c r="A35" s="249" t="s">
        <v>1229</v>
      </c>
      <c r="C35" s="249" t="s">
        <v>1230</v>
      </c>
      <c r="I35" s="363">
        <v>3000</v>
      </c>
      <c r="K35" s="249" t="s">
        <v>1166</v>
      </c>
    </row>
    <row r="36" spans="1:13">
      <c r="A36" s="249" t="s">
        <v>1203</v>
      </c>
      <c r="C36" s="249" t="s">
        <v>484</v>
      </c>
      <c r="I36" s="363">
        <v>37855</v>
      </c>
      <c r="K36" s="249" t="s">
        <v>1166</v>
      </c>
    </row>
    <row r="37" spans="1:13">
      <c r="A37" s="249" t="s">
        <v>1204</v>
      </c>
      <c r="C37" s="249" t="s">
        <v>337</v>
      </c>
      <c r="K37" s="363">
        <v>300</v>
      </c>
    </row>
    <row r="38" spans="1:13">
      <c r="A38" s="249" t="s">
        <v>1206</v>
      </c>
      <c r="C38" s="249" t="s">
        <v>338</v>
      </c>
      <c r="I38" s="363">
        <v>49170</v>
      </c>
      <c r="K38" s="249" t="s">
        <v>1166</v>
      </c>
    </row>
    <row r="39" spans="1:13">
      <c r="A39" s="249" t="s">
        <v>1231</v>
      </c>
      <c r="C39" s="249" t="s">
        <v>336</v>
      </c>
      <c r="K39" s="363">
        <v>574</v>
      </c>
    </row>
    <row r="40" spans="1:13">
      <c r="A40" s="249" t="s">
        <v>1208</v>
      </c>
      <c r="C40" s="249" t="s">
        <v>515</v>
      </c>
      <c r="I40" s="363">
        <v>1850</v>
      </c>
      <c r="K40" s="249" t="s">
        <v>1166</v>
      </c>
    </row>
    <row r="41" spans="1:13">
      <c r="A41" s="249" t="s">
        <v>1209</v>
      </c>
      <c r="C41" s="249" t="s">
        <v>520</v>
      </c>
      <c r="K41" s="363">
        <v>297</v>
      </c>
    </row>
    <row r="42" spans="1:13">
      <c r="A42" s="249" t="s">
        <v>1232</v>
      </c>
      <c r="C42" s="249" t="s">
        <v>524</v>
      </c>
      <c r="K42" s="363">
        <v>563</v>
      </c>
    </row>
    <row r="43" spans="1:13">
      <c r="A43" s="249" t="s">
        <v>1233</v>
      </c>
      <c r="C43" s="249" t="s">
        <v>1234</v>
      </c>
    </row>
    <row r="44" spans="1:13">
      <c r="A44" s="249" t="s">
        <v>1211</v>
      </c>
      <c r="C44" s="249" t="s">
        <v>547</v>
      </c>
      <c r="I44" s="363">
        <v>90000</v>
      </c>
      <c r="K44" s="249" t="s">
        <v>1166</v>
      </c>
    </row>
    <row r="45" spans="1:13">
      <c r="A45" s="249" t="s">
        <v>1212</v>
      </c>
      <c r="C45" s="249" t="s">
        <v>552</v>
      </c>
      <c r="I45" s="363">
        <v>866591.87</v>
      </c>
      <c r="K45" s="249" t="s">
        <v>1166</v>
      </c>
    </row>
    <row r="46" spans="1:13">
      <c r="A46" s="249" t="s">
        <v>1213</v>
      </c>
      <c r="C46" s="249" t="s">
        <v>1214</v>
      </c>
      <c r="I46" s="363">
        <v>45183.68</v>
      </c>
      <c r="K46" s="249" t="s">
        <v>1166</v>
      </c>
    </row>
    <row r="47" spans="1:13">
      <c r="A47" s="249" t="s">
        <v>1235</v>
      </c>
      <c r="C47" s="249" t="s">
        <v>1236</v>
      </c>
      <c r="I47" s="363">
        <v>2000</v>
      </c>
      <c r="K47" s="249" t="s">
        <v>1166</v>
      </c>
    </row>
    <row r="48" spans="1:13">
      <c r="A48" s="249" t="s">
        <v>1237</v>
      </c>
      <c r="C48" s="249" t="s">
        <v>560</v>
      </c>
      <c r="G48" s="363">
        <v>0.9</v>
      </c>
      <c r="I48" s="249" t="s">
        <v>1166</v>
      </c>
      <c r="K48" s="363">
        <v>124.65</v>
      </c>
    </row>
    <row r="49" spans="1:13">
      <c r="A49" s="249" t="s">
        <v>1215</v>
      </c>
      <c r="C49" s="249" t="s">
        <v>635</v>
      </c>
      <c r="I49" s="363">
        <v>6200</v>
      </c>
      <c r="K49" s="249" t="s">
        <v>1166</v>
      </c>
    </row>
    <row r="50" spans="1:13">
      <c r="A50" s="249" t="s">
        <v>1216</v>
      </c>
      <c r="C50" s="249" t="s">
        <v>335</v>
      </c>
      <c r="I50" s="363">
        <v>16000</v>
      </c>
      <c r="K50" s="249" t="s">
        <v>1166</v>
      </c>
    </row>
    <row r="51" spans="1:13">
      <c r="A51" s="249" t="s">
        <v>1238</v>
      </c>
      <c r="C51" s="249" t="s">
        <v>565</v>
      </c>
      <c r="I51" s="363">
        <v>9569</v>
      </c>
      <c r="K51" s="249" t="s">
        <v>1166</v>
      </c>
    </row>
    <row r="52" spans="1:13">
      <c r="A52" s="249" t="s">
        <v>1217</v>
      </c>
      <c r="C52" s="249" t="s">
        <v>607</v>
      </c>
      <c r="I52" s="363">
        <v>19000</v>
      </c>
      <c r="K52" s="249" t="s">
        <v>1166</v>
      </c>
    </row>
    <row r="53" spans="1:13">
      <c r="A53" s="249" t="s">
        <v>1218</v>
      </c>
      <c r="C53" s="249" t="s">
        <v>688</v>
      </c>
      <c r="I53" s="363">
        <v>19000</v>
      </c>
      <c r="K53" s="249" t="s">
        <v>1166</v>
      </c>
    </row>
    <row r="54" spans="1:13">
      <c r="A54" s="126" t="s">
        <v>1228</v>
      </c>
      <c r="B54" s="126" t="s">
        <v>891</v>
      </c>
      <c r="G54" s="363">
        <v>0.9</v>
      </c>
      <c r="I54" s="245" t="s">
        <v>1166</v>
      </c>
      <c r="K54" s="249" t="s">
        <v>1166</v>
      </c>
      <c r="M54" s="249" t="s">
        <v>1166</v>
      </c>
    </row>
    <row r="55" spans="1:13">
      <c r="K55" s="364">
        <v>-1165418.6499999999</v>
      </c>
    </row>
    <row r="56" spans="1:13">
      <c r="A56" s="365" t="s">
        <v>1228</v>
      </c>
      <c r="B56" s="126" t="s">
        <v>1239</v>
      </c>
    </row>
    <row r="57" spans="1:13">
      <c r="K57" s="364">
        <v>28697631.460000001</v>
      </c>
    </row>
  </sheetData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</sheetPr>
  <dimension ref="A2:F18"/>
  <sheetViews>
    <sheetView topLeftCell="B1" workbookViewId="0">
      <selection activeCell="J10" sqref="J10"/>
    </sheetView>
  </sheetViews>
  <sheetFormatPr defaultRowHeight="15"/>
  <cols>
    <col min="1" max="1" width="0" hidden="1" customWidth="1"/>
    <col min="2" max="2" width="33.5703125" customWidth="1"/>
    <col min="3" max="3" width="17.7109375" customWidth="1"/>
    <col min="4" max="4" width="20.140625" customWidth="1"/>
    <col min="5" max="5" width="4" hidden="1" customWidth="1"/>
    <col min="6" max="6" width="16.7109375" hidden="1" customWidth="1"/>
    <col min="7" max="7" width="9.140625" customWidth="1"/>
  </cols>
  <sheetData>
    <row r="2" spans="1:6">
      <c r="B2" s="118" t="s">
        <v>1328</v>
      </c>
    </row>
    <row r="3" spans="1:6" ht="15.75" thickBot="1"/>
    <row r="4" spans="1:6" ht="15" customHeight="1" thickTop="1" thickBot="1">
      <c r="B4" s="19"/>
      <c r="C4" s="19" t="s">
        <v>403</v>
      </c>
      <c r="D4" s="19" t="s">
        <v>38</v>
      </c>
      <c r="F4" s="19" t="s">
        <v>173</v>
      </c>
    </row>
    <row r="5" spans="1:6" ht="15" customHeight="1">
      <c r="A5" s="130" t="s">
        <v>262</v>
      </c>
      <c r="B5" s="54" t="s">
        <v>95</v>
      </c>
      <c r="C5" s="55">
        <f>SUMIFS('TB DBase'!L:L,'TB DBase'!C:C,A5)</f>
        <v>34883730.459999979</v>
      </c>
      <c r="D5" s="65">
        <v>6186098.8100000024</v>
      </c>
      <c r="F5" s="65">
        <f>C5-D5</f>
        <v>28697631.649999976</v>
      </c>
    </row>
    <row r="6" spans="1:6" ht="15" customHeight="1">
      <c r="A6" s="162" t="s">
        <v>261</v>
      </c>
      <c r="B6" s="20" t="s">
        <v>96</v>
      </c>
      <c r="C6" s="49">
        <f>SUMIFS('TB DBase'!L:L,'TB DBase'!C:C,A6)</f>
        <v>109635</v>
      </c>
      <c r="D6" s="66">
        <v>106540</v>
      </c>
      <c r="F6" s="66">
        <f>C6-D6</f>
        <v>3095</v>
      </c>
    </row>
    <row r="7" spans="1:6" ht="15" customHeight="1">
      <c r="B7" s="20" t="s">
        <v>97</v>
      </c>
      <c r="C7" s="366">
        <f>SUMIFS('TB DBase'!L:L,'TB DBase'!C:C,A7)</f>
        <v>0</v>
      </c>
      <c r="D7" s="66"/>
      <c r="F7" s="66">
        <f>C7-D7</f>
        <v>0</v>
      </c>
    </row>
    <row r="8" spans="1:6" ht="15" customHeight="1">
      <c r="B8" s="20" t="s">
        <v>362</v>
      </c>
      <c r="C8" s="366">
        <f>SUMIFS('TB DBase'!L:L,'TB DBase'!C:C,A8)</f>
        <v>0</v>
      </c>
      <c r="D8" s="66">
        <v>4747</v>
      </c>
      <c r="F8" s="66"/>
    </row>
    <row r="9" spans="1:6" ht="15" customHeight="1">
      <c r="B9" s="20" t="s">
        <v>98</v>
      </c>
      <c r="C9" s="366">
        <f>SUMIFS('TB DBase'!L:L,'TB DBase'!C:C,A9)</f>
        <v>0</v>
      </c>
      <c r="D9" s="66"/>
      <c r="F9" s="66">
        <f>C9-D9</f>
        <v>0</v>
      </c>
    </row>
    <row r="10" spans="1:6" ht="15" customHeight="1">
      <c r="B10" s="56" t="s">
        <v>99</v>
      </c>
      <c r="C10" s="366">
        <f>'TB DBase'!P19</f>
        <v>664618.53999999911</v>
      </c>
      <c r="D10" s="66">
        <v>1529516</v>
      </c>
      <c r="F10" s="66">
        <f>C10-D10</f>
        <v>-864897.46000000089</v>
      </c>
    </row>
    <row r="11" spans="1:6" ht="15" customHeight="1">
      <c r="B11" s="56" t="s">
        <v>100</v>
      </c>
      <c r="C11" s="366">
        <f>SUMIFS('TB DBase'!L:L,'TB DBase'!C:C,A11)</f>
        <v>0</v>
      </c>
      <c r="D11" s="66"/>
      <c r="F11" s="66">
        <f>C11-D11</f>
        <v>0</v>
      </c>
    </row>
    <row r="12" spans="1:6" ht="15" customHeight="1" thickBot="1">
      <c r="A12" s="130"/>
      <c r="B12" s="56" t="s">
        <v>101</v>
      </c>
      <c r="C12" s="49"/>
      <c r="D12" s="66">
        <v>476761</v>
      </c>
      <c r="F12" s="66">
        <f>C12-D12</f>
        <v>-476761</v>
      </c>
    </row>
    <row r="13" spans="1:6" ht="15" customHeight="1" thickBot="1">
      <c r="B13" s="57" t="s">
        <v>43</v>
      </c>
      <c r="C13" s="58">
        <f>SUM(C5:C12)</f>
        <v>35657983.999999978</v>
      </c>
      <c r="D13" s="58">
        <v>8303662.8100000024</v>
      </c>
      <c r="F13" s="58">
        <f>SUM(F5:F12)</f>
        <v>27359068.189999975</v>
      </c>
    </row>
    <row r="14" spans="1:6" ht="15.75" thickTop="1"/>
    <row r="15" spans="1:6">
      <c r="B15" s="56"/>
      <c r="C15" s="359"/>
    </row>
    <row r="16" spans="1:6">
      <c r="B16" s="56"/>
      <c r="C16" s="114"/>
      <c r="D16" s="222"/>
      <c r="E16" s="222"/>
    </row>
    <row r="17" spans="3:5">
      <c r="C17" s="223"/>
      <c r="D17" s="222"/>
      <c r="E17" s="222"/>
    </row>
    <row r="18" spans="3:5">
      <c r="C18" s="223"/>
      <c r="D18" s="222"/>
      <c r="E18" s="222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</sheetPr>
  <dimension ref="A2:F15"/>
  <sheetViews>
    <sheetView topLeftCell="B1" workbookViewId="0">
      <selection activeCell="B2" sqref="B2"/>
    </sheetView>
  </sheetViews>
  <sheetFormatPr defaultRowHeight="15"/>
  <cols>
    <col min="1" max="1" width="0" hidden="1" customWidth="1"/>
    <col min="2" max="2" width="41.140625" customWidth="1"/>
    <col min="3" max="3" width="20.7109375" customWidth="1"/>
    <col min="4" max="4" width="17.42578125" customWidth="1"/>
    <col min="5" max="5" width="2.85546875" hidden="1" customWidth="1"/>
    <col min="6" max="6" width="16.7109375" hidden="1" customWidth="1"/>
  </cols>
  <sheetData>
    <row r="2" spans="1:6">
      <c r="B2" s="118" t="s">
        <v>1329</v>
      </c>
    </row>
    <row r="3" spans="1:6" ht="15.75" thickBot="1"/>
    <row r="4" spans="1:6" ht="15" customHeight="1" thickTop="1" thickBot="1">
      <c r="B4" s="59"/>
      <c r="C4" s="19" t="s">
        <v>403</v>
      </c>
      <c r="D4" s="19" t="s">
        <v>38</v>
      </c>
      <c r="F4" s="19" t="s">
        <v>173</v>
      </c>
    </row>
    <row r="5" spans="1:6" ht="15" customHeight="1">
      <c r="B5" s="13"/>
      <c r="C5" s="4"/>
      <c r="D5" s="4"/>
      <c r="F5" s="65">
        <f>C5-D5</f>
        <v>0</v>
      </c>
    </row>
    <row r="6" spans="1:6" ht="15" customHeight="1">
      <c r="B6" s="56" t="s">
        <v>328</v>
      </c>
      <c r="C6" s="11"/>
      <c r="D6" s="4"/>
      <c r="F6" s="66">
        <f t="shared" ref="F6:F10" si="0">C6-D6</f>
        <v>0</v>
      </c>
    </row>
    <row r="7" spans="1:6" ht="15" customHeight="1">
      <c r="A7" s="130" t="s">
        <v>264</v>
      </c>
      <c r="B7" s="56" t="s">
        <v>103</v>
      </c>
      <c r="C7" s="11">
        <f>SUMIFS('TB DBase'!N:N,'TB DBase'!C:C,A7)</f>
        <v>13466998.400000006</v>
      </c>
      <c r="D7" s="64">
        <v>17548352.629999999</v>
      </c>
      <c r="F7" s="66">
        <f t="shared" si="0"/>
        <v>-4081354.229999993</v>
      </c>
    </row>
    <row r="8" spans="1:6" ht="15" customHeight="1">
      <c r="B8" s="56" t="s">
        <v>119</v>
      </c>
      <c r="C8" s="11"/>
      <c r="D8" s="4"/>
      <c r="F8" s="66">
        <f t="shared" si="0"/>
        <v>0</v>
      </c>
    </row>
    <row r="9" spans="1:6" ht="15" customHeight="1">
      <c r="B9" s="56" t="s">
        <v>343</v>
      </c>
      <c r="C9" s="11"/>
      <c r="D9" s="4"/>
      <c r="F9" s="66">
        <f t="shared" si="0"/>
        <v>0</v>
      </c>
    </row>
    <row r="10" spans="1:6" ht="15" customHeight="1" thickBot="1">
      <c r="B10" s="60"/>
      <c r="C10" s="26"/>
      <c r="D10" s="26"/>
      <c r="F10" s="66">
        <f t="shared" si="0"/>
        <v>0</v>
      </c>
    </row>
    <row r="11" spans="1:6" ht="15" customHeight="1" thickBot="1">
      <c r="B11" s="25" t="s">
        <v>43</v>
      </c>
      <c r="C11" s="16">
        <f>SUM(C6:C10)</f>
        <v>13466998.400000006</v>
      </c>
      <c r="D11" s="16">
        <v>17548352.629999999</v>
      </c>
      <c r="F11" s="58">
        <f>SUM(F5:F10)</f>
        <v>-4081354.229999993</v>
      </c>
    </row>
    <row r="12" spans="1:6" ht="15" customHeight="1" thickTop="1"/>
    <row r="13" spans="1:6" ht="15" customHeight="1">
      <c r="F13">
        <f>C14-D14</f>
        <v>0</v>
      </c>
    </row>
    <row r="14" spans="1:6" ht="15" customHeight="1"/>
    <row r="15" spans="1:6" ht="15" customHeight="1"/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</sheetPr>
  <dimension ref="B3:P72"/>
  <sheetViews>
    <sheetView topLeftCell="B1" workbookViewId="0">
      <selection activeCell="J24" sqref="J24"/>
    </sheetView>
  </sheetViews>
  <sheetFormatPr defaultRowHeight="15"/>
  <cols>
    <col min="1" max="1" width="0" hidden="1" customWidth="1"/>
    <col min="2" max="2" width="40.7109375" customWidth="1"/>
    <col min="4" max="4" width="10.7109375" customWidth="1"/>
    <col min="5" max="5" width="10.85546875" customWidth="1"/>
    <col min="6" max="6" width="10.42578125" customWidth="1"/>
    <col min="7" max="7" width="13.42578125" customWidth="1"/>
    <col min="8" max="8" width="10.5703125" customWidth="1"/>
    <col min="9" max="9" width="12.28515625" customWidth="1"/>
    <col min="11" max="11" width="9.5703125" bestFit="1" customWidth="1"/>
    <col min="12" max="12" width="12.85546875" customWidth="1"/>
    <col min="13" max="13" width="15.28515625" bestFit="1" customWidth="1"/>
    <col min="15" max="15" width="13.28515625" customWidth="1"/>
  </cols>
  <sheetData>
    <row r="3" spans="2:11" ht="15" customHeight="1">
      <c r="B3" s="67" t="s">
        <v>1330</v>
      </c>
    </row>
    <row r="4" spans="2:11" ht="15" customHeight="1">
      <c r="B4" s="1"/>
    </row>
    <row r="5" spans="2:11" ht="15" customHeight="1" thickBot="1">
      <c r="B5" s="52"/>
    </row>
    <row r="6" spans="2:11" s="63" customFormat="1" ht="42" customHeight="1" thickTop="1" thickBot="1">
      <c r="B6" s="82"/>
      <c r="C6" s="82" t="s">
        <v>104</v>
      </c>
      <c r="D6" s="82" t="s">
        <v>105</v>
      </c>
      <c r="E6" s="82" t="s">
        <v>106</v>
      </c>
      <c r="F6" s="82" t="s">
        <v>107</v>
      </c>
      <c r="G6" s="82" t="s">
        <v>108</v>
      </c>
      <c r="H6" s="82" t="s">
        <v>109</v>
      </c>
      <c r="I6" s="82" t="s">
        <v>110</v>
      </c>
      <c r="J6" s="82" t="s">
        <v>111</v>
      </c>
      <c r="K6" s="82" t="s">
        <v>43</v>
      </c>
    </row>
    <row r="7" spans="2:11" ht="15" customHeight="1">
      <c r="B7" s="68" t="s">
        <v>112</v>
      </c>
      <c r="C7" s="69"/>
      <c r="D7" s="70"/>
      <c r="E7" s="70"/>
      <c r="F7" s="70"/>
      <c r="G7" s="70"/>
      <c r="H7" s="70"/>
      <c r="I7" s="70"/>
      <c r="J7" s="70"/>
      <c r="K7" s="70"/>
    </row>
    <row r="8" spans="2:11" ht="15" customHeight="1">
      <c r="B8" s="71" t="s">
        <v>118</v>
      </c>
      <c r="C8" s="72"/>
      <c r="D8" s="374">
        <v>152956</v>
      </c>
      <c r="E8" s="73"/>
      <c r="F8" s="73"/>
      <c r="G8" s="73"/>
      <c r="H8" s="73"/>
      <c r="I8" s="73"/>
      <c r="J8" s="73"/>
      <c r="K8" s="415">
        <f>SUM(D8:J8)</f>
        <v>152956</v>
      </c>
    </row>
    <row r="9" spans="2:11" ht="15" customHeight="1">
      <c r="B9" s="71" t="s">
        <v>113</v>
      </c>
      <c r="C9" s="72"/>
      <c r="D9" s="368">
        <v>202781</v>
      </c>
      <c r="E9" s="73"/>
      <c r="F9" s="73"/>
      <c r="G9" s="73"/>
      <c r="H9" s="74"/>
      <c r="I9" s="74"/>
      <c r="J9" s="74"/>
      <c r="K9" s="415">
        <f t="shared" ref="K9:K12" si="0">SUM(D9:J9)</f>
        <v>202781</v>
      </c>
    </row>
    <row r="10" spans="2:11" ht="15" customHeight="1">
      <c r="B10" s="71" t="s">
        <v>951</v>
      </c>
      <c r="C10" s="70"/>
      <c r="D10" s="368">
        <f>SUM(D8:D9)</f>
        <v>355737</v>
      </c>
      <c r="E10" s="368">
        <f t="shared" ref="E10:J10" si="1">SUM(E8:E9)</f>
        <v>0</v>
      </c>
      <c r="F10" s="368">
        <f t="shared" si="1"/>
        <v>0</v>
      </c>
      <c r="G10" s="368">
        <f t="shared" si="1"/>
        <v>0</v>
      </c>
      <c r="H10" s="368">
        <f t="shared" si="1"/>
        <v>0</v>
      </c>
      <c r="I10" s="368">
        <f t="shared" si="1"/>
        <v>0</v>
      </c>
      <c r="J10" s="368">
        <f t="shared" si="1"/>
        <v>0</v>
      </c>
      <c r="K10" s="415">
        <f t="shared" si="0"/>
        <v>355737</v>
      </c>
    </row>
    <row r="11" spans="2:11" ht="15" customHeight="1" thickBot="1">
      <c r="B11" s="71" t="s">
        <v>113</v>
      </c>
      <c r="C11" s="75"/>
      <c r="D11" s="369"/>
      <c r="E11" s="75">
        <v>4735860.5</v>
      </c>
      <c r="F11" s="75"/>
      <c r="G11" s="75"/>
      <c r="H11" s="75"/>
      <c r="I11" s="75">
        <f>247333+38417+59743.65</f>
        <v>345493.65</v>
      </c>
      <c r="J11" s="75"/>
      <c r="K11" s="415">
        <f t="shared" si="0"/>
        <v>5081354.1500000004</v>
      </c>
    </row>
    <row r="12" spans="2:11" ht="15" customHeight="1" thickBot="1">
      <c r="B12" s="76" t="s">
        <v>952</v>
      </c>
      <c r="C12" s="77"/>
      <c r="D12" s="370">
        <f>SUM(D10:D11)</f>
        <v>355737</v>
      </c>
      <c r="E12" s="375">
        <f t="shared" ref="E12:I12" si="2">SUM(E10:E11)</f>
        <v>4735860.5</v>
      </c>
      <c r="F12" s="375">
        <f t="shared" si="2"/>
        <v>0</v>
      </c>
      <c r="G12" s="375">
        <f t="shared" si="2"/>
        <v>0</v>
      </c>
      <c r="H12" s="375">
        <f t="shared" si="2"/>
        <v>0</v>
      </c>
      <c r="I12" s="370">
        <f t="shared" si="2"/>
        <v>345493.65</v>
      </c>
      <c r="J12" s="77"/>
      <c r="K12" s="77">
        <f t="shared" si="0"/>
        <v>5437091.1500000004</v>
      </c>
    </row>
    <row r="13" spans="2:11" ht="15" customHeight="1">
      <c r="B13" s="69"/>
      <c r="C13" s="69"/>
      <c r="D13" s="371"/>
      <c r="E13" s="69"/>
      <c r="F13" s="69"/>
      <c r="G13" s="69"/>
      <c r="H13" s="69"/>
      <c r="I13" s="69"/>
      <c r="J13" s="69"/>
      <c r="K13" s="78"/>
    </row>
    <row r="14" spans="2:11" ht="15" customHeight="1" thickBot="1">
      <c r="B14" s="79" t="s">
        <v>115</v>
      </c>
      <c r="C14" s="69"/>
      <c r="D14" s="371"/>
      <c r="E14" s="69"/>
      <c r="F14" s="69"/>
      <c r="G14" s="69"/>
      <c r="H14" s="69"/>
      <c r="I14" s="69"/>
      <c r="J14" s="69"/>
      <c r="K14" s="78"/>
    </row>
    <row r="15" spans="2:11" ht="15" customHeight="1" thickBot="1">
      <c r="B15" s="71" t="s">
        <v>118</v>
      </c>
      <c r="C15" s="72"/>
      <c r="D15" s="372"/>
      <c r="E15" s="70"/>
      <c r="F15" s="73"/>
      <c r="G15" s="73"/>
      <c r="H15" s="80"/>
      <c r="I15" s="80"/>
      <c r="J15" s="72"/>
      <c r="K15" s="375">
        <f>SUM(D15:J15)</f>
        <v>0</v>
      </c>
    </row>
    <row r="16" spans="2:11" ht="15" customHeight="1">
      <c r="B16" s="71" t="s">
        <v>116</v>
      </c>
      <c r="C16" s="72"/>
      <c r="D16" s="414">
        <v>73595</v>
      </c>
      <c r="E16" s="70"/>
      <c r="F16" s="73"/>
      <c r="G16" s="73"/>
      <c r="H16" s="80"/>
      <c r="I16" s="80"/>
      <c r="J16" s="72"/>
      <c r="K16" s="428">
        <f t="shared" ref="K16:K18" si="3">SUM(D16:J16)</f>
        <v>73595</v>
      </c>
    </row>
    <row r="17" spans="2:13" ht="15" customHeight="1">
      <c r="B17" s="71" t="s">
        <v>951</v>
      </c>
      <c r="C17" s="72"/>
      <c r="D17" s="373">
        <f>SUM(D15:D16)</f>
        <v>73595</v>
      </c>
      <c r="E17" s="72"/>
      <c r="F17" s="72"/>
      <c r="G17" s="72"/>
      <c r="H17" s="72"/>
      <c r="I17" s="72"/>
      <c r="J17" s="72"/>
      <c r="K17" s="429">
        <f t="shared" si="3"/>
        <v>73595</v>
      </c>
    </row>
    <row r="18" spans="2:13" ht="15" customHeight="1" thickBot="1">
      <c r="B18" s="71" t="s">
        <v>116</v>
      </c>
      <c r="C18" s="72"/>
      <c r="D18" s="369"/>
      <c r="E18" s="75">
        <f>O50+O41</f>
        <v>353700.88333333336</v>
      </c>
      <c r="F18" s="75"/>
      <c r="G18" s="75"/>
      <c r="H18" s="75"/>
      <c r="I18" s="75">
        <v>29767</v>
      </c>
      <c r="J18" s="75"/>
      <c r="K18" s="428">
        <f t="shared" si="3"/>
        <v>383467.88333333336</v>
      </c>
    </row>
    <row r="19" spans="2:13" ht="15" customHeight="1" thickBot="1">
      <c r="B19" s="76" t="s">
        <v>952</v>
      </c>
      <c r="C19" s="81"/>
      <c r="D19" s="370">
        <f>SUM(D17:D18)</f>
        <v>73595</v>
      </c>
      <c r="E19" s="375">
        <f t="shared" ref="E19:K19" si="4">SUM(E17:E18)</f>
        <v>353700.88333333336</v>
      </c>
      <c r="F19" s="375">
        <f t="shared" si="4"/>
        <v>0</v>
      </c>
      <c r="G19" s="375">
        <f t="shared" si="4"/>
        <v>0</v>
      </c>
      <c r="H19" s="375">
        <f t="shared" si="4"/>
        <v>0</v>
      </c>
      <c r="I19" s="370">
        <f t="shared" si="4"/>
        <v>29767</v>
      </c>
      <c r="J19" s="375">
        <f t="shared" si="4"/>
        <v>0</v>
      </c>
      <c r="K19" s="370">
        <f t="shared" si="4"/>
        <v>457062.88333333336</v>
      </c>
    </row>
    <row r="20" spans="2:13" ht="15" customHeight="1">
      <c r="B20" s="79"/>
      <c r="C20" s="69"/>
      <c r="D20" s="373"/>
      <c r="E20" s="72"/>
      <c r="F20" s="72"/>
      <c r="G20" s="72"/>
      <c r="H20" s="72"/>
      <c r="I20" s="72"/>
      <c r="J20" s="72"/>
      <c r="K20" s="78"/>
    </row>
    <row r="21" spans="2:13" ht="15" customHeight="1">
      <c r="B21" s="79" t="s">
        <v>117</v>
      </c>
      <c r="C21" s="69"/>
      <c r="D21" s="373"/>
      <c r="E21" s="72"/>
      <c r="F21" s="72"/>
      <c r="G21" s="72"/>
      <c r="H21" s="72"/>
      <c r="I21" s="72"/>
      <c r="J21" s="72"/>
      <c r="K21" s="78"/>
    </row>
    <row r="22" spans="2:13" ht="15" customHeight="1" thickBot="1">
      <c r="B22" s="71" t="s">
        <v>114</v>
      </c>
      <c r="C22" s="72"/>
      <c r="D22" s="373"/>
      <c r="E22" s="72"/>
      <c r="F22" s="72"/>
      <c r="G22" s="72"/>
      <c r="H22" s="72"/>
      <c r="I22" s="72"/>
      <c r="J22" s="72"/>
      <c r="K22" s="78"/>
    </row>
    <row r="23" spans="2:13" ht="15" customHeight="1" thickBot="1">
      <c r="B23" s="76" t="s">
        <v>952</v>
      </c>
      <c r="C23" s="77"/>
      <c r="D23" s="370">
        <f>D12-D19</f>
        <v>282142</v>
      </c>
      <c r="E23" s="370">
        <f t="shared" ref="E23:K23" si="5">E12-E19</f>
        <v>4382159.6166666662</v>
      </c>
      <c r="F23" s="375">
        <f t="shared" si="5"/>
        <v>0</v>
      </c>
      <c r="G23" s="375">
        <f t="shared" si="5"/>
        <v>0</v>
      </c>
      <c r="H23" s="375">
        <f t="shared" si="5"/>
        <v>0</v>
      </c>
      <c r="I23" s="370">
        <f t="shared" si="5"/>
        <v>315726.65000000002</v>
      </c>
      <c r="J23" s="375">
        <f t="shared" si="5"/>
        <v>0</v>
      </c>
      <c r="K23" s="370">
        <f t="shared" si="5"/>
        <v>4980028.2666666666</v>
      </c>
      <c r="L23" s="10"/>
    </row>
    <row r="25" spans="2:13" hidden="1">
      <c r="D25" s="113">
        <f>+D10-D17</f>
        <v>282142</v>
      </c>
    </row>
    <row r="26" spans="2:13" hidden="1"/>
    <row r="27" spans="2:13" hidden="1">
      <c r="B27" s="377" t="s">
        <v>267</v>
      </c>
      <c r="C27" s="377" t="s">
        <v>243</v>
      </c>
      <c r="D27" s="377"/>
      <c r="E27" s="377"/>
      <c r="F27" s="377">
        <v>7045588.5</v>
      </c>
      <c r="G27" s="377">
        <v>2006772</v>
      </c>
      <c r="H27" s="377">
        <f>F27-G27</f>
        <v>5038816.5</v>
      </c>
      <c r="I27" s="377"/>
      <c r="J27" s="377"/>
      <c r="K27" s="377"/>
      <c r="L27" s="377"/>
      <c r="M27" s="377"/>
    </row>
    <row r="28" spans="2:13" hidden="1">
      <c r="B28" s="384" t="s">
        <v>266</v>
      </c>
      <c r="C28" s="384" t="s">
        <v>242</v>
      </c>
      <c r="D28" s="385"/>
      <c r="E28" s="385"/>
      <c r="F28" s="386">
        <v>378643.92</v>
      </c>
      <c r="G28" s="387">
        <v>0</v>
      </c>
      <c r="H28" s="377">
        <f t="shared" ref="H28:H29" si="6">F28-G28</f>
        <v>378643.92</v>
      </c>
      <c r="I28" s="377"/>
      <c r="J28" s="377"/>
      <c r="K28" s="377"/>
      <c r="L28" s="377"/>
      <c r="M28" s="377"/>
    </row>
    <row r="29" spans="2:13" hidden="1">
      <c r="B29" s="384" t="s">
        <v>265</v>
      </c>
      <c r="C29" s="384" t="s">
        <v>241</v>
      </c>
      <c r="D29" s="385"/>
      <c r="E29" s="385"/>
      <c r="F29" s="386">
        <v>37782</v>
      </c>
      <c r="G29" s="387">
        <v>0</v>
      </c>
      <c r="H29" s="377">
        <f t="shared" si="6"/>
        <v>37782</v>
      </c>
      <c r="I29" s="377">
        <f>SUM(H28:H29)</f>
        <v>416425.92</v>
      </c>
      <c r="J29" s="388">
        <f>-I11+I29</f>
        <v>70932.26999999996</v>
      </c>
      <c r="K29" s="377"/>
      <c r="L29" s="377"/>
      <c r="M29" s="377"/>
    </row>
    <row r="30" spans="2:13" hidden="1">
      <c r="B30" s="384" t="s">
        <v>277</v>
      </c>
      <c r="C30" s="384" t="s">
        <v>240</v>
      </c>
      <c r="D30" s="385"/>
      <c r="E30" s="385"/>
      <c r="F30" s="386">
        <v>0</v>
      </c>
      <c r="G30" s="387">
        <v>42771</v>
      </c>
      <c r="H30" s="377"/>
      <c r="I30" s="377"/>
      <c r="J30" s="377"/>
      <c r="K30" s="377"/>
      <c r="L30" s="377"/>
      <c r="M30" s="377"/>
    </row>
    <row r="31" spans="2:13" hidden="1">
      <c r="B31" s="384" t="s">
        <v>276</v>
      </c>
      <c r="C31" s="384" t="s">
        <v>275</v>
      </c>
      <c r="D31" s="385"/>
      <c r="E31" s="385"/>
      <c r="F31" s="386">
        <v>0</v>
      </c>
      <c r="G31" s="387">
        <v>414291.7</v>
      </c>
      <c r="H31" s="377"/>
      <c r="I31" s="377"/>
      <c r="J31" s="377"/>
      <c r="K31" s="377"/>
      <c r="L31" s="377"/>
      <c r="M31" s="377"/>
    </row>
    <row r="32" spans="2:13" hidden="1">
      <c r="B32" s="377"/>
      <c r="C32" s="377"/>
      <c r="D32" s="377"/>
      <c r="E32" s="377"/>
      <c r="F32" s="377"/>
      <c r="G32" s="377"/>
      <c r="H32" s="377">
        <f>SUM(H27:H31)</f>
        <v>5455242.4199999999</v>
      </c>
      <c r="I32" s="377"/>
      <c r="J32" s="377"/>
      <c r="K32" s="377"/>
      <c r="L32" s="377">
        <v>2042922.5</v>
      </c>
      <c r="M32" s="377">
        <v>285750</v>
      </c>
    </row>
    <row r="33" spans="2:15" hidden="1">
      <c r="B33" s="384"/>
      <c r="C33" s="384"/>
      <c r="D33" s="385"/>
      <c r="E33" s="385"/>
      <c r="F33" s="386"/>
      <c r="G33" s="387"/>
      <c r="H33" s="377"/>
      <c r="I33" s="377"/>
      <c r="J33" s="377"/>
      <c r="K33" s="377"/>
      <c r="L33" s="377">
        <v>1792938</v>
      </c>
      <c r="M33" s="377"/>
    </row>
    <row r="34" spans="2:15" hidden="1">
      <c r="B34" s="385"/>
      <c r="C34" s="385"/>
      <c r="D34" s="385"/>
      <c r="E34" s="385"/>
      <c r="F34" s="385"/>
      <c r="G34" s="385"/>
      <c r="H34" s="377"/>
      <c r="I34" s="377"/>
      <c r="J34" s="377"/>
      <c r="K34" s="377"/>
      <c r="L34" s="377">
        <v>200000</v>
      </c>
      <c r="M34" s="377"/>
    </row>
    <row r="35" spans="2:15" hidden="1">
      <c r="B35" s="384" t="s">
        <v>847</v>
      </c>
      <c r="C35" s="384" t="s">
        <v>945</v>
      </c>
      <c r="D35" s="385"/>
      <c r="E35" s="385"/>
      <c r="F35" s="386">
        <v>7395510</v>
      </c>
      <c r="G35" s="387">
        <v>0</v>
      </c>
      <c r="H35" s="377">
        <f>F35-G35</f>
        <v>7395510</v>
      </c>
      <c r="I35" s="377"/>
      <c r="J35" s="377"/>
      <c r="K35" s="377"/>
      <c r="L35" s="377">
        <f>SUM(L32:L34)</f>
        <v>4035860.5</v>
      </c>
      <c r="M35" s="377"/>
    </row>
    <row r="36" spans="2:15" hidden="1">
      <c r="B36" s="377"/>
      <c r="C36" s="377"/>
      <c r="D36" s="377"/>
      <c r="E36" s="377"/>
      <c r="F36" s="377"/>
      <c r="G36" s="377"/>
      <c r="H36" s="377"/>
      <c r="I36" s="377"/>
      <c r="J36" s="377"/>
      <c r="K36" s="377"/>
      <c r="L36" s="377"/>
      <c r="M36" s="377"/>
    </row>
    <row r="37" spans="2:15" hidden="1"/>
    <row r="38" spans="2:15" hidden="1">
      <c r="O38" t="s">
        <v>1259</v>
      </c>
    </row>
    <row r="39" spans="2:15" hidden="1">
      <c r="O39" s="402">
        <v>0.2</v>
      </c>
    </row>
    <row r="40" spans="2:15" hidden="1">
      <c r="B40" s="376" t="s">
        <v>267</v>
      </c>
      <c r="C40" s="377"/>
      <c r="D40" s="377"/>
      <c r="E40" s="378" t="s">
        <v>243</v>
      </c>
      <c r="F40" s="377"/>
      <c r="G40" s="377"/>
      <c r="H40" s="377"/>
      <c r="I40" s="377"/>
      <c r="J40" s="377"/>
      <c r="K40" s="377"/>
    </row>
    <row r="41" spans="2:15" hidden="1">
      <c r="B41" s="389" t="s">
        <v>1240</v>
      </c>
      <c r="C41" s="390">
        <v>3</v>
      </c>
      <c r="D41" s="391"/>
      <c r="E41" s="389" t="s">
        <v>1241</v>
      </c>
      <c r="F41" s="391"/>
      <c r="G41" s="391"/>
      <c r="H41" s="391"/>
      <c r="I41" s="397">
        <v>302956</v>
      </c>
      <c r="J41" s="398" t="s">
        <v>1149</v>
      </c>
      <c r="K41" s="399"/>
      <c r="L41" s="400">
        <f>I41-K41</f>
        <v>302956</v>
      </c>
      <c r="O41" s="401">
        <f>D25/60*12</f>
        <v>56428.4</v>
      </c>
    </row>
    <row r="42" spans="2:15" hidden="1">
      <c r="B42" s="389" t="s">
        <v>1242</v>
      </c>
      <c r="C42" s="390">
        <v>69112457</v>
      </c>
      <c r="D42" s="389" t="s">
        <v>1243</v>
      </c>
      <c r="E42" s="389" t="s">
        <v>484</v>
      </c>
      <c r="F42" s="391"/>
      <c r="G42" s="391"/>
      <c r="H42" s="391"/>
      <c r="I42" s="392">
        <v>914267.5</v>
      </c>
      <c r="J42" s="389" t="s">
        <v>1149</v>
      </c>
      <c r="K42" s="391"/>
      <c r="L42" s="117">
        <f t="shared" ref="L42:L66" si="7">I42-K42</f>
        <v>914267.5</v>
      </c>
      <c r="M42" t="s">
        <v>1258</v>
      </c>
      <c r="N42">
        <v>6</v>
      </c>
      <c r="O42" s="359">
        <f>L42/60*N42</f>
        <v>91426.75</v>
      </c>
    </row>
    <row r="43" spans="2:15" hidden="1">
      <c r="B43" s="389" t="s">
        <v>1242</v>
      </c>
      <c r="C43" s="390">
        <v>69112458</v>
      </c>
      <c r="D43" s="389" t="s">
        <v>1243</v>
      </c>
      <c r="E43" s="389" t="s">
        <v>484</v>
      </c>
      <c r="F43" s="391"/>
      <c r="G43" s="391"/>
      <c r="H43" s="391"/>
      <c r="I43" s="392">
        <v>36250</v>
      </c>
      <c r="J43" s="389" t="s">
        <v>1149</v>
      </c>
      <c r="K43" s="391"/>
      <c r="L43" s="117">
        <f t="shared" si="7"/>
        <v>36250</v>
      </c>
      <c r="M43" t="s">
        <v>1258</v>
      </c>
      <c r="N43">
        <v>6</v>
      </c>
      <c r="O43" s="359">
        <f t="shared" ref="O43:O47" si="8">L43/60*N43</f>
        <v>3625</v>
      </c>
    </row>
    <row r="44" spans="2:15" hidden="1">
      <c r="B44" s="389"/>
      <c r="C44" s="390"/>
      <c r="D44" s="389"/>
      <c r="E44" s="389"/>
      <c r="F44" s="391"/>
      <c r="G44" s="391"/>
      <c r="H44" s="391"/>
      <c r="I44" s="392"/>
      <c r="J44" s="389"/>
      <c r="K44" s="391"/>
      <c r="L44" s="117">
        <f>3099177-K48</f>
        <v>1092405</v>
      </c>
      <c r="M44" t="s">
        <v>1258</v>
      </c>
      <c r="N44">
        <v>6</v>
      </c>
      <c r="O44" s="359">
        <f t="shared" si="8"/>
        <v>109240.5</v>
      </c>
    </row>
    <row r="45" spans="2:15" hidden="1">
      <c r="B45" s="389" t="s">
        <v>1242</v>
      </c>
      <c r="C45" s="390">
        <v>69112636</v>
      </c>
      <c r="D45" s="389" t="s">
        <v>1244</v>
      </c>
      <c r="E45" s="389" t="s">
        <v>1245</v>
      </c>
      <c r="F45" s="391"/>
      <c r="G45" s="391"/>
      <c r="H45" s="391"/>
      <c r="I45" s="392">
        <v>1523500</v>
      </c>
      <c r="J45" s="389" t="s">
        <v>1149</v>
      </c>
      <c r="K45" s="391"/>
      <c r="L45" s="117">
        <f t="shared" si="7"/>
        <v>1523500</v>
      </c>
      <c r="M45">
        <v>20.09</v>
      </c>
      <c r="N45">
        <v>3</v>
      </c>
      <c r="O45" s="359">
        <f t="shared" si="8"/>
        <v>76175</v>
      </c>
    </row>
    <row r="46" spans="2:15" hidden="1">
      <c r="B46" s="389" t="s">
        <v>1240</v>
      </c>
      <c r="C46" s="390">
        <v>8</v>
      </c>
      <c r="D46" s="391"/>
      <c r="E46" s="389" t="s">
        <v>1246</v>
      </c>
      <c r="F46" s="391"/>
      <c r="G46" s="391"/>
      <c r="H46" s="391"/>
      <c r="I46" s="392">
        <v>269438</v>
      </c>
      <c r="J46" s="389" t="s">
        <v>1149</v>
      </c>
      <c r="K46" s="391"/>
      <c r="L46" s="117">
        <f t="shared" si="7"/>
        <v>269438</v>
      </c>
      <c r="M46">
        <v>20.09</v>
      </c>
      <c r="N46">
        <v>3</v>
      </c>
      <c r="O46" s="359">
        <f t="shared" si="8"/>
        <v>13471.9</v>
      </c>
    </row>
    <row r="47" spans="2:15" hidden="1">
      <c r="B47" s="389" t="s">
        <v>1242</v>
      </c>
      <c r="C47" s="390">
        <v>69112606</v>
      </c>
      <c r="D47" s="389" t="s">
        <v>1247</v>
      </c>
      <c r="E47" s="389" t="s">
        <v>1248</v>
      </c>
      <c r="F47" s="391"/>
      <c r="G47" s="391"/>
      <c r="H47" s="391"/>
      <c r="I47" s="392">
        <v>200000</v>
      </c>
      <c r="J47" s="389" t="s">
        <v>1149</v>
      </c>
      <c r="K47" s="391"/>
      <c r="L47" s="117">
        <f t="shared" si="7"/>
        <v>200000</v>
      </c>
      <c r="M47">
        <v>27.11</v>
      </c>
      <c r="N47">
        <v>1</v>
      </c>
      <c r="O47" s="359">
        <f t="shared" si="8"/>
        <v>3333.3333333333335</v>
      </c>
    </row>
    <row r="48" spans="2:15" hidden="1">
      <c r="B48" s="389" t="s">
        <v>1240</v>
      </c>
      <c r="C48" s="390">
        <v>4</v>
      </c>
      <c r="D48" s="391"/>
      <c r="E48" s="389" t="s">
        <v>1249</v>
      </c>
      <c r="F48" s="391"/>
      <c r="G48" s="391"/>
      <c r="H48" s="391"/>
      <c r="I48" s="391"/>
      <c r="J48" s="391"/>
      <c r="K48" s="392">
        <v>2006772</v>
      </c>
      <c r="L48" s="117">
        <f t="shared" si="7"/>
        <v>-2006772</v>
      </c>
    </row>
    <row r="49" spans="2:16" hidden="1">
      <c r="B49" s="389" t="s">
        <v>1242</v>
      </c>
      <c r="C49" s="390">
        <v>69112613</v>
      </c>
      <c r="D49" s="389" t="s">
        <v>1247</v>
      </c>
      <c r="E49" s="389" t="s">
        <v>1248</v>
      </c>
      <c r="F49" s="391"/>
      <c r="G49" s="391"/>
      <c r="H49" s="391"/>
      <c r="I49" s="392">
        <v>700000</v>
      </c>
      <c r="J49" s="389" t="s">
        <v>1149</v>
      </c>
      <c r="K49" s="391"/>
      <c r="L49" s="117">
        <f t="shared" si="7"/>
        <v>700000</v>
      </c>
      <c r="M49">
        <v>5.12</v>
      </c>
    </row>
    <row r="50" spans="2:16" hidden="1">
      <c r="B50" s="391"/>
      <c r="C50" s="391"/>
      <c r="D50" s="391"/>
      <c r="E50" s="391"/>
      <c r="F50" s="391"/>
      <c r="G50" s="391"/>
      <c r="H50" s="394" t="s">
        <v>267</v>
      </c>
      <c r="I50" s="395">
        <v>7045588.5</v>
      </c>
      <c r="J50" s="389" t="s">
        <v>1149</v>
      </c>
      <c r="K50" s="395">
        <v>2006772</v>
      </c>
      <c r="L50" s="396">
        <f t="shared" si="7"/>
        <v>5038816.5</v>
      </c>
      <c r="M50" s="411">
        <f>L50-L41</f>
        <v>4735860.5</v>
      </c>
      <c r="N50" s="122"/>
      <c r="O50" s="412">
        <f>SUM(O42:O49)</f>
        <v>297272.48333333334</v>
      </c>
      <c r="P50" s="122"/>
    </row>
    <row r="51" spans="2:16" s="222" customFormat="1" hidden="1">
      <c r="B51" s="385"/>
      <c r="C51" s="385"/>
      <c r="D51" s="385"/>
      <c r="E51" s="385"/>
      <c r="F51" s="385"/>
      <c r="G51" s="385"/>
      <c r="H51" s="403"/>
      <c r="I51" s="404"/>
      <c r="J51" s="405"/>
      <c r="K51" s="404"/>
      <c r="L51" s="406"/>
      <c r="M51" s="122" t="s">
        <v>1260</v>
      </c>
      <c r="N51" s="122"/>
      <c r="O51" s="412" t="s">
        <v>1262</v>
      </c>
      <c r="P51" s="122"/>
    </row>
    <row r="52" spans="2:16" s="222" customFormat="1" hidden="1">
      <c r="B52" s="407" t="s">
        <v>266</v>
      </c>
      <c r="C52" s="385"/>
      <c r="D52" s="385"/>
      <c r="E52" s="384" t="s">
        <v>242</v>
      </c>
      <c r="F52" s="385"/>
      <c r="G52" s="385"/>
      <c r="H52" s="385"/>
      <c r="I52" s="385"/>
      <c r="J52" s="385"/>
      <c r="K52" s="385"/>
      <c r="L52" s="408">
        <f t="shared" si="7"/>
        <v>0</v>
      </c>
      <c r="O52" s="409">
        <v>0.25</v>
      </c>
    </row>
    <row r="53" spans="2:16" hidden="1">
      <c r="B53" s="379" t="s">
        <v>1240</v>
      </c>
      <c r="C53" s="380">
        <v>3</v>
      </c>
      <c r="D53" s="377"/>
      <c r="E53" s="379" t="s">
        <v>1241</v>
      </c>
      <c r="F53" s="377"/>
      <c r="G53" s="377"/>
      <c r="H53" s="377"/>
      <c r="I53" s="397">
        <v>15000</v>
      </c>
      <c r="J53" s="379" t="s">
        <v>1149</v>
      </c>
      <c r="K53" s="377"/>
      <c r="L53" s="362">
        <f t="shared" si="7"/>
        <v>15000</v>
      </c>
    </row>
    <row r="54" spans="2:16" hidden="1">
      <c r="B54" s="379" t="s">
        <v>1242</v>
      </c>
      <c r="C54" s="380">
        <v>69112474</v>
      </c>
      <c r="D54" s="379" t="s">
        <v>1250</v>
      </c>
      <c r="E54" s="379" t="s">
        <v>1251</v>
      </c>
      <c r="F54" s="377"/>
      <c r="G54" s="377"/>
      <c r="H54" s="377"/>
      <c r="I54" s="397">
        <v>247333</v>
      </c>
      <c r="J54" s="379" t="s">
        <v>1149</v>
      </c>
      <c r="K54" s="377"/>
      <c r="L54" s="400">
        <f t="shared" si="7"/>
        <v>247333</v>
      </c>
      <c r="M54">
        <v>13.7</v>
      </c>
      <c r="N54">
        <v>5</v>
      </c>
      <c r="O54" s="358">
        <f>L54/48*N54</f>
        <v>25763.854166666664</v>
      </c>
    </row>
    <row r="55" spans="2:16" hidden="1">
      <c r="B55" s="379" t="s">
        <v>1242</v>
      </c>
      <c r="C55" s="380">
        <v>69112488</v>
      </c>
      <c r="D55" s="379" t="s">
        <v>1252</v>
      </c>
      <c r="E55" s="379" t="s">
        <v>1253</v>
      </c>
      <c r="F55" s="377"/>
      <c r="G55" s="377"/>
      <c r="H55" s="377"/>
      <c r="I55" s="397">
        <v>38417</v>
      </c>
      <c r="J55" s="379" t="s">
        <v>1149</v>
      </c>
      <c r="K55" s="377"/>
      <c r="L55" s="400">
        <f t="shared" si="7"/>
        <v>38417</v>
      </c>
      <c r="M55">
        <v>30.7</v>
      </c>
      <c r="N55">
        <v>5</v>
      </c>
      <c r="O55" s="358">
        <f t="shared" ref="O55:O58" si="9">L55/48*N55</f>
        <v>4001.770833333333</v>
      </c>
    </row>
    <row r="56" spans="2:16" hidden="1">
      <c r="B56" s="379"/>
      <c r="C56" s="380"/>
      <c r="D56" s="379"/>
      <c r="E56" s="379"/>
      <c r="F56" s="377"/>
      <c r="G56" s="377"/>
      <c r="H56" s="377"/>
      <c r="I56" s="397"/>
      <c r="J56" s="379"/>
      <c r="K56" s="377"/>
      <c r="L56" s="393"/>
      <c r="O56" s="358"/>
    </row>
    <row r="57" spans="2:16" hidden="1">
      <c r="B57" s="379" t="s">
        <v>1242</v>
      </c>
      <c r="C57" s="380">
        <v>69112554</v>
      </c>
      <c r="D57" s="379" t="s">
        <v>1254</v>
      </c>
      <c r="E57" s="379" t="s">
        <v>1255</v>
      </c>
      <c r="F57" s="377"/>
      <c r="G57" s="377"/>
      <c r="H57" s="377"/>
      <c r="I57" s="381">
        <v>666.67</v>
      </c>
      <c r="J57" s="379" t="s">
        <v>1149</v>
      </c>
      <c r="K57" s="377"/>
      <c r="L57" s="393"/>
      <c r="O57" s="358">
        <f t="shared" si="9"/>
        <v>0</v>
      </c>
    </row>
    <row r="58" spans="2:16" hidden="1">
      <c r="B58" s="379" t="s">
        <v>1242</v>
      </c>
      <c r="C58" s="380">
        <v>69112557</v>
      </c>
      <c r="D58" s="379" t="s">
        <v>1256</v>
      </c>
      <c r="E58" s="379" t="s">
        <v>1257</v>
      </c>
      <c r="F58" s="377"/>
      <c r="G58" s="377"/>
      <c r="H58" s="377"/>
      <c r="I58" s="397">
        <v>59743.65</v>
      </c>
      <c r="J58" s="379" t="s">
        <v>1149</v>
      </c>
      <c r="K58" s="377"/>
      <c r="L58" s="400">
        <f t="shared" si="7"/>
        <v>59743.65</v>
      </c>
      <c r="M58">
        <v>29.9</v>
      </c>
      <c r="N58">
        <v>3</v>
      </c>
      <c r="O58" s="358">
        <f t="shared" si="9"/>
        <v>3733.9781249999996</v>
      </c>
    </row>
    <row r="59" spans="2:16" hidden="1">
      <c r="B59" s="379" t="s">
        <v>1242</v>
      </c>
      <c r="C59" s="380">
        <v>69112568</v>
      </c>
      <c r="D59" s="379" t="s">
        <v>1254</v>
      </c>
      <c r="E59" s="379" t="s">
        <v>1255</v>
      </c>
      <c r="F59" s="377"/>
      <c r="G59" s="377"/>
      <c r="H59" s="377"/>
      <c r="I59" s="381">
        <v>4250</v>
      </c>
      <c r="J59" s="379" t="s">
        <v>1149</v>
      </c>
      <c r="K59" s="377"/>
      <c r="L59" s="393"/>
      <c r="O59" s="358"/>
    </row>
    <row r="60" spans="2:16" hidden="1">
      <c r="B60" s="379"/>
      <c r="C60" s="380"/>
      <c r="D60" s="379"/>
      <c r="E60" s="379"/>
      <c r="F60" s="377"/>
      <c r="G60" s="377"/>
      <c r="H60" s="377"/>
      <c r="I60" s="381"/>
      <c r="J60" s="379"/>
      <c r="K60" s="377"/>
      <c r="L60" s="393"/>
      <c r="O60" s="358"/>
    </row>
    <row r="61" spans="2:16" hidden="1">
      <c r="B61" s="379" t="s">
        <v>1242</v>
      </c>
      <c r="C61" s="380">
        <v>69112621</v>
      </c>
      <c r="D61" s="379" t="s">
        <v>1254</v>
      </c>
      <c r="E61" s="379" t="s">
        <v>1255</v>
      </c>
      <c r="F61" s="377"/>
      <c r="G61" s="377"/>
      <c r="H61" s="377"/>
      <c r="I61" s="381">
        <v>3041.6</v>
      </c>
      <c r="J61" s="379" t="s">
        <v>1149</v>
      </c>
      <c r="K61" s="377"/>
      <c r="L61" s="393"/>
      <c r="O61" s="358"/>
    </row>
    <row r="62" spans="2:16" hidden="1">
      <c r="B62" s="377"/>
      <c r="C62" s="377"/>
      <c r="D62" s="377"/>
      <c r="E62" s="377"/>
      <c r="F62" s="377"/>
      <c r="G62" s="377"/>
      <c r="H62" s="382" t="s">
        <v>266</v>
      </c>
      <c r="I62" s="383">
        <v>378643.92</v>
      </c>
      <c r="J62" s="379" t="s">
        <v>1149</v>
      </c>
      <c r="K62" s="383">
        <v>0</v>
      </c>
      <c r="L62" s="362">
        <f t="shared" si="7"/>
        <v>378643.92</v>
      </c>
    </row>
    <row r="63" spans="2:16" hidden="1"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62">
        <f t="shared" si="7"/>
        <v>0</v>
      </c>
    </row>
    <row r="64" spans="2:16" hidden="1">
      <c r="B64" s="376" t="s">
        <v>265</v>
      </c>
      <c r="C64" s="377"/>
      <c r="D64" s="377"/>
      <c r="E64" s="378" t="s">
        <v>241</v>
      </c>
      <c r="F64" s="377"/>
      <c r="G64" s="377"/>
      <c r="H64" s="377"/>
      <c r="I64" s="377"/>
      <c r="J64" s="377"/>
      <c r="K64" s="377"/>
      <c r="L64" s="362">
        <f t="shared" si="7"/>
        <v>0</v>
      </c>
    </row>
    <row r="65" spans="2:15" hidden="1">
      <c r="B65" s="379" t="s">
        <v>1240</v>
      </c>
      <c r="C65" s="380">
        <v>3</v>
      </c>
      <c r="D65" s="377"/>
      <c r="E65" s="379" t="s">
        <v>1241</v>
      </c>
      <c r="F65" s="377"/>
      <c r="G65" s="377"/>
      <c r="H65" s="377"/>
      <c r="I65" s="381">
        <v>37782</v>
      </c>
      <c r="J65" s="379" t="s">
        <v>1149</v>
      </c>
      <c r="K65" s="377"/>
      <c r="L65" s="362">
        <f t="shared" si="7"/>
        <v>37782</v>
      </c>
    </row>
    <row r="66" spans="2:15" hidden="1">
      <c r="B66" s="377"/>
      <c r="C66" s="377"/>
      <c r="D66" s="377"/>
      <c r="E66" s="377"/>
      <c r="F66" s="377"/>
      <c r="G66" s="377"/>
      <c r="H66" s="382" t="s">
        <v>265</v>
      </c>
      <c r="I66" s="383">
        <v>37782</v>
      </c>
      <c r="J66" s="379" t="s">
        <v>1149</v>
      </c>
      <c r="K66" s="383">
        <v>0</v>
      </c>
      <c r="L66" s="362">
        <f t="shared" si="7"/>
        <v>37782</v>
      </c>
      <c r="M66" s="393">
        <f>+L54+L55+L58</f>
        <v>345493.65</v>
      </c>
      <c r="N66" s="122"/>
      <c r="O66" s="413">
        <f>SUM(O54:O61)</f>
        <v>33499.603124999994</v>
      </c>
    </row>
    <row r="67" spans="2:15" hidden="1">
      <c r="M67" s="122"/>
      <c r="N67" s="122"/>
      <c r="O67" s="122"/>
    </row>
    <row r="68" spans="2:15" hidden="1">
      <c r="M68" s="122" t="s">
        <v>1261</v>
      </c>
      <c r="N68" s="122"/>
      <c r="O68" s="122"/>
    </row>
    <row r="69" spans="2:15" hidden="1"/>
    <row r="70" spans="2:15" hidden="1">
      <c r="L70" s="410">
        <f>+L56+L57+L59+L60+L61</f>
        <v>0</v>
      </c>
      <c r="M70" t="s">
        <v>313</v>
      </c>
    </row>
    <row r="71" spans="2:15" hidden="1"/>
    <row r="72" spans="2:15" hidden="1"/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FF0000"/>
  </sheetPr>
  <dimension ref="A3:H14"/>
  <sheetViews>
    <sheetView topLeftCell="B1" workbookViewId="0">
      <selection activeCell="B3" sqref="B3"/>
    </sheetView>
  </sheetViews>
  <sheetFormatPr defaultRowHeight="15"/>
  <cols>
    <col min="1" max="1" width="0" hidden="1" customWidth="1"/>
    <col min="2" max="2" width="38.7109375" customWidth="1"/>
    <col min="3" max="3" width="15.85546875" customWidth="1"/>
    <col min="4" max="4" width="21.28515625" customWidth="1"/>
    <col min="5" max="5" width="17.42578125" customWidth="1"/>
    <col min="6" max="6" width="14.85546875" customWidth="1"/>
    <col min="7" max="7" width="0" hidden="1" customWidth="1"/>
    <col min="8" max="8" width="10.85546875" hidden="1" customWidth="1"/>
  </cols>
  <sheetData>
    <row r="3" spans="1:8" ht="15" customHeight="1">
      <c r="B3" s="67" t="s">
        <v>154</v>
      </c>
    </row>
    <row r="4" spans="1:8" ht="15" customHeight="1">
      <c r="B4" s="13"/>
    </row>
    <row r="5" spans="1:8" ht="15" customHeight="1" thickBot="1">
      <c r="B5" s="1"/>
    </row>
    <row r="6" spans="1:8" ht="15" customHeight="1" thickTop="1" thickBot="1">
      <c r="B6" s="90"/>
      <c r="C6" s="568" t="s">
        <v>403</v>
      </c>
      <c r="D6" s="568"/>
      <c r="E6" s="568" t="s">
        <v>38</v>
      </c>
      <c r="F6" s="568"/>
      <c r="H6" s="136" t="s">
        <v>329</v>
      </c>
    </row>
    <row r="7" spans="1:8" s="50" customFormat="1" ht="15" customHeight="1" thickBot="1">
      <c r="B7" s="6"/>
      <c r="C7" s="94" t="s">
        <v>128</v>
      </c>
      <c r="D7" s="94" t="s">
        <v>129</v>
      </c>
      <c r="E7" s="94" t="s">
        <v>128</v>
      </c>
      <c r="F7" s="95" t="s">
        <v>129</v>
      </c>
      <c r="H7" s="137" t="s">
        <v>330</v>
      </c>
    </row>
    <row r="8" spans="1:8" ht="15" customHeight="1">
      <c r="B8" s="85"/>
      <c r="C8" s="8"/>
      <c r="D8" s="7"/>
      <c r="E8" s="8"/>
      <c r="F8" s="8"/>
    </row>
    <row r="9" spans="1:8" ht="15" customHeight="1">
      <c r="A9" s="130" t="s">
        <v>948</v>
      </c>
      <c r="B9" s="91" t="s">
        <v>331</v>
      </c>
      <c r="C9" s="11">
        <f>SUMIFS('TB DBase'!O:O,'TB DBase'!C:C,A9)</f>
        <v>1385129.9</v>
      </c>
      <c r="D9" s="11"/>
      <c r="E9" s="49"/>
      <c r="F9" s="49"/>
      <c r="H9" s="10">
        <f>C9-E9</f>
        <v>1385129.9</v>
      </c>
    </row>
    <row r="10" spans="1:8" ht="15" customHeight="1">
      <c r="A10" s="162" t="s">
        <v>271</v>
      </c>
      <c r="B10" s="91" t="s">
        <v>345</v>
      </c>
      <c r="C10" s="11">
        <f>SUMIFS('TB DBase'!O:O,'TB DBase'!C:C,A10)</f>
        <v>4609643.29</v>
      </c>
      <c r="D10" s="11"/>
      <c r="E10" s="49">
        <v>5385200</v>
      </c>
      <c r="F10" s="49"/>
      <c r="H10" s="10">
        <f>C10-E10</f>
        <v>-775556.71</v>
      </c>
    </row>
    <row r="11" spans="1:8" ht="15" customHeight="1">
      <c r="B11" s="91" t="s">
        <v>130</v>
      </c>
      <c r="C11" s="11"/>
      <c r="D11" s="11"/>
      <c r="E11" s="49"/>
      <c r="F11" s="49"/>
    </row>
    <row r="12" spans="1:8" ht="15" customHeight="1" thickBot="1">
      <c r="B12" s="92"/>
      <c r="C12" s="26"/>
      <c r="D12" s="26"/>
      <c r="E12" s="93"/>
      <c r="F12" s="93"/>
      <c r="H12" s="93"/>
    </row>
    <row r="13" spans="1:8" ht="15" customHeight="1" thickBot="1">
      <c r="B13" s="25" t="s">
        <v>43</v>
      </c>
      <c r="C13" s="16">
        <f>SUM(C9:C12)</f>
        <v>5994773.1899999995</v>
      </c>
      <c r="D13" s="16">
        <f>SUM(D8:D12)</f>
        <v>0</v>
      </c>
      <c r="E13" s="16">
        <v>5385200</v>
      </c>
      <c r="F13" s="16"/>
      <c r="H13" s="16">
        <f>C13-E13</f>
        <v>609573.18999999948</v>
      </c>
    </row>
    <row r="14" spans="1:8" ht="15" customHeight="1" thickTop="1"/>
  </sheetData>
  <mergeCells count="2">
    <mergeCell ref="C6:D6"/>
    <mergeCell ref="E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1:K34"/>
  <sheetViews>
    <sheetView workbookViewId="0">
      <selection sqref="A1:XFD1048576"/>
    </sheetView>
  </sheetViews>
  <sheetFormatPr defaultRowHeight="12.75"/>
  <cols>
    <col min="1" max="9" width="9.140625" style="147"/>
    <col min="10" max="10" width="11" style="147" customWidth="1"/>
    <col min="11" max="16384" width="9.140625" style="147"/>
  </cols>
  <sheetData>
    <row r="1" spans="2:11">
      <c r="C1" s="159"/>
      <c r="J1" s="159"/>
      <c r="K1" s="159"/>
    </row>
    <row r="2" spans="2:11">
      <c r="B2" s="159"/>
      <c r="C2" s="149"/>
    </row>
    <row r="3" spans="2:11">
      <c r="B3" s="159"/>
      <c r="C3" s="149"/>
    </row>
    <row r="4" spans="2:11">
      <c r="B4" s="159"/>
      <c r="C4" s="149"/>
      <c r="J4" s="160"/>
    </row>
    <row r="5" spans="2:11">
      <c r="B5" s="159"/>
      <c r="C5" s="149"/>
    </row>
    <row r="6" spans="2:11">
      <c r="B6" s="159"/>
      <c r="C6" s="149"/>
    </row>
    <row r="7" spans="2:11">
      <c r="B7" s="159"/>
      <c r="C7" s="149"/>
      <c r="J7" s="149"/>
    </row>
    <row r="8" spans="2:11">
      <c r="B8" s="159"/>
      <c r="C8" s="149"/>
      <c r="J8" s="160"/>
    </row>
    <row r="9" spans="2:11">
      <c r="B9" s="159"/>
      <c r="C9" s="149"/>
      <c r="J9" s="160"/>
    </row>
    <row r="10" spans="2:11">
      <c r="B10" s="159"/>
      <c r="C10" s="149"/>
      <c r="J10" s="149"/>
    </row>
    <row r="11" spans="2:11">
      <c r="B11" s="159"/>
      <c r="C11" s="149"/>
    </row>
    <row r="12" spans="2:11">
      <c r="B12" s="159"/>
      <c r="C12" s="149"/>
      <c r="J12" s="160"/>
    </row>
    <row r="13" spans="2:11">
      <c r="C13" s="159"/>
      <c r="J13" s="158"/>
    </row>
    <row r="15" spans="2:11">
      <c r="B15" s="159"/>
      <c r="C15" s="149"/>
    </row>
    <row r="16" spans="2:11">
      <c r="B16" s="159"/>
      <c r="C16" s="149"/>
    </row>
    <row r="17" spans="2:11">
      <c r="B17" s="159"/>
      <c r="C17" s="149"/>
      <c r="J17" s="160"/>
    </row>
    <row r="18" spans="2:11">
      <c r="B18" s="159"/>
      <c r="C18" s="149"/>
    </row>
    <row r="19" spans="2:11">
      <c r="B19" s="159"/>
      <c r="C19" s="149"/>
    </row>
    <row r="20" spans="2:11">
      <c r="C20" s="159"/>
      <c r="J20" s="158"/>
    </row>
    <row r="22" spans="2:11">
      <c r="B22" s="159"/>
      <c r="C22" s="149"/>
    </row>
    <row r="23" spans="2:11">
      <c r="B23" s="159"/>
      <c r="C23" s="149"/>
    </row>
    <row r="24" spans="2:11">
      <c r="B24" s="159"/>
      <c r="C24" s="149"/>
    </row>
    <row r="25" spans="2:11">
      <c r="B25" s="159"/>
      <c r="C25" s="149"/>
    </row>
    <row r="28" spans="2:11">
      <c r="J28" s="158"/>
      <c r="K28" s="158"/>
    </row>
    <row r="29" spans="2:11">
      <c r="B29" s="159"/>
      <c r="C29" s="149"/>
      <c r="J29" s="149"/>
    </row>
    <row r="30" spans="2:11">
      <c r="C30" s="159"/>
      <c r="J30" s="159"/>
    </row>
    <row r="31" spans="2:11">
      <c r="J31" s="159"/>
      <c r="K31" s="158"/>
    </row>
    <row r="32" spans="2:11">
      <c r="J32" s="158"/>
      <c r="K32" s="158"/>
    </row>
    <row r="33" spans="2:11">
      <c r="I33" s="149"/>
      <c r="J33" s="158"/>
      <c r="K33" s="158"/>
    </row>
    <row r="34" spans="2:11">
      <c r="B34" s="157"/>
    </row>
  </sheetData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0000"/>
  </sheetPr>
  <dimension ref="A2:G19"/>
  <sheetViews>
    <sheetView topLeftCell="B1" workbookViewId="0">
      <selection activeCell="L10" sqref="L10"/>
    </sheetView>
  </sheetViews>
  <sheetFormatPr defaultRowHeight="15"/>
  <cols>
    <col min="1" max="1" width="0" hidden="1" customWidth="1"/>
    <col min="2" max="2" width="39.5703125" customWidth="1"/>
    <col min="3" max="3" width="14.7109375" customWidth="1"/>
    <col min="4" max="4" width="14.28515625" customWidth="1"/>
    <col min="5" max="5" width="3.28515625" hidden="1" customWidth="1"/>
    <col min="6" max="6" width="16.7109375" hidden="1" customWidth="1"/>
    <col min="7" max="7" width="10.140625" bestFit="1" customWidth="1"/>
  </cols>
  <sheetData>
    <row r="2" spans="1:7">
      <c r="B2" s="118" t="s">
        <v>1331</v>
      </c>
    </row>
    <row r="3" spans="1:7" ht="15" customHeight="1" thickBot="1">
      <c r="B3" s="52"/>
    </row>
    <row r="4" spans="1:7" ht="15" customHeight="1" thickTop="1" thickBot="1">
      <c r="B4" s="53"/>
      <c r="C4" s="19" t="s">
        <v>403</v>
      </c>
      <c r="D4" s="19" t="s">
        <v>38</v>
      </c>
      <c r="F4" t="s">
        <v>173</v>
      </c>
    </row>
    <row r="5" spans="1:7" ht="15" customHeight="1">
      <c r="A5" s="162" t="s">
        <v>274</v>
      </c>
      <c r="B5" s="83" t="s">
        <v>120</v>
      </c>
      <c r="C5" s="268">
        <f>SUMIFS('TB DBase'!O:O,'TB DBase'!C:C,A5)</f>
        <v>56642980.030000001</v>
      </c>
      <c r="D5" s="84">
        <v>6048313.2699999958</v>
      </c>
      <c r="F5" s="84">
        <f>C5-D5</f>
        <v>50594666.760000005</v>
      </c>
    </row>
    <row r="6" spans="1:7" ht="15" customHeight="1">
      <c r="B6" s="85" t="s">
        <v>121</v>
      </c>
      <c r="C6" s="269"/>
      <c r="D6" s="11"/>
      <c r="F6" s="11">
        <f t="shared" ref="F6:F13" si="0">C6-D6</f>
        <v>0</v>
      </c>
    </row>
    <row r="7" spans="1:7" ht="15" customHeight="1">
      <c r="B7" s="85" t="s">
        <v>122</v>
      </c>
      <c r="C7" s="269"/>
      <c r="D7" s="8"/>
      <c r="F7" s="8">
        <f t="shared" si="0"/>
        <v>0</v>
      </c>
    </row>
    <row r="8" spans="1:7" ht="15" customHeight="1">
      <c r="A8" s="367"/>
      <c r="B8" s="86" t="s">
        <v>126</v>
      </c>
      <c r="C8" s="269"/>
      <c r="D8" s="11">
        <v>454790.97800000024</v>
      </c>
      <c r="F8" s="11">
        <f t="shared" si="0"/>
        <v>-454790.97800000024</v>
      </c>
    </row>
    <row r="9" spans="1:7" ht="15" customHeight="1">
      <c r="B9" s="86" t="s">
        <v>125</v>
      </c>
      <c r="C9" s="269"/>
      <c r="D9" s="11"/>
      <c r="F9" s="11">
        <f t="shared" si="0"/>
        <v>0</v>
      </c>
    </row>
    <row r="10" spans="1:7" ht="15" customHeight="1">
      <c r="A10" s="162" t="s">
        <v>272</v>
      </c>
      <c r="B10" s="86" t="s">
        <v>124</v>
      </c>
      <c r="C10" s="269">
        <f>SUMIFS('TB DBase'!O:O,'TB DBase'!C:C,A10)</f>
        <v>12000</v>
      </c>
      <c r="D10" s="11">
        <v>11200</v>
      </c>
      <c r="F10" s="11">
        <f t="shared" si="0"/>
        <v>800</v>
      </c>
    </row>
    <row r="11" spans="1:7" ht="15" customHeight="1">
      <c r="B11" s="86" t="s">
        <v>123</v>
      </c>
      <c r="C11" s="269"/>
      <c r="D11" s="11"/>
      <c r="F11" s="11">
        <f t="shared" si="0"/>
        <v>0</v>
      </c>
    </row>
    <row r="12" spans="1:7" ht="15" customHeight="1">
      <c r="A12" s="130" t="s">
        <v>273</v>
      </c>
      <c r="B12" s="85" t="s">
        <v>127</v>
      </c>
      <c r="C12" s="269">
        <f>SUMIFS('TB DBase'!O:O,'TB DBase'!C:C,A12)</f>
        <v>61747</v>
      </c>
      <c r="D12" s="11">
        <v>42406</v>
      </c>
      <c r="F12" s="11">
        <f t="shared" si="0"/>
        <v>19341</v>
      </c>
      <c r="G12" s="466">
        <f>SUM(F5:F12)</f>
        <v>50160016.782000005</v>
      </c>
    </row>
    <row r="13" spans="1:7" ht="15" customHeight="1" thickBot="1">
      <c r="A13" s="130" t="s">
        <v>270</v>
      </c>
      <c r="B13" s="87" t="s">
        <v>344</v>
      </c>
      <c r="C13" s="26">
        <f>SUMIFS('TB DBase'!O:O,'TB DBase'!C:C,A13)</f>
        <v>2794583.29</v>
      </c>
      <c r="D13" s="26">
        <v>10999999.51</v>
      </c>
      <c r="F13" s="26">
        <f t="shared" si="0"/>
        <v>-8205416.2199999997</v>
      </c>
    </row>
    <row r="14" spans="1:7" ht="15" customHeight="1" thickBot="1">
      <c r="B14" s="25" t="s">
        <v>43</v>
      </c>
      <c r="C14" s="16">
        <f>SUM(C5:C13)</f>
        <v>59511310.32</v>
      </c>
      <c r="D14" s="16">
        <v>17556709.757999994</v>
      </c>
      <c r="F14" s="16">
        <f>SUM(F5:F13)</f>
        <v>41954600.562000006</v>
      </c>
    </row>
    <row r="15" spans="1:7" ht="15.75" thickTop="1"/>
    <row r="18" spans="1:1">
      <c r="A18" s="130"/>
    </row>
    <row r="19" spans="1:1">
      <c r="A19" s="162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3:D12"/>
  <sheetViews>
    <sheetView topLeftCell="B1" workbookViewId="0">
      <selection activeCell="J21" sqref="J21"/>
    </sheetView>
  </sheetViews>
  <sheetFormatPr defaultRowHeight="15"/>
  <cols>
    <col min="1" max="1" width="0" hidden="1" customWidth="1"/>
    <col min="2" max="2" width="27.28515625" customWidth="1"/>
    <col min="3" max="3" width="26.7109375" customWidth="1"/>
    <col min="4" max="4" width="16.85546875" customWidth="1"/>
  </cols>
  <sheetData>
    <row r="3" spans="1:4" ht="15" customHeight="1">
      <c r="B3" s="89" t="s">
        <v>131</v>
      </c>
    </row>
    <row r="4" spans="1:4" ht="15" customHeight="1">
      <c r="B4" s="1"/>
    </row>
    <row r="5" spans="1:4" ht="15" customHeight="1" thickBot="1">
      <c r="B5" s="1"/>
    </row>
    <row r="6" spans="1:4" ht="15" customHeight="1" thickTop="1" thickBot="1">
      <c r="B6" s="100"/>
      <c r="C6" s="224" t="s">
        <v>403</v>
      </c>
      <c r="D6" s="224" t="s">
        <v>38</v>
      </c>
    </row>
    <row r="7" spans="1:4" ht="15" customHeight="1" thickTop="1">
      <c r="A7" s="162" t="s">
        <v>309</v>
      </c>
      <c r="B7" s="13" t="s">
        <v>346</v>
      </c>
      <c r="C7" s="97">
        <f>-SUMIFS('TB DBase'!L:L,'TB DBase'!C:C,A7)</f>
        <v>171631148.90000001</v>
      </c>
      <c r="D7" s="97">
        <v>42413129.210000001</v>
      </c>
    </row>
    <row r="8" spans="1:4" ht="15" customHeight="1">
      <c r="A8" s="162" t="s">
        <v>307</v>
      </c>
      <c r="B8" s="13" t="s">
        <v>347</v>
      </c>
      <c r="C8" s="97">
        <f>-SUMIFS('TB DBase'!L:L,'TB DBase'!C:C,A8)</f>
        <v>14990827.880000001</v>
      </c>
      <c r="D8" s="97">
        <v>490502.29</v>
      </c>
    </row>
    <row r="9" spans="1:4" ht="15" customHeight="1">
      <c r="A9" s="130" t="s">
        <v>310</v>
      </c>
      <c r="B9" s="13" t="s">
        <v>348</v>
      </c>
      <c r="C9" s="97">
        <f>-SUMIFS('TB DBase'!L:L,'TB DBase'!C:C,A9)</f>
        <v>789.1</v>
      </c>
      <c r="D9" s="97">
        <v>2346.6</v>
      </c>
    </row>
    <row r="10" spans="1:4" ht="15" customHeight="1" thickBot="1">
      <c r="B10" s="24"/>
      <c r="C10" s="98"/>
      <c r="D10" s="98"/>
    </row>
    <row r="11" spans="1:4" ht="15" customHeight="1" thickBot="1">
      <c r="B11" s="25" t="s">
        <v>43</v>
      </c>
      <c r="C11" s="99">
        <f>SUM(C7:C10)</f>
        <v>186622765.88</v>
      </c>
      <c r="D11" s="99">
        <v>42905978.100000001</v>
      </c>
    </row>
    <row r="12" spans="1:4" ht="15.75" thickTop="1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FF0000"/>
  </sheetPr>
  <dimension ref="A1:H26"/>
  <sheetViews>
    <sheetView workbookViewId="0">
      <selection activeCell="A6" sqref="A6"/>
    </sheetView>
  </sheetViews>
  <sheetFormatPr defaultRowHeight="15"/>
  <cols>
    <col min="1" max="1" width="9.140625" customWidth="1"/>
    <col min="2" max="2" width="41.5703125" customWidth="1"/>
    <col min="3" max="4" width="26.140625" customWidth="1"/>
    <col min="5" max="5" width="9.140625" customWidth="1"/>
    <col min="6" max="6" width="14.5703125" customWidth="1"/>
  </cols>
  <sheetData>
    <row r="1" spans="1:8" ht="15" customHeight="1">
      <c r="B1" s="546" t="s">
        <v>1332</v>
      </c>
    </row>
    <row r="2" spans="1:8" ht="15" customHeight="1" thickBot="1">
      <c r="B2" s="13"/>
    </row>
    <row r="3" spans="1:8" ht="29.25" customHeight="1" thickTop="1" thickBot="1">
      <c r="B3" s="18"/>
      <c r="C3" s="19" t="s">
        <v>403</v>
      </c>
      <c r="D3" s="19" t="s">
        <v>38</v>
      </c>
      <c r="F3" s="138" t="s">
        <v>173</v>
      </c>
    </row>
    <row r="4" spans="1:8" ht="15" customHeight="1">
      <c r="B4" s="85"/>
      <c r="C4" s="41"/>
      <c r="D4" s="41"/>
      <c r="F4" s="41"/>
    </row>
    <row r="5" spans="1:8" ht="15" customHeight="1">
      <c r="B5" s="85" t="s">
        <v>141</v>
      </c>
      <c r="C5" s="41"/>
      <c r="D5" s="41"/>
      <c r="F5" s="41"/>
    </row>
    <row r="6" spans="1:8" ht="15" customHeight="1">
      <c r="A6" t="s">
        <v>322</v>
      </c>
      <c r="B6" s="85" t="s">
        <v>134</v>
      </c>
      <c r="C6" s="41">
        <f>SUMIFS('TB DBase'!L:L,'TB DBase'!B:B,A6)</f>
        <v>167640733.58000001</v>
      </c>
      <c r="D6" s="102">
        <v>38627030.350000001</v>
      </c>
      <c r="F6" s="102">
        <f>C6-D6:D6</f>
        <v>129013703.23000002</v>
      </c>
    </row>
    <row r="7" spans="1:8" ht="15" customHeight="1">
      <c r="A7" t="s">
        <v>318</v>
      </c>
      <c r="B7" s="85" t="s">
        <v>135</v>
      </c>
      <c r="C7" s="41">
        <f>SUMIFS('TB DBase'!L:L,'TB DBase'!B:B,A7)</f>
        <v>1738307.5</v>
      </c>
      <c r="D7" s="41">
        <v>1179014.8999999999</v>
      </c>
      <c r="F7" s="41">
        <f t="shared" ref="F7:F22" si="0">C7-D7:D7</f>
        <v>559292.60000000009</v>
      </c>
    </row>
    <row r="8" spans="1:8" ht="15" customHeight="1">
      <c r="A8" t="s">
        <v>320</v>
      </c>
      <c r="B8" s="85" t="s">
        <v>139</v>
      </c>
      <c r="C8" s="41">
        <f>SUMIFS('TB DBase'!L:L,'TB DBase'!B:B,A8)</f>
        <v>1942908</v>
      </c>
      <c r="D8" s="41">
        <v>1521600</v>
      </c>
      <c r="F8" s="41">
        <f t="shared" si="0"/>
        <v>421308</v>
      </c>
    </row>
    <row r="9" spans="1:8" ht="15" customHeight="1">
      <c r="A9" t="s">
        <v>321</v>
      </c>
      <c r="B9" s="85" t="s">
        <v>140</v>
      </c>
      <c r="C9" s="41">
        <f>SUMIFS('TB DBase'!L:L,'TB DBase'!B:B,A9)</f>
        <v>324469</v>
      </c>
      <c r="D9" s="41">
        <v>276587</v>
      </c>
      <c r="F9" s="41">
        <f t="shared" si="0"/>
        <v>47882</v>
      </c>
    </row>
    <row r="10" spans="1:8" ht="15" customHeight="1">
      <c r="A10" t="s">
        <v>323</v>
      </c>
      <c r="B10" s="85" t="s">
        <v>136</v>
      </c>
      <c r="C10" s="41">
        <f>SUMIFS('TB DBase'!L:L,'TB DBase'!B:B,A10)</f>
        <v>168633</v>
      </c>
      <c r="D10" s="41">
        <v>121126</v>
      </c>
      <c r="F10" s="41">
        <f t="shared" si="0"/>
        <v>47507</v>
      </c>
    </row>
    <row r="11" spans="1:8" ht="15" customHeight="1">
      <c r="A11" t="s">
        <v>317</v>
      </c>
      <c r="B11" s="85" t="s">
        <v>132</v>
      </c>
      <c r="C11" s="41"/>
      <c r="D11" s="41"/>
      <c r="F11" s="41">
        <f t="shared" si="0"/>
        <v>0</v>
      </c>
    </row>
    <row r="12" spans="1:8" ht="15" customHeight="1" thickBot="1">
      <c r="A12" t="s">
        <v>324</v>
      </c>
      <c r="B12" s="101" t="s">
        <v>133</v>
      </c>
      <c r="C12" s="38">
        <f>SUMIFS('TB DBase'!L:L,'TB DBase'!B:B,A12)</f>
        <v>4081354.6000000089</v>
      </c>
      <c r="D12" s="38">
        <v>-9880652.6100000031</v>
      </c>
      <c r="F12" s="38">
        <f t="shared" si="0"/>
        <v>13962007.210000012</v>
      </c>
    </row>
    <row r="13" spans="1:8" ht="15" customHeight="1">
      <c r="B13" s="85" t="s">
        <v>142</v>
      </c>
      <c r="C13" s="40">
        <f>SUM(C6:C12)</f>
        <v>175896405.68000001</v>
      </c>
      <c r="D13" s="40">
        <v>31844705.639999997</v>
      </c>
      <c r="F13" s="40">
        <f t="shared" si="0"/>
        <v>144051700.04000002</v>
      </c>
    </row>
    <row r="14" spans="1:8" ht="15" customHeight="1">
      <c r="B14" s="85"/>
      <c r="C14" s="41"/>
      <c r="D14" s="41"/>
      <c r="F14" s="41">
        <f t="shared" si="0"/>
        <v>0</v>
      </c>
    </row>
    <row r="15" spans="1:8" ht="15" customHeight="1">
      <c r="B15" s="85" t="s">
        <v>196</v>
      </c>
      <c r="C15" s="41"/>
      <c r="D15" s="41"/>
      <c r="F15" s="41">
        <f t="shared" si="0"/>
        <v>0</v>
      </c>
    </row>
    <row r="16" spans="1:8" ht="15" customHeight="1">
      <c r="A16" t="s">
        <v>315</v>
      </c>
      <c r="B16" s="85" t="s">
        <v>144</v>
      </c>
      <c r="C16" s="41">
        <f>SUMIFS('TB DBase'!L:L,'TB DBase'!B:B,A16)</f>
        <v>487032.50999999995</v>
      </c>
      <c r="D16" s="41">
        <v>1713878.65</v>
      </c>
      <c r="F16" s="41">
        <f t="shared" si="0"/>
        <v>-1226846.1399999999</v>
      </c>
      <c r="H16" s="10"/>
    </row>
    <row r="17" spans="1:6" ht="15" customHeight="1">
      <c r="A17" t="s">
        <v>319</v>
      </c>
      <c r="B17" s="85" t="s">
        <v>137</v>
      </c>
      <c r="C17" s="41">
        <f>SUMIFS('TB DBase'!L:L,'TB DBase'!B:B,A17)</f>
        <v>579000</v>
      </c>
      <c r="D17" s="41">
        <v>361000</v>
      </c>
      <c r="F17" s="41">
        <f t="shared" si="0"/>
        <v>218000</v>
      </c>
    </row>
    <row r="18" spans="1:6" ht="15" customHeight="1">
      <c r="A18" t="s">
        <v>317</v>
      </c>
      <c r="B18" s="85" t="s">
        <v>145</v>
      </c>
      <c r="C18" s="41">
        <f>SUMIFS('TB DBase'!L:L,'TB DBase'!B:B,A18)</f>
        <v>240129.33</v>
      </c>
      <c r="D18" s="41">
        <v>3880802.5</v>
      </c>
      <c r="F18" s="41">
        <f t="shared" si="0"/>
        <v>-3640673.17</v>
      </c>
    </row>
    <row r="19" spans="1:6" ht="15" customHeight="1" thickBot="1">
      <c r="A19" t="s">
        <v>316</v>
      </c>
      <c r="B19" s="101" t="s">
        <v>138</v>
      </c>
      <c r="C19" s="38">
        <f>SUMIFS('TB DBase'!L:L,'TB DBase'!B:B,A19)</f>
        <v>1922641.9100000001</v>
      </c>
      <c r="D19" s="38">
        <v>484086.53</v>
      </c>
      <c r="F19" s="38">
        <f t="shared" si="0"/>
        <v>1438555.3800000001</v>
      </c>
    </row>
    <row r="20" spans="1:6" ht="15" customHeight="1">
      <c r="B20" s="85" t="s">
        <v>143</v>
      </c>
      <c r="C20" s="40">
        <f>SUM(C16:C19)</f>
        <v>3228803.75</v>
      </c>
      <c r="D20" s="40">
        <v>6439767.6800000006</v>
      </c>
      <c r="F20" s="40">
        <f t="shared" si="0"/>
        <v>-3210963.9300000006</v>
      </c>
    </row>
    <row r="21" spans="1:6" ht="15" customHeight="1" thickBot="1">
      <c r="B21" s="85"/>
      <c r="C21" s="41"/>
      <c r="D21" s="41"/>
      <c r="F21" s="41">
        <f t="shared" si="0"/>
        <v>0</v>
      </c>
    </row>
    <row r="22" spans="1:6" ht="15" customHeight="1" thickTop="1" thickBot="1">
      <c r="B22" s="103" t="s">
        <v>43</v>
      </c>
      <c r="C22" s="104">
        <f>C13+C20</f>
        <v>179125209.43000001</v>
      </c>
      <c r="D22" s="104">
        <v>38284473.32</v>
      </c>
      <c r="F22" s="104">
        <f t="shared" si="0"/>
        <v>140840736.11000001</v>
      </c>
    </row>
    <row r="23" spans="1:6" ht="15.75" thickTop="1"/>
    <row r="24" spans="1:6">
      <c r="D24" s="61"/>
    </row>
    <row r="26" spans="1:6">
      <c r="D26" s="10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FF0000"/>
  </sheetPr>
  <dimension ref="A1:H15"/>
  <sheetViews>
    <sheetView topLeftCell="B1" zoomScale="115" zoomScaleNormal="115" workbookViewId="0">
      <selection activeCell="E8" sqref="E8"/>
    </sheetView>
  </sheetViews>
  <sheetFormatPr defaultRowHeight="15"/>
  <cols>
    <col min="1" max="1" width="9.140625" hidden="1" customWidth="1"/>
    <col min="2" max="2" width="44.5703125" customWidth="1"/>
    <col min="3" max="3" width="19.42578125" customWidth="1"/>
  </cols>
  <sheetData>
    <row r="1" spans="1:8">
      <c r="B1" s="118" t="s">
        <v>1333</v>
      </c>
    </row>
    <row r="2" spans="1:8" ht="15.75" thickBot="1"/>
    <row r="3" spans="1:8" ht="16.5" thickTop="1" thickBot="1">
      <c r="B3" s="19"/>
      <c r="C3" s="19" t="s">
        <v>403</v>
      </c>
    </row>
    <row r="4" spans="1:8">
      <c r="B4" s="184" t="s">
        <v>223</v>
      </c>
      <c r="C4" s="114"/>
    </row>
    <row r="5" spans="1:8">
      <c r="A5" s="130" t="s">
        <v>290</v>
      </c>
      <c r="B5" s="184" t="s">
        <v>175</v>
      </c>
      <c r="C5" s="114">
        <f>SUMIFS('TB DBase'!N:N,'TB DBase'!C:C,A5)</f>
        <v>79023.5</v>
      </c>
    </row>
    <row r="6" spans="1:8">
      <c r="B6" s="184" t="s">
        <v>220</v>
      </c>
      <c r="C6" s="114"/>
    </row>
    <row r="7" spans="1:8">
      <c r="A7" s="130" t="s">
        <v>291</v>
      </c>
      <c r="B7" s="130" t="s">
        <v>221</v>
      </c>
      <c r="C7" s="114">
        <f>SUMIFS('TB DBase'!N:N,'TB DBase'!C:C,A7)</f>
        <v>199666.34</v>
      </c>
    </row>
    <row r="8" spans="1:8">
      <c r="A8" s="130" t="s">
        <v>294</v>
      </c>
      <c r="B8" s="184" t="s">
        <v>218</v>
      </c>
      <c r="C8" s="114">
        <f>SUMIFS('TB DBase'!N:N,'TB DBase'!C:C,A8)</f>
        <v>26194.22</v>
      </c>
    </row>
    <row r="9" spans="1:8">
      <c r="B9" s="184" t="s">
        <v>176</v>
      </c>
      <c r="C9" s="114"/>
    </row>
    <row r="10" spans="1:8">
      <c r="A10" s="130" t="s">
        <v>295</v>
      </c>
      <c r="B10" s="184" t="s">
        <v>177</v>
      </c>
      <c r="C10" s="114">
        <f>SUMIFS('TB DBase'!N:N,'TB DBase'!C:C,A10)</f>
        <v>369238.63</v>
      </c>
    </row>
    <row r="11" spans="1:8">
      <c r="A11" s="130" t="s">
        <v>296</v>
      </c>
      <c r="B11" s="184" t="s">
        <v>379</v>
      </c>
      <c r="C11" s="114">
        <f>SUMIFS('TB DBase'!N:N,'TB DBase'!C:C,A11)</f>
        <v>12576.16</v>
      </c>
    </row>
    <row r="12" spans="1:8" ht="15.75" thickBot="1">
      <c r="A12" s="130" t="s">
        <v>286</v>
      </c>
      <c r="B12" s="184" t="s">
        <v>380</v>
      </c>
      <c r="C12" s="114">
        <f>SUMIFS('TB DBase'!N:N,'TB DBase'!C:C,A12)</f>
        <v>40462.99</v>
      </c>
    </row>
    <row r="13" spans="1:8" ht="16.5" thickTop="1" thickBot="1">
      <c r="B13" s="138" t="s">
        <v>332</v>
      </c>
      <c r="C13" s="185">
        <f>SUM(C4:C12)</f>
        <v>727161.84</v>
      </c>
    </row>
    <row r="15" spans="1:8">
      <c r="B15" s="130"/>
      <c r="C15" s="419"/>
      <c r="D15" s="419"/>
      <c r="E15" s="222"/>
      <c r="F15" s="61"/>
      <c r="G15" s="131"/>
      <c r="H15" s="352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FF0000"/>
  </sheetPr>
  <dimension ref="B2:D19"/>
  <sheetViews>
    <sheetView topLeftCell="B1" workbookViewId="0">
      <selection activeCell="D6" sqref="D6"/>
    </sheetView>
  </sheetViews>
  <sheetFormatPr defaultRowHeight="15"/>
  <cols>
    <col min="1" max="1" width="0" hidden="1" customWidth="1"/>
    <col min="2" max="2" width="49.140625" customWidth="1"/>
    <col min="3" max="4" width="16.140625" customWidth="1"/>
  </cols>
  <sheetData>
    <row r="2" spans="2:4" ht="15.75" thickBot="1">
      <c r="B2" s="171" t="s">
        <v>349</v>
      </c>
    </row>
    <row r="3" spans="2:4" ht="16.5" thickTop="1" thickBot="1">
      <c r="B3" s="172"/>
      <c r="C3" s="173" t="s">
        <v>354</v>
      </c>
      <c r="D3" s="173" t="s">
        <v>355</v>
      </c>
    </row>
    <row r="4" spans="2:4">
      <c r="B4" s="179"/>
      <c r="C4" s="180"/>
    </row>
    <row r="5" spans="2:4">
      <c r="B5" s="179" t="s">
        <v>353</v>
      </c>
      <c r="C5" s="181">
        <f>PL!C4</f>
        <v>186621976.78</v>
      </c>
      <c r="D5" s="10">
        <f>C5</f>
        <v>186621976.78</v>
      </c>
    </row>
    <row r="6" spans="2:4">
      <c r="B6" s="179" t="s">
        <v>352</v>
      </c>
      <c r="C6" s="181">
        <f>C5-C8</f>
        <v>179507888.21333334</v>
      </c>
      <c r="D6" s="10">
        <f t="shared" ref="D6:D8" si="0">C6</f>
        <v>179507888.21333334</v>
      </c>
    </row>
    <row r="7" spans="2:4">
      <c r="B7" s="179" t="s">
        <v>357</v>
      </c>
      <c r="C7" s="181">
        <v>0</v>
      </c>
      <c r="D7" s="10">
        <v>0</v>
      </c>
    </row>
    <row r="8" spans="2:4">
      <c r="B8" s="20" t="s">
        <v>350</v>
      </c>
      <c r="C8" s="49">
        <f>PL!C21</f>
        <v>7114088.5666666608</v>
      </c>
      <c r="D8" s="10">
        <f t="shared" si="0"/>
        <v>7114088.5666666608</v>
      </c>
    </row>
    <row r="9" spans="2:4">
      <c r="B9" s="174" t="s">
        <v>350</v>
      </c>
      <c r="C9" s="49">
        <v>0</v>
      </c>
      <c r="D9" s="10">
        <v>0</v>
      </c>
    </row>
    <row r="10" spans="2:4">
      <c r="B10" s="174" t="s">
        <v>356</v>
      </c>
      <c r="C10" s="182">
        <f>C8+C9</f>
        <v>7114088.5666666608</v>
      </c>
      <c r="D10" s="182">
        <f>D8+D9</f>
        <v>7114088.5666666608</v>
      </c>
    </row>
    <row r="11" spans="2:4">
      <c r="C11" s="49"/>
      <c r="D11" s="10"/>
    </row>
    <row r="12" spans="2:4">
      <c r="B12" s="174" t="s">
        <v>351</v>
      </c>
      <c r="C12" s="49">
        <f>PL!C24</f>
        <v>747972.85666666634</v>
      </c>
      <c r="D12" s="10">
        <f>C12</f>
        <v>747972.85666666634</v>
      </c>
    </row>
    <row r="13" spans="2:4">
      <c r="B13" s="174" t="s">
        <v>358</v>
      </c>
      <c r="C13" s="49">
        <v>0</v>
      </c>
      <c r="D13" s="10">
        <v>0</v>
      </c>
    </row>
    <row r="14" spans="2:4">
      <c r="B14" s="174" t="s">
        <v>359</v>
      </c>
      <c r="C14" s="49">
        <f>C12+C13</f>
        <v>747972.85666666634</v>
      </c>
      <c r="D14" s="49">
        <f>D12+D13</f>
        <v>747972.85666666634</v>
      </c>
    </row>
    <row r="15" spans="2:4">
      <c r="B15" s="174" t="s">
        <v>360</v>
      </c>
      <c r="C15" s="49">
        <f>'TB DBase'!N16</f>
        <v>783819</v>
      </c>
      <c r="D15" s="49">
        <v>476761</v>
      </c>
    </row>
    <row r="16" spans="2:4">
      <c r="B16" s="174" t="s">
        <v>361</v>
      </c>
      <c r="C16" s="49">
        <f>SUM(C14:C15)</f>
        <v>1531791.8566666665</v>
      </c>
      <c r="D16" s="49">
        <f>SUM(D14:D15)</f>
        <v>1224733.8566666665</v>
      </c>
    </row>
    <row r="17" spans="2:4" ht="15.75" thickBot="1">
      <c r="B17" s="175"/>
      <c r="C17" s="49"/>
    </row>
    <row r="18" spans="2:4" ht="15.75" thickBot="1">
      <c r="B18" s="176" t="s">
        <v>1323</v>
      </c>
      <c r="C18" s="177">
        <f>C14-C15</f>
        <v>-35846.143333333661</v>
      </c>
      <c r="D18" s="177">
        <f>-(D14-D15)</f>
        <v>-271211.85666666634</v>
      </c>
    </row>
    <row r="19" spans="2:4" ht="15.75" thickTop="1">
      <c r="B19" s="178"/>
    </row>
  </sheetData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3:C15"/>
  <sheetViews>
    <sheetView workbookViewId="0">
      <selection activeCell="H19" sqref="H19"/>
    </sheetView>
  </sheetViews>
  <sheetFormatPr defaultRowHeight="15"/>
  <cols>
    <col min="1" max="1" width="36.5703125" customWidth="1"/>
    <col min="2" max="3" width="25.7109375" customWidth="1"/>
  </cols>
  <sheetData>
    <row r="3" spans="1:3" ht="15" customHeight="1">
      <c r="A3" s="88" t="s">
        <v>146</v>
      </c>
    </row>
    <row r="4" spans="1:3" ht="15" customHeight="1">
      <c r="A4" s="13" t="s">
        <v>147</v>
      </c>
    </row>
    <row r="5" spans="1:3" ht="15" customHeight="1" thickBot="1">
      <c r="A5" s="44"/>
    </row>
    <row r="6" spans="1:3" ht="15" customHeight="1" thickBot="1">
      <c r="A6" s="110"/>
      <c r="B6" s="111" t="s">
        <v>404</v>
      </c>
      <c r="C6" s="111" t="s">
        <v>152</v>
      </c>
    </row>
    <row r="7" spans="1:3" ht="15" customHeight="1">
      <c r="A7" s="13" t="s">
        <v>148</v>
      </c>
      <c r="B7" s="11"/>
      <c r="C7" s="11"/>
    </row>
    <row r="8" spans="1:3" ht="15" customHeight="1" thickBot="1">
      <c r="A8" s="13" t="s">
        <v>149</v>
      </c>
      <c r="B8" s="11"/>
      <c r="C8" s="11"/>
    </row>
    <row r="9" spans="1:3" ht="15" customHeight="1">
      <c r="A9" s="13"/>
      <c r="B9" s="55"/>
      <c r="C9" s="55"/>
    </row>
    <row r="10" spans="1:3" ht="15" customHeight="1">
      <c r="A10" s="13"/>
      <c r="B10" s="21"/>
      <c r="C10" s="21"/>
    </row>
    <row r="11" spans="1:3" ht="15" customHeight="1">
      <c r="A11" s="13" t="s">
        <v>150</v>
      </c>
      <c r="B11" s="11"/>
      <c r="C11" s="11"/>
    </row>
    <row r="12" spans="1:3" ht="15" customHeight="1" thickBot="1">
      <c r="A12" s="13" t="s">
        <v>151</v>
      </c>
      <c r="B12" s="26"/>
      <c r="C12" s="26"/>
    </row>
    <row r="13" spans="1:3" ht="15" customHeight="1" thickBot="1">
      <c r="A13" s="107"/>
      <c r="B13" s="108"/>
      <c r="C13" s="108"/>
    </row>
    <row r="14" spans="1:3" ht="15" customHeight="1" thickBot="1">
      <c r="A14" s="25" t="s">
        <v>43</v>
      </c>
      <c r="B14" s="109"/>
      <c r="C14" s="109"/>
    </row>
    <row r="15" spans="1:3" ht="15.75" thickTop="1"/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61"/>
  <sheetViews>
    <sheetView topLeftCell="A28" zoomScale="115" zoomScaleNormal="115" workbookViewId="0">
      <selection activeCell="D42" sqref="D42"/>
    </sheetView>
  </sheetViews>
  <sheetFormatPr defaultRowHeight="15"/>
  <cols>
    <col min="2" max="3" width="6.7109375" customWidth="1"/>
    <col min="4" max="4" width="49.140625" customWidth="1"/>
    <col min="5" max="5" width="9.140625" hidden="1" customWidth="1"/>
    <col min="7" max="7" width="13.140625" style="61" customWidth="1"/>
    <col min="8" max="8" width="11.28515625" style="61" customWidth="1"/>
    <col min="9" max="9" width="12.85546875" style="61" customWidth="1"/>
    <col min="10" max="10" width="3.85546875" customWidth="1"/>
    <col min="11" max="12" width="14.28515625" style="139" bestFit="1" customWidth="1"/>
    <col min="13" max="13" width="13.140625" customWidth="1"/>
    <col min="14" max="14" width="11.42578125" customWidth="1"/>
    <col min="15" max="15" width="12.7109375" customWidth="1"/>
    <col min="16" max="16" width="11.85546875" bestFit="1" customWidth="1"/>
    <col min="258" max="258" width="31.28515625" customWidth="1"/>
    <col min="262" max="262" width="11.28515625" customWidth="1"/>
    <col min="264" max="264" width="11.28515625" customWidth="1"/>
    <col min="265" max="265" width="12.85546875" customWidth="1"/>
    <col min="514" max="514" width="31.28515625" customWidth="1"/>
    <col min="518" max="518" width="11.28515625" customWidth="1"/>
    <col min="520" max="520" width="11.28515625" customWidth="1"/>
    <col min="521" max="521" width="12.85546875" customWidth="1"/>
    <col min="770" max="770" width="31.28515625" customWidth="1"/>
    <col min="774" max="774" width="11.28515625" customWidth="1"/>
    <col min="776" max="776" width="11.28515625" customWidth="1"/>
    <col min="777" max="777" width="12.85546875" customWidth="1"/>
    <col min="1026" max="1026" width="31.28515625" customWidth="1"/>
    <col min="1030" max="1030" width="11.28515625" customWidth="1"/>
    <col min="1032" max="1032" width="11.28515625" customWidth="1"/>
    <col min="1033" max="1033" width="12.85546875" customWidth="1"/>
    <col min="1282" max="1282" width="31.28515625" customWidth="1"/>
    <col min="1286" max="1286" width="11.28515625" customWidth="1"/>
    <col min="1288" max="1288" width="11.28515625" customWidth="1"/>
    <col min="1289" max="1289" width="12.85546875" customWidth="1"/>
    <col min="1538" max="1538" width="31.28515625" customWidth="1"/>
    <col min="1542" max="1542" width="11.28515625" customWidth="1"/>
    <col min="1544" max="1544" width="11.28515625" customWidth="1"/>
    <col min="1545" max="1545" width="12.85546875" customWidth="1"/>
    <col min="1794" max="1794" width="31.28515625" customWidth="1"/>
    <col min="1798" max="1798" width="11.28515625" customWidth="1"/>
    <col min="1800" max="1800" width="11.28515625" customWidth="1"/>
    <col min="1801" max="1801" width="12.85546875" customWidth="1"/>
    <col min="2050" max="2050" width="31.28515625" customWidth="1"/>
    <col min="2054" max="2054" width="11.28515625" customWidth="1"/>
    <col min="2056" max="2056" width="11.28515625" customWidth="1"/>
    <col min="2057" max="2057" width="12.85546875" customWidth="1"/>
    <col min="2306" max="2306" width="31.28515625" customWidth="1"/>
    <col min="2310" max="2310" width="11.28515625" customWidth="1"/>
    <col min="2312" max="2312" width="11.28515625" customWidth="1"/>
    <col min="2313" max="2313" width="12.85546875" customWidth="1"/>
    <col min="2562" max="2562" width="31.28515625" customWidth="1"/>
    <col min="2566" max="2566" width="11.28515625" customWidth="1"/>
    <col min="2568" max="2568" width="11.28515625" customWidth="1"/>
    <col min="2569" max="2569" width="12.85546875" customWidth="1"/>
    <col min="2818" max="2818" width="31.28515625" customWidth="1"/>
    <col min="2822" max="2822" width="11.28515625" customWidth="1"/>
    <col min="2824" max="2824" width="11.28515625" customWidth="1"/>
    <col min="2825" max="2825" width="12.85546875" customWidth="1"/>
    <col min="3074" max="3074" width="31.28515625" customWidth="1"/>
    <col min="3078" max="3078" width="11.28515625" customWidth="1"/>
    <col min="3080" max="3080" width="11.28515625" customWidth="1"/>
    <col min="3081" max="3081" width="12.85546875" customWidth="1"/>
    <col min="3330" max="3330" width="31.28515625" customWidth="1"/>
    <col min="3334" max="3334" width="11.28515625" customWidth="1"/>
    <col min="3336" max="3336" width="11.28515625" customWidth="1"/>
    <col min="3337" max="3337" width="12.85546875" customWidth="1"/>
    <col min="3586" max="3586" width="31.28515625" customWidth="1"/>
    <col min="3590" max="3590" width="11.28515625" customWidth="1"/>
    <col min="3592" max="3592" width="11.28515625" customWidth="1"/>
    <col min="3593" max="3593" width="12.85546875" customWidth="1"/>
    <col min="3842" max="3842" width="31.28515625" customWidth="1"/>
    <col min="3846" max="3846" width="11.28515625" customWidth="1"/>
    <col min="3848" max="3848" width="11.28515625" customWidth="1"/>
    <col min="3849" max="3849" width="12.85546875" customWidth="1"/>
    <col min="4098" max="4098" width="31.28515625" customWidth="1"/>
    <col min="4102" max="4102" width="11.28515625" customWidth="1"/>
    <col min="4104" max="4104" width="11.28515625" customWidth="1"/>
    <col min="4105" max="4105" width="12.85546875" customWidth="1"/>
    <col min="4354" max="4354" width="31.28515625" customWidth="1"/>
    <col min="4358" max="4358" width="11.28515625" customWidth="1"/>
    <col min="4360" max="4360" width="11.28515625" customWidth="1"/>
    <col min="4361" max="4361" width="12.85546875" customWidth="1"/>
    <col min="4610" max="4610" width="31.28515625" customWidth="1"/>
    <col min="4614" max="4614" width="11.28515625" customWidth="1"/>
    <col min="4616" max="4616" width="11.28515625" customWidth="1"/>
    <col min="4617" max="4617" width="12.85546875" customWidth="1"/>
    <col min="4866" max="4866" width="31.28515625" customWidth="1"/>
    <col min="4870" max="4870" width="11.28515625" customWidth="1"/>
    <col min="4872" max="4872" width="11.28515625" customWidth="1"/>
    <col min="4873" max="4873" width="12.85546875" customWidth="1"/>
    <col min="5122" max="5122" width="31.28515625" customWidth="1"/>
    <col min="5126" max="5126" width="11.28515625" customWidth="1"/>
    <col min="5128" max="5128" width="11.28515625" customWidth="1"/>
    <col min="5129" max="5129" width="12.85546875" customWidth="1"/>
    <col min="5378" max="5378" width="31.28515625" customWidth="1"/>
    <col min="5382" max="5382" width="11.28515625" customWidth="1"/>
    <col min="5384" max="5384" width="11.28515625" customWidth="1"/>
    <col min="5385" max="5385" width="12.85546875" customWidth="1"/>
    <col min="5634" max="5634" width="31.28515625" customWidth="1"/>
    <col min="5638" max="5638" width="11.28515625" customWidth="1"/>
    <col min="5640" max="5640" width="11.28515625" customWidth="1"/>
    <col min="5641" max="5641" width="12.85546875" customWidth="1"/>
    <col min="5890" max="5890" width="31.28515625" customWidth="1"/>
    <col min="5894" max="5894" width="11.28515625" customWidth="1"/>
    <col min="5896" max="5896" width="11.28515625" customWidth="1"/>
    <col min="5897" max="5897" width="12.85546875" customWidth="1"/>
    <col min="6146" max="6146" width="31.28515625" customWidth="1"/>
    <col min="6150" max="6150" width="11.28515625" customWidth="1"/>
    <col min="6152" max="6152" width="11.28515625" customWidth="1"/>
    <col min="6153" max="6153" width="12.85546875" customWidth="1"/>
    <col min="6402" max="6402" width="31.28515625" customWidth="1"/>
    <col min="6406" max="6406" width="11.28515625" customWidth="1"/>
    <col min="6408" max="6408" width="11.28515625" customWidth="1"/>
    <col min="6409" max="6409" width="12.85546875" customWidth="1"/>
    <col min="6658" max="6658" width="31.28515625" customWidth="1"/>
    <col min="6662" max="6662" width="11.28515625" customWidth="1"/>
    <col min="6664" max="6664" width="11.28515625" customWidth="1"/>
    <col min="6665" max="6665" width="12.85546875" customWidth="1"/>
    <col min="6914" max="6914" width="31.28515625" customWidth="1"/>
    <col min="6918" max="6918" width="11.28515625" customWidth="1"/>
    <col min="6920" max="6920" width="11.28515625" customWidth="1"/>
    <col min="6921" max="6921" width="12.85546875" customWidth="1"/>
    <col min="7170" max="7170" width="31.28515625" customWidth="1"/>
    <col min="7174" max="7174" width="11.28515625" customWidth="1"/>
    <col min="7176" max="7176" width="11.28515625" customWidth="1"/>
    <col min="7177" max="7177" width="12.85546875" customWidth="1"/>
    <col min="7426" max="7426" width="31.28515625" customWidth="1"/>
    <col min="7430" max="7430" width="11.28515625" customWidth="1"/>
    <col min="7432" max="7432" width="11.28515625" customWidth="1"/>
    <col min="7433" max="7433" width="12.85546875" customWidth="1"/>
    <col min="7682" max="7682" width="31.28515625" customWidth="1"/>
    <col min="7686" max="7686" width="11.28515625" customWidth="1"/>
    <col min="7688" max="7688" width="11.28515625" customWidth="1"/>
    <col min="7689" max="7689" width="12.85546875" customWidth="1"/>
    <col min="7938" max="7938" width="31.28515625" customWidth="1"/>
    <col min="7942" max="7942" width="11.28515625" customWidth="1"/>
    <col min="7944" max="7944" width="11.28515625" customWidth="1"/>
    <col min="7945" max="7945" width="12.85546875" customWidth="1"/>
    <col min="8194" max="8194" width="31.28515625" customWidth="1"/>
    <col min="8198" max="8198" width="11.28515625" customWidth="1"/>
    <col min="8200" max="8200" width="11.28515625" customWidth="1"/>
    <col min="8201" max="8201" width="12.85546875" customWidth="1"/>
    <col min="8450" max="8450" width="31.28515625" customWidth="1"/>
    <col min="8454" max="8454" width="11.28515625" customWidth="1"/>
    <col min="8456" max="8456" width="11.28515625" customWidth="1"/>
    <col min="8457" max="8457" width="12.85546875" customWidth="1"/>
    <col min="8706" max="8706" width="31.28515625" customWidth="1"/>
    <col min="8710" max="8710" width="11.28515625" customWidth="1"/>
    <col min="8712" max="8712" width="11.28515625" customWidth="1"/>
    <col min="8713" max="8713" width="12.85546875" customWidth="1"/>
    <col min="8962" max="8962" width="31.28515625" customWidth="1"/>
    <col min="8966" max="8966" width="11.28515625" customWidth="1"/>
    <col min="8968" max="8968" width="11.28515625" customWidth="1"/>
    <col min="8969" max="8969" width="12.85546875" customWidth="1"/>
    <col min="9218" max="9218" width="31.28515625" customWidth="1"/>
    <col min="9222" max="9222" width="11.28515625" customWidth="1"/>
    <col min="9224" max="9224" width="11.28515625" customWidth="1"/>
    <col min="9225" max="9225" width="12.85546875" customWidth="1"/>
    <col min="9474" max="9474" width="31.28515625" customWidth="1"/>
    <col min="9478" max="9478" width="11.28515625" customWidth="1"/>
    <col min="9480" max="9480" width="11.28515625" customWidth="1"/>
    <col min="9481" max="9481" width="12.85546875" customWidth="1"/>
    <col min="9730" max="9730" width="31.28515625" customWidth="1"/>
    <col min="9734" max="9734" width="11.28515625" customWidth="1"/>
    <col min="9736" max="9736" width="11.28515625" customWidth="1"/>
    <col min="9737" max="9737" width="12.85546875" customWidth="1"/>
    <col min="9986" max="9986" width="31.28515625" customWidth="1"/>
    <col min="9990" max="9990" width="11.28515625" customWidth="1"/>
    <col min="9992" max="9992" width="11.28515625" customWidth="1"/>
    <col min="9993" max="9993" width="12.85546875" customWidth="1"/>
    <col min="10242" max="10242" width="31.28515625" customWidth="1"/>
    <col min="10246" max="10246" width="11.28515625" customWidth="1"/>
    <col min="10248" max="10248" width="11.28515625" customWidth="1"/>
    <col min="10249" max="10249" width="12.85546875" customWidth="1"/>
    <col min="10498" max="10498" width="31.28515625" customWidth="1"/>
    <col min="10502" max="10502" width="11.28515625" customWidth="1"/>
    <col min="10504" max="10504" width="11.28515625" customWidth="1"/>
    <col min="10505" max="10505" width="12.85546875" customWidth="1"/>
    <col min="10754" max="10754" width="31.28515625" customWidth="1"/>
    <col min="10758" max="10758" width="11.28515625" customWidth="1"/>
    <col min="10760" max="10760" width="11.28515625" customWidth="1"/>
    <col min="10761" max="10761" width="12.85546875" customWidth="1"/>
    <col min="11010" max="11010" width="31.28515625" customWidth="1"/>
    <col min="11014" max="11014" width="11.28515625" customWidth="1"/>
    <col min="11016" max="11016" width="11.28515625" customWidth="1"/>
    <col min="11017" max="11017" width="12.85546875" customWidth="1"/>
    <col min="11266" max="11266" width="31.28515625" customWidth="1"/>
    <col min="11270" max="11270" width="11.28515625" customWidth="1"/>
    <col min="11272" max="11272" width="11.28515625" customWidth="1"/>
    <col min="11273" max="11273" width="12.85546875" customWidth="1"/>
    <col min="11522" max="11522" width="31.28515625" customWidth="1"/>
    <col min="11526" max="11526" width="11.28515625" customWidth="1"/>
    <col min="11528" max="11528" width="11.28515625" customWidth="1"/>
    <col min="11529" max="11529" width="12.85546875" customWidth="1"/>
    <col min="11778" max="11778" width="31.28515625" customWidth="1"/>
    <col min="11782" max="11782" width="11.28515625" customWidth="1"/>
    <col min="11784" max="11784" width="11.28515625" customWidth="1"/>
    <col min="11785" max="11785" width="12.85546875" customWidth="1"/>
    <col min="12034" max="12034" width="31.28515625" customWidth="1"/>
    <col min="12038" max="12038" width="11.28515625" customWidth="1"/>
    <col min="12040" max="12040" width="11.28515625" customWidth="1"/>
    <col min="12041" max="12041" width="12.85546875" customWidth="1"/>
    <col min="12290" max="12290" width="31.28515625" customWidth="1"/>
    <col min="12294" max="12294" width="11.28515625" customWidth="1"/>
    <col min="12296" max="12296" width="11.28515625" customWidth="1"/>
    <col min="12297" max="12297" width="12.85546875" customWidth="1"/>
    <col min="12546" max="12546" width="31.28515625" customWidth="1"/>
    <col min="12550" max="12550" width="11.28515625" customWidth="1"/>
    <col min="12552" max="12552" width="11.28515625" customWidth="1"/>
    <col min="12553" max="12553" width="12.85546875" customWidth="1"/>
    <col min="12802" max="12802" width="31.28515625" customWidth="1"/>
    <col min="12806" max="12806" width="11.28515625" customWidth="1"/>
    <col min="12808" max="12808" width="11.28515625" customWidth="1"/>
    <col min="12809" max="12809" width="12.85546875" customWidth="1"/>
    <col min="13058" max="13058" width="31.28515625" customWidth="1"/>
    <col min="13062" max="13062" width="11.28515625" customWidth="1"/>
    <col min="13064" max="13064" width="11.28515625" customWidth="1"/>
    <col min="13065" max="13065" width="12.85546875" customWidth="1"/>
    <col min="13314" max="13314" width="31.28515625" customWidth="1"/>
    <col min="13318" max="13318" width="11.28515625" customWidth="1"/>
    <col min="13320" max="13320" width="11.28515625" customWidth="1"/>
    <col min="13321" max="13321" width="12.85546875" customWidth="1"/>
    <col min="13570" max="13570" width="31.28515625" customWidth="1"/>
    <col min="13574" max="13574" width="11.28515625" customWidth="1"/>
    <col min="13576" max="13576" width="11.28515625" customWidth="1"/>
    <col min="13577" max="13577" width="12.85546875" customWidth="1"/>
    <col min="13826" max="13826" width="31.28515625" customWidth="1"/>
    <col min="13830" max="13830" width="11.28515625" customWidth="1"/>
    <col min="13832" max="13832" width="11.28515625" customWidth="1"/>
    <col min="13833" max="13833" width="12.85546875" customWidth="1"/>
    <col min="14082" max="14082" width="31.28515625" customWidth="1"/>
    <col min="14086" max="14086" width="11.28515625" customWidth="1"/>
    <col min="14088" max="14088" width="11.28515625" customWidth="1"/>
    <col min="14089" max="14089" width="12.85546875" customWidth="1"/>
    <col min="14338" max="14338" width="31.28515625" customWidth="1"/>
    <col min="14342" max="14342" width="11.28515625" customWidth="1"/>
    <col min="14344" max="14344" width="11.28515625" customWidth="1"/>
    <col min="14345" max="14345" width="12.85546875" customWidth="1"/>
    <col min="14594" max="14594" width="31.28515625" customWidth="1"/>
    <col min="14598" max="14598" width="11.28515625" customWidth="1"/>
    <col min="14600" max="14600" width="11.28515625" customWidth="1"/>
    <col min="14601" max="14601" width="12.85546875" customWidth="1"/>
    <col min="14850" max="14850" width="31.28515625" customWidth="1"/>
    <col min="14854" max="14854" width="11.28515625" customWidth="1"/>
    <col min="14856" max="14856" width="11.28515625" customWidth="1"/>
    <col min="14857" max="14857" width="12.85546875" customWidth="1"/>
    <col min="15106" max="15106" width="31.28515625" customWidth="1"/>
    <col min="15110" max="15110" width="11.28515625" customWidth="1"/>
    <col min="15112" max="15112" width="11.28515625" customWidth="1"/>
    <col min="15113" max="15113" width="12.85546875" customWidth="1"/>
    <col min="15362" max="15362" width="31.28515625" customWidth="1"/>
    <col min="15366" max="15366" width="11.28515625" customWidth="1"/>
    <col min="15368" max="15368" width="11.28515625" customWidth="1"/>
    <col min="15369" max="15369" width="12.85546875" customWidth="1"/>
    <col min="15618" max="15618" width="31.28515625" customWidth="1"/>
    <col min="15622" max="15622" width="11.28515625" customWidth="1"/>
    <col min="15624" max="15624" width="11.28515625" customWidth="1"/>
    <col min="15625" max="15625" width="12.85546875" customWidth="1"/>
    <col min="15874" max="15874" width="31.28515625" customWidth="1"/>
    <col min="15878" max="15878" width="11.28515625" customWidth="1"/>
    <col min="15880" max="15880" width="11.28515625" customWidth="1"/>
    <col min="15881" max="15881" width="12.85546875" customWidth="1"/>
    <col min="16130" max="16130" width="31.28515625" customWidth="1"/>
    <col min="16134" max="16134" width="11.28515625" customWidth="1"/>
    <col min="16136" max="16136" width="11.28515625" customWidth="1"/>
    <col min="16137" max="16137" width="12.85546875" customWidth="1"/>
  </cols>
  <sheetData>
    <row r="1" spans="1:13">
      <c r="B1" s="167" t="s">
        <v>205</v>
      </c>
      <c r="C1" s="167"/>
      <c r="D1" s="167" t="s">
        <v>204</v>
      </c>
      <c r="E1" s="168"/>
      <c r="F1" s="167" t="s">
        <v>203</v>
      </c>
      <c r="G1" s="169" t="s">
        <v>202</v>
      </c>
      <c r="H1" s="169" t="s">
        <v>201</v>
      </c>
      <c r="I1" s="169" t="s">
        <v>200</v>
      </c>
      <c r="K1" s="141" t="s">
        <v>268</v>
      </c>
      <c r="L1" s="141" t="s">
        <v>280</v>
      </c>
    </row>
    <row r="2" spans="1:13">
      <c r="B2" s="130" t="s">
        <v>279</v>
      </c>
      <c r="C2" s="130"/>
      <c r="D2" s="130" t="s">
        <v>245</v>
      </c>
      <c r="G2" s="61">
        <v>0</v>
      </c>
      <c r="H2" s="131">
        <v>100000</v>
      </c>
      <c r="I2" s="131">
        <v>-100000</v>
      </c>
      <c r="K2" s="139" t="s">
        <v>87</v>
      </c>
      <c r="L2" s="139">
        <v>100000</v>
      </c>
    </row>
    <row r="3" spans="1:13">
      <c r="B3" s="130" t="s">
        <v>278</v>
      </c>
      <c r="C3" s="130"/>
      <c r="D3" s="130" t="s">
        <v>244</v>
      </c>
      <c r="G3" s="61">
        <v>0</v>
      </c>
      <c r="H3" s="131">
        <v>569152</v>
      </c>
      <c r="I3" s="131">
        <v>-569152</v>
      </c>
      <c r="K3" s="139" t="s">
        <v>87</v>
      </c>
      <c r="L3" s="139">
        <v>569152</v>
      </c>
    </row>
    <row r="4" spans="1:13">
      <c r="A4" s="161"/>
      <c r="B4" s="162" t="s">
        <v>267</v>
      </c>
      <c r="C4" s="162"/>
      <c r="D4" s="162" t="s">
        <v>243</v>
      </c>
      <c r="E4" s="140"/>
      <c r="F4" s="161"/>
      <c r="G4" s="538">
        <v>302956</v>
      </c>
      <c r="H4" s="163">
        <v>0</v>
      </c>
      <c r="I4" s="163">
        <v>302956</v>
      </c>
      <c r="J4" s="161"/>
      <c r="K4" s="164">
        <v>302956</v>
      </c>
      <c r="L4" s="164" t="s">
        <v>87</v>
      </c>
    </row>
    <row r="5" spans="1:13">
      <c r="A5" s="161"/>
      <c r="B5" s="162" t="s">
        <v>266</v>
      </c>
      <c r="C5" s="162"/>
      <c r="D5" s="162" t="s">
        <v>242</v>
      </c>
      <c r="E5" s="140"/>
      <c r="F5" s="161"/>
      <c r="G5" s="538">
        <v>15000</v>
      </c>
      <c r="H5" s="163">
        <v>0</v>
      </c>
      <c r="I5" s="163">
        <v>15000</v>
      </c>
      <c r="J5" s="161"/>
      <c r="K5" s="164">
        <v>15000</v>
      </c>
      <c r="L5" s="164" t="s">
        <v>87</v>
      </c>
    </row>
    <row r="6" spans="1:13">
      <c r="A6" s="161"/>
      <c r="B6" s="162" t="s">
        <v>265</v>
      </c>
      <c r="C6" s="162"/>
      <c r="D6" s="162" t="s">
        <v>241</v>
      </c>
      <c r="E6" s="140"/>
      <c r="F6" s="161"/>
      <c r="G6" s="538">
        <v>37781.589999999997</v>
      </c>
      <c r="H6" s="163">
        <v>0</v>
      </c>
      <c r="I6" s="163">
        <v>37781.589999999997</v>
      </c>
      <c r="J6" s="161"/>
      <c r="K6" s="164">
        <v>37781.589999999997</v>
      </c>
      <c r="L6" s="164" t="s">
        <v>87</v>
      </c>
    </row>
    <row r="7" spans="1:13">
      <c r="A7" s="161"/>
      <c r="B7" s="162" t="s">
        <v>277</v>
      </c>
      <c r="C7" s="162"/>
      <c r="D7" s="162" t="s">
        <v>240</v>
      </c>
      <c r="E7" s="140"/>
      <c r="F7" s="161"/>
      <c r="G7" s="538">
        <v>0</v>
      </c>
      <c r="H7" s="163">
        <v>13004</v>
      </c>
      <c r="I7" s="163">
        <v>-13004</v>
      </c>
      <c r="J7" s="161"/>
      <c r="K7" s="164" t="s">
        <v>87</v>
      </c>
      <c r="L7" s="164">
        <v>13004</v>
      </c>
    </row>
    <row r="8" spans="1:13">
      <c r="A8" s="161"/>
      <c r="B8" s="162" t="s">
        <v>276</v>
      </c>
      <c r="C8" s="162"/>
      <c r="D8" s="162" t="s">
        <v>275</v>
      </c>
      <c r="E8" s="140"/>
      <c r="F8" s="161"/>
      <c r="G8" s="538">
        <v>0</v>
      </c>
      <c r="H8" s="163">
        <v>60591</v>
      </c>
      <c r="I8" s="163">
        <v>-60591</v>
      </c>
      <c r="J8" s="161"/>
      <c r="K8" s="164" t="s">
        <v>87</v>
      </c>
      <c r="L8" s="164">
        <v>60591</v>
      </c>
    </row>
    <row r="9" spans="1:13">
      <c r="B9" s="130" t="s">
        <v>264</v>
      </c>
      <c r="C9" s="130"/>
      <c r="D9" s="130" t="s">
        <v>263</v>
      </c>
      <c r="G9" s="61">
        <v>48217088.829999998</v>
      </c>
      <c r="H9" s="131">
        <v>30668736.199999999</v>
      </c>
      <c r="I9" s="131">
        <v>17548352.629999999</v>
      </c>
      <c r="K9" s="139">
        <v>17548352.629999999</v>
      </c>
      <c r="L9" s="139" t="s">
        <v>87</v>
      </c>
    </row>
    <row r="10" spans="1:13">
      <c r="A10" s="161"/>
      <c r="B10" s="162" t="s">
        <v>274</v>
      </c>
      <c r="C10" s="162"/>
      <c r="D10" s="162" t="s">
        <v>239</v>
      </c>
      <c r="E10" s="140"/>
      <c r="F10" s="161"/>
      <c r="G10" s="538">
        <v>46548192.700000003</v>
      </c>
      <c r="H10" s="163">
        <v>52596505.969999999</v>
      </c>
      <c r="I10" s="163">
        <v>-6048313.2699999958</v>
      </c>
      <c r="J10" s="161"/>
      <c r="K10" s="164" t="s">
        <v>87</v>
      </c>
      <c r="L10" s="164">
        <v>6048313.2699999958</v>
      </c>
    </row>
    <row r="11" spans="1:13">
      <c r="B11" s="130" t="s">
        <v>262</v>
      </c>
      <c r="C11" s="130"/>
      <c r="D11" s="130" t="s">
        <v>238</v>
      </c>
      <c r="G11" s="61">
        <v>54597352.240000002</v>
      </c>
      <c r="H11" s="131">
        <v>48411253.43</v>
      </c>
      <c r="I11" s="131">
        <v>6186098.8100000024</v>
      </c>
      <c r="K11" s="139">
        <v>6186098.8100000024</v>
      </c>
      <c r="L11" s="139" t="s">
        <v>87</v>
      </c>
    </row>
    <row r="12" spans="1:13">
      <c r="A12" s="161"/>
      <c r="B12" s="162" t="s">
        <v>261</v>
      </c>
      <c r="C12" s="162"/>
      <c r="D12" s="162" t="s">
        <v>237</v>
      </c>
      <c r="E12" s="140"/>
      <c r="F12" s="161"/>
      <c r="G12" s="538">
        <v>1336222</v>
      </c>
      <c r="H12" s="163">
        <v>1229682</v>
      </c>
      <c r="I12" s="163">
        <v>106540</v>
      </c>
      <c r="J12" s="161"/>
      <c r="K12" s="164">
        <v>106540</v>
      </c>
      <c r="L12" s="164" t="s">
        <v>87</v>
      </c>
    </row>
    <row r="13" spans="1:13">
      <c r="B13" s="130" t="s">
        <v>273</v>
      </c>
      <c r="C13" s="130"/>
      <c r="D13" s="130" t="s">
        <v>236</v>
      </c>
      <c r="G13" s="61">
        <v>428992</v>
      </c>
      <c r="H13" s="131">
        <v>471400</v>
      </c>
      <c r="I13" s="131">
        <v>-42408</v>
      </c>
      <c r="K13" s="139" t="s">
        <v>87</v>
      </c>
      <c r="L13" s="139">
        <v>42408</v>
      </c>
    </row>
    <row r="14" spans="1:13">
      <c r="A14" s="161"/>
      <c r="B14" s="162" t="s">
        <v>272</v>
      </c>
      <c r="C14" s="162"/>
      <c r="D14" s="162" t="s">
        <v>235</v>
      </c>
      <c r="E14" s="140"/>
      <c r="F14" s="161"/>
      <c r="G14" s="538">
        <v>118300</v>
      </c>
      <c r="H14" s="163">
        <v>129500</v>
      </c>
      <c r="I14" s="163">
        <v>-11200</v>
      </c>
      <c r="J14" s="161"/>
      <c r="K14" s="164" t="s">
        <v>87</v>
      </c>
      <c r="L14" s="164">
        <v>11200</v>
      </c>
    </row>
    <row r="15" spans="1:13" ht="15.75" thickBot="1">
      <c r="B15" s="130" t="s">
        <v>260</v>
      </c>
      <c r="C15" s="130"/>
      <c r="D15" s="130" t="s">
        <v>234</v>
      </c>
      <c r="G15" s="61">
        <v>476761</v>
      </c>
      <c r="H15" s="131">
        <v>0</v>
      </c>
      <c r="I15" s="131">
        <v>476761</v>
      </c>
      <c r="K15" s="139">
        <v>476761</v>
      </c>
      <c r="L15" s="139" t="s">
        <v>87</v>
      </c>
    </row>
    <row r="16" spans="1:13">
      <c r="A16" s="161"/>
      <c r="B16" s="162" t="s">
        <v>259</v>
      </c>
      <c r="C16" s="162"/>
      <c r="D16" s="162" t="s">
        <v>233</v>
      </c>
      <c r="E16" s="140"/>
      <c r="F16" s="161"/>
      <c r="G16" s="538">
        <v>6539535</v>
      </c>
      <c r="H16" s="163">
        <v>6536420</v>
      </c>
      <c r="I16" s="163">
        <v>3115</v>
      </c>
      <c r="J16" s="161"/>
      <c r="K16" s="539">
        <v>3115</v>
      </c>
      <c r="L16" s="540" t="s">
        <v>87</v>
      </c>
      <c r="M16" t="s">
        <v>1325</v>
      </c>
    </row>
    <row r="17" spans="1:16">
      <c r="B17" s="130" t="s">
        <v>258</v>
      </c>
      <c r="C17" s="130"/>
      <c r="D17" s="130" t="s">
        <v>232</v>
      </c>
      <c r="G17" s="61">
        <v>1299163</v>
      </c>
      <c r="H17" s="131">
        <v>0</v>
      </c>
      <c r="I17" s="131">
        <v>1299163</v>
      </c>
      <c r="K17" s="143">
        <v>1299163</v>
      </c>
      <c r="L17" s="144" t="s">
        <v>87</v>
      </c>
    </row>
    <row r="18" spans="1:16">
      <c r="A18" s="161"/>
      <c r="B18" s="162" t="s">
        <v>257</v>
      </c>
      <c r="C18" s="162"/>
      <c r="D18" s="162" t="s">
        <v>231</v>
      </c>
      <c r="E18" s="140"/>
      <c r="F18" s="161"/>
      <c r="G18" s="538">
        <v>2259762.98</v>
      </c>
      <c r="H18" s="163">
        <v>0</v>
      </c>
      <c r="I18" s="163">
        <v>2259762.98</v>
      </c>
      <c r="J18" s="161"/>
      <c r="K18" s="165">
        <v>2259762.98</v>
      </c>
      <c r="L18" s="166" t="s">
        <v>87</v>
      </c>
    </row>
    <row r="19" spans="1:16">
      <c r="B19" s="130" t="s">
        <v>256</v>
      </c>
      <c r="C19" s="130"/>
      <c r="D19" s="130" t="s">
        <v>230</v>
      </c>
      <c r="G19" s="61">
        <v>0</v>
      </c>
      <c r="H19" s="131">
        <v>8580716.7400000002</v>
      </c>
      <c r="I19" s="131">
        <v>-8580716.7400000002</v>
      </c>
      <c r="K19" s="143" t="s">
        <v>87</v>
      </c>
      <c r="L19" s="144">
        <v>8580716.7400000002</v>
      </c>
      <c r="P19" s="113"/>
    </row>
    <row r="20" spans="1:16">
      <c r="A20" s="161"/>
      <c r="B20" s="162" t="s">
        <v>255</v>
      </c>
      <c r="C20" s="162"/>
      <c r="D20" s="162" t="s">
        <v>229</v>
      </c>
      <c r="E20" s="140"/>
      <c r="F20" s="161"/>
      <c r="G20" s="538">
        <v>16519</v>
      </c>
      <c r="H20" s="163">
        <v>0</v>
      </c>
      <c r="I20" s="163">
        <v>16519</v>
      </c>
      <c r="J20" s="161"/>
      <c r="K20" s="165">
        <v>16519</v>
      </c>
      <c r="L20" s="166" t="s">
        <v>87</v>
      </c>
    </row>
    <row r="21" spans="1:16" ht="15.75" thickBot="1">
      <c r="B21" s="130" t="s">
        <v>254</v>
      </c>
      <c r="C21" s="130"/>
      <c r="D21" s="130" t="s">
        <v>228</v>
      </c>
      <c r="G21" s="61">
        <v>6536420</v>
      </c>
      <c r="H21" s="131">
        <v>0</v>
      </c>
      <c r="I21" s="131">
        <v>6536420</v>
      </c>
      <c r="K21" s="541">
        <v>6536420</v>
      </c>
      <c r="L21" s="542" t="s">
        <v>87</v>
      </c>
      <c r="M21" s="113">
        <v>10114979.98</v>
      </c>
      <c r="N21" s="113">
        <v>8580716.7400000002</v>
      </c>
      <c r="O21" s="113">
        <v>1534263.2400000002</v>
      </c>
    </row>
    <row r="22" spans="1:16">
      <c r="A22" s="161"/>
      <c r="B22" s="162" t="s">
        <v>271</v>
      </c>
      <c r="C22" s="162"/>
      <c r="D22" s="162" t="s">
        <v>227</v>
      </c>
      <c r="E22" s="140"/>
      <c r="F22" s="161"/>
      <c r="G22" s="538">
        <v>9614800</v>
      </c>
      <c r="H22" s="163">
        <v>15000000</v>
      </c>
      <c r="I22" s="163">
        <v>-5385200</v>
      </c>
      <c r="J22" s="161"/>
      <c r="K22" s="164" t="s">
        <v>87</v>
      </c>
      <c r="L22" s="164">
        <v>5385200</v>
      </c>
    </row>
    <row r="23" spans="1:16">
      <c r="B23" s="130" t="s">
        <v>253</v>
      </c>
      <c r="C23" s="130"/>
      <c r="D23" s="130" t="s">
        <v>226</v>
      </c>
      <c r="G23" s="61">
        <v>88225252.959999993</v>
      </c>
      <c r="H23" s="131">
        <v>87157935.329999998</v>
      </c>
      <c r="I23" s="131">
        <v>1067317.6299999952</v>
      </c>
      <c r="K23" s="139">
        <v>1067317.6299999952</v>
      </c>
      <c r="L23" s="139" t="s">
        <v>87</v>
      </c>
    </row>
    <row r="24" spans="1:16">
      <c r="B24" s="130" t="s">
        <v>252</v>
      </c>
      <c r="C24" s="130"/>
      <c r="D24" s="130" t="s">
        <v>251</v>
      </c>
      <c r="G24" s="61">
        <v>40749972.93</v>
      </c>
      <c r="H24" s="131">
        <v>40347218.07</v>
      </c>
      <c r="I24" s="131">
        <v>402754.8599999994</v>
      </c>
      <c r="K24" s="139">
        <v>402754.8599999994</v>
      </c>
      <c r="L24" s="139" t="s">
        <v>87</v>
      </c>
    </row>
    <row r="25" spans="1:16">
      <c r="B25" s="130" t="s">
        <v>250</v>
      </c>
      <c r="C25" s="130"/>
      <c r="D25" s="130" t="s">
        <v>249</v>
      </c>
      <c r="G25" s="61">
        <v>2516975.69</v>
      </c>
      <c r="H25" s="131">
        <v>2518353.67</v>
      </c>
      <c r="I25" s="131">
        <v>-1377.9799999999814</v>
      </c>
      <c r="K25" s="139" t="s">
        <v>87</v>
      </c>
      <c r="L25" s="139">
        <v>1377.9799999999814</v>
      </c>
    </row>
    <row r="26" spans="1:16">
      <c r="B26" s="130" t="s">
        <v>248</v>
      </c>
      <c r="C26" s="130"/>
      <c r="D26" s="130" t="s">
        <v>247</v>
      </c>
      <c r="G26" s="61">
        <v>16943500.280000001</v>
      </c>
      <c r="H26" s="131">
        <v>16881128.68</v>
      </c>
      <c r="I26" s="131">
        <v>62371.60000000149</v>
      </c>
      <c r="K26" s="139">
        <v>62371.60000000149</v>
      </c>
      <c r="L26" s="139" t="s">
        <v>87</v>
      </c>
    </row>
    <row r="27" spans="1:16">
      <c r="B27" s="130" t="s">
        <v>246</v>
      </c>
      <c r="C27" s="130"/>
      <c r="D27" s="130" t="s">
        <v>225</v>
      </c>
      <c r="G27" s="61">
        <v>38956</v>
      </c>
      <c r="H27" s="131">
        <v>0</v>
      </c>
      <c r="I27" s="131">
        <v>38956</v>
      </c>
      <c r="K27" s="139">
        <v>38956</v>
      </c>
      <c r="L27" s="139" t="s">
        <v>87</v>
      </c>
    </row>
    <row r="28" spans="1:16">
      <c r="B28" s="130" t="s">
        <v>270</v>
      </c>
      <c r="C28" s="130"/>
      <c r="D28" s="130" t="s">
        <v>269</v>
      </c>
      <c r="G28" s="61">
        <v>335198.49</v>
      </c>
      <c r="H28" s="131">
        <v>11335198</v>
      </c>
      <c r="I28" s="131">
        <v>-10999999.51</v>
      </c>
      <c r="K28" s="139" t="s">
        <v>87</v>
      </c>
      <c r="L28" s="139">
        <v>10999999.51</v>
      </c>
    </row>
    <row r="29" spans="1:16">
      <c r="B29" s="130" t="s">
        <v>281</v>
      </c>
      <c r="C29" s="130"/>
      <c r="D29" s="130" t="s">
        <v>172</v>
      </c>
      <c r="G29" s="61">
        <v>99590280.010000005</v>
      </c>
      <c r="H29" s="131">
        <v>99590280.010000005</v>
      </c>
      <c r="I29" s="131">
        <v>0</v>
      </c>
      <c r="K29" s="139" t="s">
        <v>87</v>
      </c>
      <c r="L29" s="139" t="s">
        <v>87</v>
      </c>
    </row>
    <row r="30" spans="1:16">
      <c r="A30" s="161" t="s">
        <v>324</v>
      </c>
      <c r="B30" s="162" t="s">
        <v>282</v>
      </c>
      <c r="C30" s="162">
        <f>VLOOKUP(B30,'TB DBase'!C:D,2,FALSE)</f>
        <v>12104</v>
      </c>
      <c r="D30" s="162" t="s">
        <v>283</v>
      </c>
      <c r="E30" s="140"/>
      <c r="F30" s="161"/>
      <c r="G30" s="538">
        <v>30668736.199999999</v>
      </c>
      <c r="H30" s="163">
        <v>40549388.810000002</v>
      </c>
      <c r="I30" s="163">
        <v>-9880652.6100000031</v>
      </c>
      <c r="J30" s="161"/>
      <c r="K30" s="164" t="s">
        <v>87</v>
      </c>
      <c r="L30" s="164">
        <v>9880652.6100000031</v>
      </c>
    </row>
    <row r="31" spans="1:16">
      <c r="A31" s="161" t="s">
        <v>322</v>
      </c>
      <c r="B31" s="162" t="s">
        <v>284</v>
      </c>
      <c r="C31" s="162">
        <f>VLOOKUP(B31,'TB DBase'!C:D,2,FALSE)</f>
        <v>12103</v>
      </c>
      <c r="D31" s="162" t="s">
        <v>285</v>
      </c>
      <c r="E31" s="140"/>
      <c r="F31" s="161"/>
      <c r="G31" s="538">
        <v>38627030.350000001</v>
      </c>
      <c r="H31" s="163">
        <v>0</v>
      </c>
      <c r="I31" s="163">
        <v>38627030.350000001</v>
      </c>
      <c r="J31" s="161"/>
      <c r="K31" s="164">
        <v>38627030.350000001</v>
      </c>
      <c r="L31" s="164" t="s">
        <v>87</v>
      </c>
    </row>
    <row r="32" spans="1:16">
      <c r="A32" t="s">
        <v>317</v>
      </c>
      <c r="B32" s="130" t="s">
        <v>286</v>
      </c>
      <c r="C32" s="162">
        <f>VLOOKUP(B32,'TB DBase'!C:D,2,FALSE)</f>
        <v>12101</v>
      </c>
      <c r="D32" s="130" t="s">
        <v>224</v>
      </c>
      <c r="G32" s="61">
        <v>3880802.5</v>
      </c>
      <c r="H32" s="131">
        <v>0</v>
      </c>
      <c r="I32" s="131">
        <v>3880802.5</v>
      </c>
      <c r="K32" s="139">
        <v>3880802.5</v>
      </c>
      <c r="L32" s="139" t="s">
        <v>87</v>
      </c>
    </row>
    <row r="33" spans="1:12">
      <c r="A33" s="161" t="s">
        <v>315</v>
      </c>
      <c r="B33" s="162" t="s">
        <v>287</v>
      </c>
      <c r="C33" s="162">
        <v>12101</v>
      </c>
      <c r="D33" s="162" t="s">
        <v>223</v>
      </c>
      <c r="E33" s="140"/>
      <c r="F33" s="161"/>
      <c r="G33" s="538">
        <v>214415.87</v>
      </c>
      <c r="H33" s="163">
        <v>0</v>
      </c>
      <c r="I33" s="163">
        <v>214415.87</v>
      </c>
      <c r="J33" s="161"/>
      <c r="K33" s="164">
        <v>214415.87</v>
      </c>
      <c r="L33" s="164" t="s">
        <v>87</v>
      </c>
    </row>
    <row r="34" spans="1:12">
      <c r="A34" s="161" t="s">
        <v>315</v>
      </c>
      <c r="B34" s="162" t="s">
        <v>288</v>
      </c>
      <c r="C34" s="162">
        <v>12101</v>
      </c>
      <c r="D34" s="162" t="s">
        <v>222</v>
      </c>
      <c r="E34" s="140"/>
      <c r="F34" s="161"/>
      <c r="G34" s="538">
        <v>22958.36</v>
      </c>
      <c r="H34" s="163">
        <v>0</v>
      </c>
      <c r="I34" s="163">
        <v>22958.36</v>
      </c>
      <c r="J34" s="161"/>
      <c r="K34" s="164">
        <v>22958.36</v>
      </c>
      <c r="L34" s="164" t="s">
        <v>87</v>
      </c>
    </row>
    <row r="35" spans="1:12">
      <c r="A35" t="s">
        <v>319</v>
      </c>
      <c r="B35" s="130" t="s">
        <v>289</v>
      </c>
      <c r="C35" s="162">
        <f>VLOOKUP(B35,'TB DBase'!C:D,2,FALSE)</f>
        <v>12403</v>
      </c>
      <c r="D35" s="130" t="s">
        <v>174</v>
      </c>
      <c r="G35" s="61">
        <v>361000</v>
      </c>
      <c r="H35" s="131">
        <v>0</v>
      </c>
      <c r="I35" s="131">
        <v>361000</v>
      </c>
      <c r="K35" s="139">
        <v>361000</v>
      </c>
      <c r="L35" s="139" t="s">
        <v>87</v>
      </c>
    </row>
    <row r="36" spans="1:12">
      <c r="A36" s="161" t="s">
        <v>315</v>
      </c>
      <c r="B36" s="162" t="s">
        <v>290</v>
      </c>
      <c r="C36" s="162">
        <f>VLOOKUP(B36,'TB DBase'!C:D,2,FALSE)</f>
        <v>12405</v>
      </c>
      <c r="D36" s="162" t="s">
        <v>175</v>
      </c>
      <c r="E36" s="140"/>
      <c r="F36" s="161"/>
      <c r="G36" s="538">
        <v>119874.71</v>
      </c>
      <c r="H36" s="163">
        <v>0</v>
      </c>
      <c r="I36" s="163">
        <v>119874.71</v>
      </c>
      <c r="J36" s="161"/>
      <c r="K36" s="164">
        <v>119874.71</v>
      </c>
      <c r="L36" s="164" t="s">
        <v>87</v>
      </c>
    </row>
    <row r="37" spans="1:12">
      <c r="A37" s="161" t="s">
        <v>315</v>
      </c>
      <c r="B37" s="162" t="s">
        <v>291</v>
      </c>
      <c r="C37" s="162">
        <f>VLOOKUP(B37,'TB DBase'!C:D,2,FALSE)</f>
        <v>12401</v>
      </c>
      <c r="D37" s="162" t="s">
        <v>221</v>
      </c>
      <c r="E37" s="140"/>
      <c r="F37" s="161"/>
      <c r="G37" s="538">
        <v>114000</v>
      </c>
      <c r="H37" s="163">
        <v>0</v>
      </c>
      <c r="I37" s="163">
        <v>114000</v>
      </c>
      <c r="J37" s="161"/>
      <c r="K37" s="164">
        <v>114000</v>
      </c>
      <c r="L37" s="164" t="s">
        <v>87</v>
      </c>
    </row>
    <row r="38" spans="1:12">
      <c r="A38" s="161" t="s">
        <v>315</v>
      </c>
      <c r="B38" s="162" t="s">
        <v>292</v>
      </c>
      <c r="C38" s="162">
        <v>12101</v>
      </c>
      <c r="D38" s="162" t="s">
        <v>220</v>
      </c>
      <c r="E38" s="140"/>
      <c r="F38" s="161"/>
      <c r="G38" s="538">
        <v>752680</v>
      </c>
      <c r="H38" s="163">
        <v>0</v>
      </c>
      <c r="I38" s="163">
        <v>752680</v>
      </c>
      <c r="J38" s="161"/>
      <c r="K38" s="164">
        <v>752680</v>
      </c>
      <c r="L38" s="164" t="s">
        <v>87</v>
      </c>
    </row>
    <row r="39" spans="1:12">
      <c r="A39" s="161" t="s">
        <v>315</v>
      </c>
      <c r="B39" s="162" t="s">
        <v>293</v>
      </c>
      <c r="C39" s="162">
        <v>12101</v>
      </c>
      <c r="D39" s="162" t="s">
        <v>219</v>
      </c>
      <c r="E39" s="140"/>
      <c r="F39" s="161"/>
      <c r="G39" s="538">
        <v>81250</v>
      </c>
      <c r="H39" s="163">
        <v>0</v>
      </c>
      <c r="I39" s="163">
        <v>81250</v>
      </c>
      <c r="J39" s="161"/>
      <c r="K39" s="164">
        <v>81250</v>
      </c>
      <c r="L39" s="164" t="s">
        <v>87</v>
      </c>
    </row>
    <row r="40" spans="1:12">
      <c r="A40" s="161" t="s">
        <v>315</v>
      </c>
      <c r="B40" s="162" t="s">
        <v>294</v>
      </c>
      <c r="C40" s="162">
        <f>VLOOKUP(B40,'TB DBase'!C:D,2,FALSE)</f>
        <v>12411</v>
      </c>
      <c r="D40" s="162" t="s">
        <v>218</v>
      </c>
      <c r="E40" s="140"/>
      <c r="F40" s="161"/>
      <c r="G40" s="538">
        <v>35343.599999999999</v>
      </c>
      <c r="H40" s="163">
        <v>0</v>
      </c>
      <c r="I40" s="163">
        <v>35343.599999999999</v>
      </c>
      <c r="J40" s="161"/>
      <c r="K40" s="164">
        <v>35343.599999999999</v>
      </c>
      <c r="L40" s="164" t="s">
        <v>87</v>
      </c>
    </row>
    <row r="41" spans="1:12">
      <c r="A41" s="161" t="s">
        <v>315</v>
      </c>
      <c r="B41" s="162" t="s">
        <v>295</v>
      </c>
      <c r="C41" s="162">
        <f>VLOOKUP(B41,'TB DBase'!C:D,2,FALSE)</f>
        <v>12411</v>
      </c>
      <c r="D41" s="162" t="s">
        <v>176</v>
      </c>
      <c r="E41" s="140"/>
      <c r="F41" s="161"/>
      <c r="G41" s="538">
        <v>351993.26</v>
      </c>
      <c r="H41" s="163">
        <v>0</v>
      </c>
      <c r="I41" s="163">
        <v>351993.26</v>
      </c>
      <c r="J41" s="161"/>
      <c r="K41" s="164">
        <v>351993.26</v>
      </c>
      <c r="L41" s="164" t="s">
        <v>87</v>
      </c>
    </row>
    <row r="42" spans="1:12">
      <c r="A42" s="161" t="s">
        <v>315</v>
      </c>
      <c r="B42" s="162" t="s">
        <v>296</v>
      </c>
      <c r="C42" s="162">
        <f>VLOOKUP(B42,'TB DBase'!C:D,2,FALSE)</f>
        <v>12411</v>
      </c>
      <c r="D42" s="162" t="s">
        <v>177</v>
      </c>
      <c r="E42" s="140"/>
      <c r="F42" s="161"/>
      <c r="G42" s="538">
        <v>12529.17</v>
      </c>
      <c r="H42" s="163">
        <v>0</v>
      </c>
      <c r="I42" s="163">
        <v>12529.17</v>
      </c>
      <c r="J42" s="161"/>
      <c r="K42" s="164">
        <v>12529.17</v>
      </c>
      <c r="L42" s="164" t="s">
        <v>87</v>
      </c>
    </row>
    <row r="43" spans="1:12">
      <c r="A43" s="161" t="s">
        <v>315</v>
      </c>
      <c r="B43" s="162" t="s">
        <v>297</v>
      </c>
      <c r="C43" s="162">
        <v>12411</v>
      </c>
      <c r="D43" s="162" t="s">
        <v>217</v>
      </c>
      <c r="E43" s="140"/>
      <c r="F43" s="161"/>
      <c r="G43" s="538">
        <v>8833.68</v>
      </c>
      <c r="H43" s="163">
        <v>0</v>
      </c>
      <c r="I43" s="163">
        <v>8833.68</v>
      </c>
      <c r="J43" s="161"/>
      <c r="K43" s="164">
        <v>8833.68</v>
      </c>
      <c r="L43" s="164" t="s">
        <v>87</v>
      </c>
    </row>
    <row r="44" spans="1:12">
      <c r="A44" t="s">
        <v>318</v>
      </c>
      <c r="B44" s="130" t="s">
        <v>298</v>
      </c>
      <c r="C44" s="162">
        <v>124121</v>
      </c>
      <c r="D44" s="130" t="s">
        <v>216</v>
      </c>
      <c r="G44" s="61">
        <v>1137568.5</v>
      </c>
      <c r="H44" s="131">
        <v>0</v>
      </c>
      <c r="I44" s="131">
        <v>1137568.5</v>
      </c>
      <c r="K44" s="139">
        <v>1137568.5</v>
      </c>
      <c r="L44" s="139" t="s">
        <v>87</v>
      </c>
    </row>
    <row r="45" spans="1:12">
      <c r="A45" t="s">
        <v>318</v>
      </c>
      <c r="B45" s="130" t="s">
        <v>299</v>
      </c>
      <c r="C45" s="162">
        <f>VLOOKUP(B45,'TB DBase'!C:D,2,FALSE)</f>
        <v>124121</v>
      </c>
      <c r="D45" s="130" t="s">
        <v>215</v>
      </c>
      <c r="G45" s="61">
        <v>41446.400000000001</v>
      </c>
      <c r="H45" s="131">
        <v>0</v>
      </c>
      <c r="I45" s="131">
        <v>41446.400000000001</v>
      </c>
      <c r="K45" s="139">
        <v>41446.400000000001</v>
      </c>
      <c r="L45" s="139" t="s">
        <v>87</v>
      </c>
    </row>
    <row r="46" spans="1:12">
      <c r="A46" s="161" t="s">
        <v>316</v>
      </c>
      <c r="B46" s="162" t="s">
        <v>300</v>
      </c>
      <c r="C46" s="162">
        <f>VLOOKUP(B46,'TB DBase'!C:D,2,FALSE)</f>
        <v>12413</v>
      </c>
      <c r="D46" s="162" t="s">
        <v>214</v>
      </c>
      <c r="E46" s="140"/>
      <c r="F46" s="161"/>
      <c r="G46" s="538">
        <v>484086.53</v>
      </c>
      <c r="H46" s="163">
        <v>0</v>
      </c>
      <c r="I46" s="163">
        <v>484086.53</v>
      </c>
      <c r="J46" s="161"/>
      <c r="K46" s="164">
        <v>484086.53</v>
      </c>
      <c r="L46" s="164" t="s">
        <v>87</v>
      </c>
    </row>
    <row r="47" spans="1:12">
      <c r="A47" t="s">
        <v>323</v>
      </c>
      <c r="B47" s="130" t="s">
        <v>301</v>
      </c>
      <c r="C47" s="162">
        <f>VLOOKUP(B47,'TB DBase'!C:D,2,FALSE)</f>
        <v>12503</v>
      </c>
      <c r="D47" s="130" t="s">
        <v>213</v>
      </c>
      <c r="G47" s="61">
        <v>120926</v>
      </c>
      <c r="H47" s="131">
        <v>0</v>
      </c>
      <c r="I47" s="131">
        <v>120926</v>
      </c>
      <c r="K47" s="139">
        <v>120926</v>
      </c>
      <c r="L47" s="139" t="s">
        <v>87</v>
      </c>
    </row>
    <row r="48" spans="1:12">
      <c r="A48" t="s">
        <v>323</v>
      </c>
      <c r="B48" s="130" t="s">
        <v>302</v>
      </c>
      <c r="C48" s="162">
        <v>12503</v>
      </c>
      <c r="D48" s="130" t="s">
        <v>212</v>
      </c>
      <c r="G48" s="61">
        <v>200</v>
      </c>
      <c r="H48" s="131">
        <v>0</v>
      </c>
      <c r="I48" s="131">
        <v>200</v>
      </c>
      <c r="K48" s="139">
        <v>200</v>
      </c>
      <c r="L48" s="139" t="s">
        <v>87</v>
      </c>
    </row>
    <row r="49" spans="1:12">
      <c r="A49" s="161" t="s">
        <v>320</v>
      </c>
      <c r="B49" s="162" t="s">
        <v>303</v>
      </c>
      <c r="C49" s="162">
        <f>VLOOKUP(B49,'TB DBase'!C:D,2,FALSE)</f>
        <v>12201</v>
      </c>
      <c r="D49" s="162" t="s">
        <v>211</v>
      </c>
      <c r="E49" s="140"/>
      <c r="F49" s="161"/>
      <c r="G49" s="538">
        <v>1521600</v>
      </c>
      <c r="H49" s="163">
        <v>0</v>
      </c>
      <c r="I49" s="163">
        <v>1521600</v>
      </c>
      <c r="J49" s="161"/>
      <c r="K49" s="164">
        <v>1521600</v>
      </c>
      <c r="L49" s="164" t="s">
        <v>87</v>
      </c>
    </row>
    <row r="50" spans="1:12">
      <c r="A50" s="161" t="s">
        <v>321</v>
      </c>
      <c r="B50" s="162" t="s">
        <v>304</v>
      </c>
      <c r="C50" s="162">
        <f>VLOOKUP(B50,'TB DBase'!C:D,2,FALSE)</f>
        <v>12202</v>
      </c>
      <c r="D50" s="162" t="s">
        <v>210</v>
      </c>
      <c r="E50" s="140"/>
      <c r="F50" s="161"/>
      <c r="G50" s="538">
        <v>276587</v>
      </c>
      <c r="H50" s="163">
        <v>0</v>
      </c>
      <c r="I50" s="163">
        <v>276587</v>
      </c>
      <c r="J50" s="161"/>
      <c r="K50" s="164">
        <v>276587</v>
      </c>
      <c r="L50" s="164" t="s">
        <v>87</v>
      </c>
    </row>
    <row r="51" spans="1:12">
      <c r="B51" s="130" t="s">
        <v>305</v>
      </c>
      <c r="C51" s="162"/>
      <c r="D51" s="130" t="s">
        <v>209</v>
      </c>
      <c r="G51" s="61">
        <v>2.1800000000000002</v>
      </c>
      <c r="H51" s="131">
        <v>0</v>
      </c>
      <c r="I51" s="131">
        <v>2.1800000000000002</v>
      </c>
      <c r="K51" s="139">
        <v>2.1800000000000002</v>
      </c>
      <c r="L51" s="139" t="s">
        <v>87</v>
      </c>
    </row>
    <row r="52" spans="1:12">
      <c r="A52" t="s">
        <v>327</v>
      </c>
      <c r="B52" s="130" t="s">
        <v>306</v>
      </c>
      <c r="C52" s="162">
        <f>VLOOKUP(B52,'TB DBase'!C:D,2,FALSE)</f>
        <v>12300</v>
      </c>
      <c r="D52" s="130" t="s">
        <v>208</v>
      </c>
      <c r="G52" s="61">
        <v>73595</v>
      </c>
      <c r="H52" s="131">
        <v>0</v>
      </c>
      <c r="I52" s="131">
        <v>73595</v>
      </c>
      <c r="K52" s="139">
        <v>73595</v>
      </c>
      <c r="L52" s="139" t="s">
        <v>87</v>
      </c>
    </row>
    <row r="53" spans="1:12">
      <c r="A53" s="161" t="s">
        <v>325</v>
      </c>
      <c r="B53" s="162" t="s">
        <v>307</v>
      </c>
      <c r="C53" s="162">
        <f>VLOOKUP(B53,'TB DBase'!C:D,2,FALSE)</f>
        <v>0</v>
      </c>
      <c r="D53" s="162" t="s">
        <v>308</v>
      </c>
      <c r="E53" s="140"/>
      <c r="F53" s="161"/>
      <c r="G53" s="538">
        <v>0</v>
      </c>
      <c r="H53" s="163">
        <v>490502.29</v>
      </c>
      <c r="I53" s="163">
        <v>-490502.29</v>
      </c>
      <c r="J53" s="161"/>
      <c r="K53" s="164" t="s">
        <v>87</v>
      </c>
      <c r="L53" s="164">
        <v>490502.29</v>
      </c>
    </row>
    <row r="54" spans="1:12">
      <c r="A54" s="161" t="s">
        <v>325</v>
      </c>
      <c r="B54" s="162" t="s">
        <v>309</v>
      </c>
      <c r="C54" s="162">
        <f>VLOOKUP(B54,'TB DBase'!C:D,2,FALSE)</f>
        <v>0</v>
      </c>
      <c r="D54" s="162" t="s">
        <v>207</v>
      </c>
      <c r="E54" s="140"/>
      <c r="F54" s="161"/>
      <c r="G54" s="538">
        <v>0</v>
      </c>
      <c r="H54" s="163">
        <v>42413129.210000001</v>
      </c>
      <c r="I54" s="163">
        <v>-42413129.210000001</v>
      </c>
      <c r="J54" s="161"/>
      <c r="K54" s="164" t="s">
        <v>87</v>
      </c>
      <c r="L54" s="164">
        <v>42413129.210000001</v>
      </c>
    </row>
    <row r="55" spans="1:12">
      <c r="A55" t="s">
        <v>326</v>
      </c>
      <c r="B55" s="130" t="s">
        <v>310</v>
      </c>
      <c r="C55" s="162">
        <f>VLOOKUP(B55,'TB DBase'!C:D,2,FALSE)</f>
        <v>0</v>
      </c>
      <c r="D55" s="130" t="s">
        <v>206</v>
      </c>
      <c r="G55" s="61">
        <v>0</v>
      </c>
      <c r="H55" s="131">
        <v>2346.6</v>
      </c>
      <c r="I55" s="131">
        <v>-2346.6</v>
      </c>
      <c r="K55" s="139" t="s">
        <v>87</v>
      </c>
      <c r="L55" s="139">
        <v>2346.6</v>
      </c>
    </row>
    <row r="56" spans="1:12">
      <c r="B56" s="130" t="s">
        <v>311</v>
      </c>
      <c r="C56" s="162">
        <f>VLOOKUP(B56,'TB DBase'!C:D,2,FALSE)</f>
        <v>0</v>
      </c>
      <c r="D56" s="130" t="s">
        <v>312</v>
      </c>
      <c r="G56" s="61">
        <v>7673489.5599999996</v>
      </c>
      <c r="H56" s="131">
        <v>7673489.5599999996</v>
      </c>
      <c r="I56" s="131">
        <v>0</v>
      </c>
      <c r="K56" s="139" t="s">
        <v>87</v>
      </c>
      <c r="L56" s="139" t="s">
        <v>87</v>
      </c>
    </row>
    <row r="57" spans="1:12">
      <c r="B57" s="130"/>
      <c r="C57" s="130"/>
      <c r="D57" s="130"/>
      <c r="F57" s="130"/>
      <c r="G57" s="131"/>
      <c r="H57" s="131"/>
      <c r="I57" s="131"/>
      <c r="K57" s="142">
        <v>84598593.210000023</v>
      </c>
      <c r="L57" s="142">
        <v>84598593.209999993</v>
      </c>
    </row>
    <row r="58" spans="1:12">
      <c r="E58" s="132" t="s">
        <v>199</v>
      </c>
      <c r="F58" s="133">
        <v>0</v>
      </c>
      <c r="G58" s="134">
        <v>513325931.57000005</v>
      </c>
      <c r="H58" s="134">
        <v>513325931.57000005</v>
      </c>
      <c r="I58" s="134">
        <v>1.4902070688549429E-9</v>
      </c>
      <c r="L58" s="139">
        <v>0</v>
      </c>
    </row>
    <row r="59" spans="1:12">
      <c r="K59" s="139">
        <v>-10114979.98</v>
      </c>
      <c r="L59" s="139">
        <v>-8580716.7400000002</v>
      </c>
    </row>
    <row r="60" spans="1:12">
      <c r="K60" s="139">
        <v>1534263.2400000002</v>
      </c>
    </row>
    <row r="61" spans="1:12">
      <c r="K61" s="145">
        <v>76017876.470000014</v>
      </c>
      <c r="L61" s="145">
        <v>76017876.469999999</v>
      </c>
    </row>
  </sheetData>
  <autoFilter ref="A1:P61">
    <filterColumn colId="2"/>
  </autoFilter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U63"/>
  <sheetViews>
    <sheetView topLeftCell="C13" zoomScale="85" zoomScaleNormal="85" workbookViewId="0">
      <selection activeCell="G36" sqref="G36"/>
    </sheetView>
  </sheetViews>
  <sheetFormatPr defaultRowHeight="15"/>
  <cols>
    <col min="3" max="3" width="6.7109375" customWidth="1"/>
    <col min="5" max="5" width="49.140625" customWidth="1"/>
    <col min="6" max="6" width="9.140625" hidden="1" customWidth="1"/>
    <col min="7" max="7" width="15.5703125" customWidth="1"/>
    <col min="8" max="8" width="16.28515625" style="222" customWidth="1"/>
    <col min="9" max="9" width="9.140625" style="222"/>
    <col min="10" max="10" width="14.42578125" style="61" customWidth="1"/>
    <col min="11" max="11" width="16.140625" style="61" customWidth="1"/>
    <col min="12" max="12" width="12.85546875" style="61" customWidth="1"/>
    <col min="13" max="13" width="13.28515625" customWidth="1"/>
    <col min="14" max="14" width="17.28515625" style="139" customWidth="1"/>
    <col min="15" max="15" width="19.140625" style="139" customWidth="1"/>
    <col min="16" max="16" width="13.140625" customWidth="1"/>
    <col min="17" max="17" width="20.7109375" customWidth="1"/>
    <col min="18" max="18" width="18.28515625" customWidth="1"/>
    <col min="19" max="19" width="12.5703125" bestFit="1" customWidth="1"/>
    <col min="20" max="20" width="14.28515625" bestFit="1" customWidth="1"/>
    <col min="22" max="23" width="9.140625" customWidth="1"/>
    <col min="261" max="261" width="31.28515625" customWidth="1"/>
    <col min="265" max="265" width="11.28515625" customWidth="1"/>
    <col min="267" max="267" width="11.28515625" customWidth="1"/>
    <col min="268" max="268" width="12.85546875" customWidth="1"/>
    <col min="517" max="517" width="31.28515625" customWidth="1"/>
    <col min="521" max="521" width="11.28515625" customWidth="1"/>
    <col min="523" max="523" width="11.28515625" customWidth="1"/>
    <col min="524" max="524" width="12.85546875" customWidth="1"/>
    <col min="773" max="773" width="31.28515625" customWidth="1"/>
    <col min="777" max="777" width="11.28515625" customWidth="1"/>
    <col min="779" max="779" width="11.28515625" customWidth="1"/>
    <col min="780" max="780" width="12.85546875" customWidth="1"/>
    <col min="1029" max="1029" width="31.28515625" customWidth="1"/>
    <col min="1033" max="1033" width="11.28515625" customWidth="1"/>
    <col min="1035" max="1035" width="11.28515625" customWidth="1"/>
    <col min="1036" max="1036" width="12.85546875" customWidth="1"/>
    <col min="1285" max="1285" width="31.28515625" customWidth="1"/>
    <col min="1289" max="1289" width="11.28515625" customWidth="1"/>
    <col min="1291" max="1291" width="11.28515625" customWidth="1"/>
    <col min="1292" max="1292" width="12.85546875" customWidth="1"/>
    <col min="1541" max="1541" width="31.28515625" customWidth="1"/>
    <col min="1545" max="1545" width="11.28515625" customWidth="1"/>
    <col min="1547" max="1547" width="11.28515625" customWidth="1"/>
    <col min="1548" max="1548" width="12.85546875" customWidth="1"/>
    <col min="1797" max="1797" width="31.28515625" customWidth="1"/>
    <col min="1801" max="1801" width="11.28515625" customWidth="1"/>
    <col min="1803" max="1803" width="11.28515625" customWidth="1"/>
    <col min="1804" max="1804" width="12.85546875" customWidth="1"/>
    <col min="2053" max="2053" width="31.28515625" customWidth="1"/>
    <col min="2057" max="2057" width="11.28515625" customWidth="1"/>
    <col min="2059" max="2059" width="11.28515625" customWidth="1"/>
    <col min="2060" max="2060" width="12.85546875" customWidth="1"/>
    <col min="2309" max="2309" width="31.28515625" customWidth="1"/>
    <col min="2313" max="2313" width="11.28515625" customWidth="1"/>
    <col min="2315" max="2315" width="11.28515625" customWidth="1"/>
    <col min="2316" max="2316" width="12.85546875" customWidth="1"/>
    <col min="2565" max="2565" width="31.28515625" customWidth="1"/>
    <col min="2569" max="2569" width="11.28515625" customWidth="1"/>
    <col min="2571" max="2571" width="11.28515625" customWidth="1"/>
    <col min="2572" max="2572" width="12.85546875" customWidth="1"/>
    <col min="2821" max="2821" width="31.28515625" customWidth="1"/>
    <col min="2825" max="2825" width="11.28515625" customWidth="1"/>
    <col min="2827" max="2827" width="11.28515625" customWidth="1"/>
    <col min="2828" max="2828" width="12.85546875" customWidth="1"/>
    <col min="3077" max="3077" width="31.28515625" customWidth="1"/>
    <col min="3081" max="3081" width="11.28515625" customWidth="1"/>
    <col min="3083" max="3083" width="11.28515625" customWidth="1"/>
    <col min="3084" max="3084" width="12.85546875" customWidth="1"/>
    <col min="3333" max="3333" width="31.28515625" customWidth="1"/>
    <col min="3337" max="3337" width="11.28515625" customWidth="1"/>
    <col min="3339" max="3339" width="11.28515625" customWidth="1"/>
    <col min="3340" max="3340" width="12.85546875" customWidth="1"/>
    <col min="3589" max="3589" width="31.28515625" customWidth="1"/>
    <col min="3593" max="3593" width="11.28515625" customWidth="1"/>
    <col min="3595" max="3595" width="11.28515625" customWidth="1"/>
    <col min="3596" max="3596" width="12.85546875" customWidth="1"/>
    <col min="3845" max="3845" width="31.28515625" customWidth="1"/>
    <col min="3849" max="3849" width="11.28515625" customWidth="1"/>
    <col min="3851" max="3851" width="11.28515625" customWidth="1"/>
    <col min="3852" max="3852" width="12.85546875" customWidth="1"/>
    <col min="4101" max="4101" width="31.28515625" customWidth="1"/>
    <col min="4105" max="4105" width="11.28515625" customWidth="1"/>
    <col min="4107" max="4107" width="11.28515625" customWidth="1"/>
    <col min="4108" max="4108" width="12.85546875" customWidth="1"/>
    <col min="4357" max="4357" width="31.28515625" customWidth="1"/>
    <col min="4361" max="4361" width="11.28515625" customWidth="1"/>
    <col min="4363" max="4363" width="11.28515625" customWidth="1"/>
    <col min="4364" max="4364" width="12.85546875" customWidth="1"/>
    <col min="4613" max="4613" width="31.28515625" customWidth="1"/>
    <col min="4617" max="4617" width="11.28515625" customWidth="1"/>
    <col min="4619" max="4619" width="11.28515625" customWidth="1"/>
    <col min="4620" max="4620" width="12.85546875" customWidth="1"/>
    <col min="4869" max="4869" width="31.28515625" customWidth="1"/>
    <col min="4873" max="4873" width="11.28515625" customWidth="1"/>
    <col min="4875" max="4875" width="11.28515625" customWidth="1"/>
    <col min="4876" max="4876" width="12.85546875" customWidth="1"/>
    <col min="5125" max="5125" width="31.28515625" customWidth="1"/>
    <col min="5129" max="5129" width="11.28515625" customWidth="1"/>
    <col min="5131" max="5131" width="11.28515625" customWidth="1"/>
    <col min="5132" max="5132" width="12.85546875" customWidth="1"/>
    <col min="5381" max="5381" width="31.28515625" customWidth="1"/>
    <col min="5385" max="5385" width="11.28515625" customWidth="1"/>
    <col min="5387" max="5387" width="11.28515625" customWidth="1"/>
    <col min="5388" max="5388" width="12.85546875" customWidth="1"/>
    <col min="5637" max="5637" width="31.28515625" customWidth="1"/>
    <col min="5641" max="5641" width="11.28515625" customWidth="1"/>
    <col min="5643" max="5643" width="11.28515625" customWidth="1"/>
    <col min="5644" max="5644" width="12.85546875" customWidth="1"/>
    <col min="5893" max="5893" width="31.28515625" customWidth="1"/>
    <col min="5897" max="5897" width="11.28515625" customWidth="1"/>
    <col min="5899" max="5899" width="11.28515625" customWidth="1"/>
    <col min="5900" max="5900" width="12.85546875" customWidth="1"/>
    <col min="6149" max="6149" width="31.28515625" customWidth="1"/>
    <col min="6153" max="6153" width="11.28515625" customWidth="1"/>
    <col min="6155" max="6155" width="11.28515625" customWidth="1"/>
    <col min="6156" max="6156" width="12.85546875" customWidth="1"/>
    <col min="6405" max="6405" width="31.28515625" customWidth="1"/>
    <col min="6409" max="6409" width="11.28515625" customWidth="1"/>
    <col min="6411" max="6411" width="11.28515625" customWidth="1"/>
    <col min="6412" max="6412" width="12.85546875" customWidth="1"/>
    <col min="6661" max="6661" width="31.28515625" customWidth="1"/>
    <col min="6665" max="6665" width="11.28515625" customWidth="1"/>
    <col min="6667" max="6667" width="11.28515625" customWidth="1"/>
    <col min="6668" max="6668" width="12.85546875" customWidth="1"/>
    <col min="6917" max="6917" width="31.28515625" customWidth="1"/>
    <col min="6921" max="6921" width="11.28515625" customWidth="1"/>
    <col min="6923" max="6923" width="11.28515625" customWidth="1"/>
    <col min="6924" max="6924" width="12.85546875" customWidth="1"/>
    <col min="7173" max="7173" width="31.28515625" customWidth="1"/>
    <col min="7177" max="7177" width="11.28515625" customWidth="1"/>
    <col min="7179" max="7179" width="11.28515625" customWidth="1"/>
    <col min="7180" max="7180" width="12.85546875" customWidth="1"/>
    <col min="7429" max="7429" width="31.28515625" customWidth="1"/>
    <col min="7433" max="7433" width="11.28515625" customWidth="1"/>
    <col min="7435" max="7435" width="11.28515625" customWidth="1"/>
    <col min="7436" max="7436" width="12.85546875" customWidth="1"/>
    <col min="7685" max="7685" width="31.28515625" customWidth="1"/>
    <col min="7689" max="7689" width="11.28515625" customWidth="1"/>
    <col min="7691" max="7691" width="11.28515625" customWidth="1"/>
    <col min="7692" max="7692" width="12.85546875" customWidth="1"/>
    <col min="7941" max="7941" width="31.28515625" customWidth="1"/>
    <col min="7945" max="7945" width="11.28515625" customWidth="1"/>
    <col min="7947" max="7947" width="11.28515625" customWidth="1"/>
    <col min="7948" max="7948" width="12.85546875" customWidth="1"/>
    <col min="8197" max="8197" width="31.28515625" customWidth="1"/>
    <col min="8201" max="8201" width="11.28515625" customWidth="1"/>
    <col min="8203" max="8203" width="11.28515625" customWidth="1"/>
    <col min="8204" max="8204" width="12.85546875" customWidth="1"/>
    <col min="8453" max="8453" width="31.28515625" customWidth="1"/>
    <col min="8457" max="8457" width="11.28515625" customWidth="1"/>
    <col min="8459" max="8459" width="11.28515625" customWidth="1"/>
    <col min="8460" max="8460" width="12.85546875" customWidth="1"/>
    <col min="8709" max="8709" width="31.28515625" customWidth="1"/>
    <col min="8713" max="8713" width="11.28515625" customWidth="1"/>
    <col min="8715" max="8715" width="11.28515625" customWidth="1"/>
    <col min="8716" max="8716" width="12.85546875" customWidth="1"/>
    <col min="8965" max="8965" width="31.28515625" customWidth="1"/>
    <col min="8969" max="8969" width="11.28515625" customWidth="1"/>
    <col min="8971" max="8971" width="11.28515625" customWidth="1"/>
    <col min="8972" max="8972" width="12.85546875" customWidth="1"/>
    <col min="9221" max="9221" width="31.28515625" customWidth="1"/>
    <col min="9225" max="9225" width="11.28515625" customWidth="1"/>
    <col min="9227" max="9227" width="11.28515625" customWidth="1"/>
    <col min="9228" max="9228" width="12.85546875" customWidth="1"/>
    <col min="9477" max="9477" width="31.28515625" customWidth="1"/>
    <col min="9481" max="9481" width="11.28515625" customWidth="1"/>
    <col min="9483" max="9483" width="11.28515625" customWidth="1"/>
    <col min="9484" max="9484" width="12.85546875" customWidth="1"/>
    <col min="9733" max="9733" width="31.28515625" customWidth="1"/>
    <col min="9737" max="9737" width="11.28515625" customWidth="1"/>
    <col min="9739" max="9739" width="11.28515625" customWidth="1"/>
    <col min="9740" max="9740" width="12.85546875" customWidth="1"/>
    <col min="9989" max="9989" width="31.28515625" customWidth="1"/>
    <col min="9993" max="9993" width="11.28515625" customWidth="1"/>
    <col min="9995" max="9995" width="11.28515625" customWidth="1"/>
    <col min="9996" max="9996" width="12.85546875" customWidth="1"/>
    <col min="10245" max="10245" width="31.28515625" customWidth="1"/>
    <col min="10249" max="10249" width="11.28515625" customWidth="1"/>
    <col min="10251" max="10251" width="11.28515625" customWidth="1"/>
    <col min="10252" max="10252" width="12.85546875" customWidth="1"/>
    <col min="10501" max="10501" width="31.28515625" customWidth="1"/>
    <col min="10505" max="10505" width="11.28515625" customWidth="1"/>
    <col min="10507" max="10507" width="11.28515625" customWidth="1"/>
    <col min="10508" max="10508" width="12.85546875" customWidth="1"/>
    <col min="10757" max="10757" width="31.28515625" customWidth="1"/>
    <col min="10761" max="10761" width="11.28515625" customWidth="1"/>
    <col min="10763" max="10763" width="11.28515625" customWidth="1"/>
    <col min="10764" max="10764" width="12.85546875" customWidth="1"/>
    <col min="11013" max="11013" width="31.28515625" customWidth="1"/>
    <col min="11017" max="11017" width="11.28515625" customWidth="1"/>
    <col min="11019" max="11019" width="11.28515625" customWidth="1"/>
    <col min="11020" max="11020" width="12.85546875" customWidth="1"/>
    <col min="11269" max="11269" width="31.28515625" customWidth="1"/>
    <col min="11273" max="11273" width="11.28515625" customWidth="1"/>
    <col min="11275" max="11275" width="11.28515625" customWidth="1"/>
    <col min="11276" max="11276" width="12.85546875" customWidth="1"/>
    <col min="11525" max="11525" width="31.28515625" customWidth="1"/>
    <col min="11529" max="11529" width="11.28515625" customWidth="1"/>
    <col min="11531" max="11531" width="11.28515625" customWidth="1"/>
    <col min="11532" max="11532" width="12.85546875" customWidth="1"/>
    <col min="11781" max="11781" width="31.28515625" customWidth="1"/>
    <col min="11785" max="11785" width="11.28515625" customWidth="1"/>
    <col min="11787" max="11787" width="11.28515625" customWidth="1"/>
    <col min="11788" max="11788" width="12.85546875" customWidth="1"/>
    <col min="12037" max="12037" width="31.28515625" customWidth="1"/>
    <col min="12041" max="12041" width="11.28515625" customWidth="1"/>
    <col min="12043" max="12043" width="11.28515625" customWidth="1"/>
    <col min="12044" max="12044" width="12.85546875" customWidth="1"/>
    <col min="12293" max="12293" width="31.28515625" customWidth="1"/>
    <col min="12297" max="12297" width="11.28515625" customWidth="1"/>
    <col min="12299" max="12299" width="11.28515625" customWidth="1"/>
    <col min="12300" max="12300" width="12.85546875" customWidth="1"/>
    <col min="12549" max="12549" width="31.28515625" customWidth="1"/>
    <col min="12553" max="12553" width="11.28515625" customWidth="1"/>
    <col min="12555" max="12555" width="11.28515625" customWidth="1"/>
    <col min="12556" max="12556" width="12.85546875" customWidth="1"/>
    <col min="12805" max="12805" width="31.28515625" customWidth="1"/>
    <col min="12809" max="12809" width="11.28515625" customWidth="1"/>
    <col min="12811" max="12811" width="11.28515625" customWidth="1"/>
    <col min="12812" max="12812" width="12.85546875" customWidth="1"/>
    <col min="13061" max="13061" width="31.28515625" customWidth="1"/>
    <col min="13065" max="13065" width="11.28515625" customWidth="1"/>
    <col min="13067" max="13067" width="11.28515625" customWidth="1"/>
    <col min="13068" max="13068" width="12.85546875" customWidth="1"/>
    <col min="13317" max="13317" width="31.28515625" customWidth="1"/>
    <col min="13321" max="13321" width="11.28515625" customWidth="1"/>
    <col min="13323" max="13323" width="11.28515625" customWidth="1"/>
    <col min="13324" max="13324" width="12.85546875" customWidth="1"/>
    <col min="13573" max="13573" width="31.28515625" customWidth="1"/>
    <col min="13577" max="13577" width="11.28515625" customWidth="1"/>
    <col min="13579" max="13579" width="11.28515625" customWidth="1"/>
    <col min="13580" max="13580" width="12.85546875" customWidth="1"/>
    <col min="13829" max="13829" width="31.28515625" customWidth="1"/>
    <col min="13833" max="13833" width="11.28515625" customWidth="1"/>
    <col min="13835" max="13835" width="11.28515625" customWidth="1"/>
    <col min="13836" max="13836" width="12.85546875" customWidth="1"/>
    <col min="14085" max="14085" width="31.28515625" customWidth="1"/>
    <col min="14089" max="14089" width="11.28515625" customWidth="1"/>
    <col min="14091" max="14091" width="11.28515625" customWidth="1"/>
    <col min="14092" max="14092" width="12.85546875" customWidth="1"/>
    <col min="14341" max="14341" width="31.28515625" customWidth="1"/>
    <col min="14345" max="14345" width="11.28515625" customWidth="1"/>
    <col min="14347" max="14347" width="11.28515625" customWidth="1"/>
    <col min="14348" max="14348" width="12.85546875" customWidth="1"/>
    <col min="14597" max="14597" width="31.28515625" customWidth="1"/>
    <col min="14601" max="14601" width="11.28515625" customWidth="1"/>
    <col min="14603" max="14603" width="11.28515625" customWidth="1"/>
    <col min="14604" max="14604" width="12.85546875" customWidth="1"/>
    <col min="14853" max="14853" width="31.28515625" customWidth="1"/>
    <col min="14857" max="14857" width="11.28515625" customWidth="1"/>
    <col min="14859" max="14859" width="11.28515625" customWidth="1"/>
    <col min="14860" max="14860" width="12.85546875" customWidth="1"/>
    <col min="15109" max="15109" width="31.28515625" customWidth="1"/>
    <col min="15113" max="15113" width="11.28515625" customWidth="1"/>
    <col min="15115" max="15115" width="11.28515625" customWidth="1"/>
    <col min="15116" max="15116" width="12.85546875" customWidth="1"/>
    <col min="15365" max="15365" width="31.28515625" customWidth="1"/>
    <col min="15369" max="15369" width="11.28515625" customWidth="1"/>
    <col min="15371" max="15371" width="11.28515625" customWidth="1"/>
    <col min="15372" max="15372" width="12.85546875" customWidth="1"/>
    <col min="15621" max="15621" width="31.28515625" customWidth="1"/>
    <col min="15625" max="15625" width="11.28515625" customWidth="1"/>
    <col min="15627" max="15627" width="11.28515625" customWidth="1"/>
    <col min="15628" max="15628" width="12.85546875" customWidth="1"/>
    <col min="15877" max="15877" width="31.28515625" customWidth="1"/>
    <col min="15881" max="15881" width="11.28515625" customWidth="1"/>
    <col min="15883" max="15883" width="11.28515625" customWidth="1"/>
    <col min="15884" max="15884" width="12.85546875" customWidth="1"/>
    <col min="16133" max="16133" width="31.28515625" customWidth="1"/>
    <col min="16137" max="16137" width="11.28515625" customWidth="1"/>
    <col min="16139" max="16139" width="11.28515625" customWidth="1"/>
    <col min="16140" max="16140" width="12.85546875" customWidth="1"/>
  </cols>
  <sheetData>
    <row r="1" spans="2:18">
      <c r="C1" s="167" t="s">
        <v>205</v>
      </c>
      <c r="E1" s="167" t="s">
        <v>204</v>
      </c>
      <c r="F1" s="168"/>
      <c r="G1" s="418"/>
      <c r="H1" s="418" t="s">
        <v>1264</v>
      </c>
      <c r="I1" s="169"/>
      <c r="J1" s="169" t="s">
        <v>202</v>
      </c>
      <c r="K1" s="169" t="s">
        <v>201</v>
      </c>
      <c r="L1" s="169" t="s">
        <v>200</v>
      </c>
      <c r="N1" s="141" t="s">
        <v>268</v>
      </c>
      <c r="O1" s="141" t="s">
        <v>280</v>
      </c>
    </row>
    <row r="2" spans="2:18">
      <c r="C2" s="130" t="str">
        <f>'TB Vesion Final'!A2</f>
        <v>101</v>
      </c>
      <c r="E2" s="130" t="str">
        <f>'TB Vesion Final'!C2</f>
        <v>Kapitali i paguar</v>
      </c>
      <c r="G2" s="419">
        <f>SUMIFS(Adjustime!D:D,Adjustime!$A:$A,$C2)</f>
        <v>0</v>
      </c>
      <c r="H2" s="419">
        <f>SUMIFS(Adjustime!E:E,Adjustime!$A:$A,$C2)</f>
        <v>0</v>
      </c>
      <c r="J2" s="61">
        <f>SUMIFS('TB Vesion Final'!H:H,'TB Vesion Final'!A:A,C2)+G2</f>
        <v>0</v>
      </c>
      <c r="K2" s="131">
        <f>SUMIFS('TB Vesion Final'!J:J,'TB Vesion Final'!A:A,C2)+H2</f>
        <v>100000</v>
      </c>
      <c r="L2" s="131">
        <f t="shared" ref="L2:L34" si="0">J2-K2</f>
        <v>-100000</v>
      </c>
      <c r="N2" s="139" t="str">
        <f>IF($L2&gt;0,$L2," ")</f>
        <v xml:space="preserve"> </v>
      </c>
      <c r="O2" s="139">
        <f>IF($L2&lt;0,-$L2," ")</f>
        <v>100000</v>
      </c>
    </row>
    <row r="3" spans="2:18">
      <c r="C3" s="130" t="str">
        <f>'TB Vesion Final'!A3</f>
        <v>108</v>
      </c>
      <c r="E3" s="130" t="str">
        <f>'TB Vesion Final'!C3</f>
        <v>Fitim / humbja e pashperndare</v>
      </c>
      <c r="G3" s="419">
        <f>SUMIFS(Adjustime!D:D,Adjustime!$A:$A,$C3)</f>
        <v>0</v>
      </c>
      <c r="H3" s="419">
        <f>SUMIFS(Adjustime!E:E,Adjustime!$A:$A,$C3)</f>
        <v>0</v>
      </c>
      <c r="J3" s="61">
        <f>SUMIFS('TB Vesion Final'!H:H,'TB Vesion Final'!A:A,C3)+G3</f>
        <v>0</v>
      </c>
      <c r="K3" s="131">
        <f>SUMIFS('TB Vesion Final'!J:J,'TB Vesion Final'!A:A,C3)+H3</f>
        <v>4662271</v>
      </c>
      <c r="L3" s="131">
        <f t="shared" si="0"/>
        <v>-4662271</v>
      </c>
      <c r="N3" s="139" t="str">
        <f t="shared" ref="N3:N56" si="1">IF($L3&gt;0,$L3," ")</f>
        <v xml:space="preserve"> </v>
      </c>
      <c r="O3" s="139">
        <f t="shared" ref="O3:O56" si="2">IF($L3&lt;0,-$L3," ")</f>
        <v>4662271</v>
      </c>
    </row>
    <row r="4" spans="2:18">
      <c r="B4" s="161"/>
      <c r="C4" s="130" t="str">
        <f>'TB Vesion Final'!A4</f>
        <v>2134</v>
      </c>
      <c r="E4" s="130" t="str">
        <f>'TB Vesion Final'!C4</f>
        <v>Makineri dhe pajisje pune</v>
      </c>
      <c r="F4" s="140"/>
      <c r="G4" s="419">
        <f>SUMIFS(Adjustime!D:D,Adjustime!$A:$A,$C4)</f>
        <v>0</v>
      </c>
      <c r="H4" s="419">
        <f>SUMIFS(Adjustime!E:E,Adjustime!$A:$A,$C4)</f>
        <v>0</v>
      </c>
      <c r="J4" s="61">
        <f>SUMIFS('TB Vesion Final'!H:H,'TB Vesion Final'!A:A,C4)+G4</f>
        <v>7045588.5</v>
      </c>
      <c r="K4" s="131">
        <f>SUMIFS('TB Vesion Final'!J:J,'TB Vesion Final'!A:A,C4)+H4</f>
        <v>2006772</v>
      </c>
      <c r="L4" s="163">
        <f t="shared" si="0"/>
        <v>5038816.5</v>
      </c>
      <c r="M4" s="161"/>
      <c r="N4" s="164">
        <f t="shared" si="1"/>
        <v>5038816.5</v>
      </c>
      <c r="O4" s="164" t="str">
        <f t="shared" si="2"/>
        <v xml:space="preserve"> </v>
      </c>
    </row>
    <row r="5" spans="2:18">
      <c r="B5" s="161"/>
      <c r="C5" s="130" t="str">
        <f>'TB Vesion Final'!A5</f>
        <v>2181</v>
      </c>
      <c r="E5" s="130" t="str">
        <f>'TB Vesion Final'!C5</f>
        <v>Mobilje dhe pajisje zyre</v>
      </c>
      <c r="F5" s="140"/>
      <c r="G5" s="419">
        <f>SUMIFS(Adjustime!D:D,Adjustime!$A:$A,$C5)</f>
        <v>0</v>
      </c>
      <c r="H5" s="419">
        <f>SUMIFS(Adjustime!E:E,Adjustime!$A:$A,$C5)</f>
        <v>0</v>
      </c>
      <c r="J5" s="61">
        <f>SUMIFS('TB Vesion Final'!H:H,'TB Vesion Final'!A:A,C5)+G5</f>
        <v>378643.92</v>
      </c>
      <c r="K5" s="131">
        <f>SUMIFS('TB Vesion Final'!J:J,'TB Vesion Final'!A:A,C5)+H5</f>
        <v>18150.27</v>
      </c>
      <c r="L5" s="163">
        <f t="shared" si="0"/>
        <v>360493.64999999997</v>
      </c>
      <c r="M5" s="161"/>
      <c r="N5" s="164">
        <f t="shared" si="1"/>
        <v>360493.64999999997</v>
      </c>
      <c r="O5" s="164" t="str">
        <f t="shared" si="2"/>
        <v xml:space="preserve"> </v>
      </c>
      <c r="Q5" s="113">
        <f>SUM(J17:J19)</f>
        <v>20015179</v>
      </c>
      <c r="R5" s="113">
        <f>K17</f>
        <v>18236137</v>
      </c>
    </row>
    <row r="6" spans="2:18">
      <c r="B6" s="161"/>
      <c r="C6" s="130" t="str">
        <f>'TB Vesion Final'!A6</f>
        <v>2182</v>
      </c>
      <c r="E6" s="130" t="str">
        <f>'TB Vesion Final'!C6</f>
        <v>Pajisje informative</v>
      </c>
      <c r="F6" s="140"/>
      <c r="G6" s="419">
        <f>SUMIFS(Adjustime!D:D,Adjustime!$A:$A,$C6)</f>
        <v>0</v>
      </c>
      <c r="H6" s="419">
        <f>SUMIFS(Adjustime!E:E,Adjustime!$A:$A,$C6)</f>
        <v>0</v>
      </c>
      <c r="J6" s="61">
        <f>SUMIFS('TB Vesion Final'!H:H,'TB Vesion Final'!A:A,C6)+G6</f>
        <v>37782</v>
      </c>
      <c r="K6" s="131">
        <f>SUMIFS('TB Vesion Final'!J:J,'TB Vesion Final'!A:A,C6)+H6</f>
        <v>0</v>
      </c>
      <c r="L6" s="163">
        <f t="shared" si="0"/>
        <v>37782</v>
      </c>
      <c r="M6" s="161"/>
      <c r="N6" s="164">
        <f t="shared" si="1"/>
        <v>37782</v>
      </c>
      <c r="O6" s="164" t="str">
        <f t="shared" si="2"/>
        <v xml:space="preserve"> </v>
      </c>
      <c r="R6" s="113">
        <f>R5-Q5</f>
        <v>-1779042</v>
      </c>
    </row>
    <row r="7" spans="2:18">
      <c r="B7" s="161"/>
      <c r="C7" s="130" t="str">
        <f>'TB Vesion Final'!A7</f>
        <v>231</v>
      </c>
      <c r="E7" s="130" t="str">
        <f>'TB Vesion Final'!C7</f>
        <v>AA materiale ne proces</v>
      </c>
      <c r="F7" s="140"/>
      <c r="G7" s="419">
        <f>SUMIFS(Adjustime!D:D,Adjustime!$A:$A,$C7)</f>
        <v>0</v>
      </c>
      <c r="H7" s="419">
        <f>SUMIFS(Adjustime!E:E,Adjustime!$A:$A,$C7)</f>
        <v>0</v>
      </c>
      <c r="J7" s="61">
        <f>SUMIFS('TB Vesion Final'!H:H,'TB Vesion Final'!A:A,C7)+G7</f>
        <v>7395510</v>
      </c>
      <c r="K7" s="131">
        <f>SUMIFS('TB Vesion Final'!J:J,'TB Vesion Final'!A:A,C7)+H7</f>
        <v>0</v>
      </c>
      <c r="L7" s="163">
        <f t="shared" si="0"/>
        <v>7395510</v>
      </c>
      <c r="M7" s="161"/>
      <c r="N7" s="164">
        <f t="shared" si="1"/>
        <v>7395510</v>
      </c>
      <c r="O7" s="164" t="str">
        <f t="shared" si="2"/>
        <v xml:space="preserve"> </v>
      </c>
    </row>
    <row r="8" spans="2:18">
      <c r="B8" s="161"/>
      <c r="C8" s="130" t="str">
        <f>'TB Vesion Final'!A8</f>
        <v>2813</v>
      </c>
      <c r="E8" s="130" t="str">
        <f>'TB Vesion Final'!C8</f>
        <v>Per instalime teknike, makinerite, pajisje, instrum dhe vegl</v>
      </c>
      <c r="F8" s="140"/>
      <c r="G8" s="419">
        <f>SUMIFS(Adjustime!D:D,Adjustime!$A:$A,$C8)</f>
        <v>0</v>
      </c>
      <c r="H8" s="419">
        <f>SUMIFS(Adjustime!E:E,Adjustime!$A:$A,$C8)</f>
        <v>0</v>
      </c>
      <c r="J8" s="61">
        <f>SUMIFS('TB Vesion Final'!H:H,'TB Vesion Final'!A:A,C8)+G8</f>
        <v>0</v>
      </c>
      <c r="K8" s="131">
        <f>SUMIFS('TB Vesion Final'!J:J,'TB Vesion Final'!A:A,C8)+H8</f>
        <v>42771</v>
      </c>
      <c r="L8" s="163">
        <f t="shared" si="0"/>
        <v>-42771</v>
      </c>
      <c r="M8" s="161"/>
      <c r="N8" s="164" t="str">
        <f t="shared" si="1"/>
        <v xml:space="preserve"> </v>
      </c>
      <c r="O8" s="164">
        <f t="shared" si="2"/>
        <v>42771</v>
      </c>
    </row>
    <row r="9" spans="2:18">
      <c r="C9" s="130" t="str">
        <f>'TB Vesion Final'!A9</f>
        <v>2815</v>
      </c>
      <c r="E9" s="130" t="str">
        <f>'TB Vesion Final'!C9</f>
        <v>Per mjete transporti</v>
      </c>
      <c r="G9" s="419">
        <f>SUMIFS(Adjustime!D:D,Adjustime!$A:$A,$C9)</f>
        <v>0</v>
      </c>
      <c r="H9" s="419">
        <f>SUMIFS(Adjustime!E:E,Adjustime!$A:$A,$C9)</f>
        <v>0</v>
      </c>
      <c r="J9" s="61">
        <f>SUMIFS('TB Vesion Final'!H:H,'TB Vesion Final'!A:A,C9)+G9</f>
        <v>0</v>
      </c>
      <c r="K9" s="131">
        <f>SUMIFS('TB Vesion Final'!J:J,'TB Vesion Final'!A:A,C9)+H9</f>
        <v>414291.7</v>
      </c>
      <c r="L9" s="131">
        <f t="shared" si="0"/>
        <v>-414291.7</v>
      </c>
      <c r="N9" s="139" t="str">
        <f t="shared" si="1"/>
        <v xml:space="preserve"> </v>
      </c>
      <c r="O9" s="139">
        <f t="shared" si="2"/>
        <v>414291.7</v>
      </c>
    </row>
    <row r="10" spans="2:18">
      <c r="B10" s="161"/>
      <c r="C10" s="130" t="str">
        <f>'TB Vesion Final'!A10</f>
        <v>351</v>
      </c>
      <c r="E10" s="130" t="str">
        <f>'TB Vesion Final'!C10</f>
        <v>Mallra grupi I</v>
      </c>
      <c r="F10" s="140"/>
      <c r="G10" s="419">
        <f>SUMIFS(Adjustime!D:D,Adjustime!$A:$A,$C10)</f>
        <v>0</v>
      </c>
      <c r="H10" s="419">
        <f>SUMIFS(Adjustime!E:E,Adjustime!$A:$A,$C10)</f>
        <v>0</v>
      </c>
      <c r="J10" s="61">
        <f>SUMIFS('TB Vesion Final'!H:H,'TB Vesion Final'!A:A,C10)+G10</f>
        <v>145413012.30000001</v>
      </c>
      <c r="K10" s="131">
        <f>SUMIFS('TB Vesion Final'!J:J,'TB Vesion Final'!A:A,C10)+H10</f>
        <v>131946013.90000001</v>
      </c>
      <c r="L10" s="163">
        <f t="shared" si="0"/>
        <v>13466998.400000006</v>
      </c>
      <c r="M10" s="161"/>
      <c r="N10" s="164">
        <f t="shared" si="1"/>
        <v>13466998.400000006</v>
      </c>
      <c r="O10" s="164" t="str">
        <f t="shared" si="2"/>
        <v xml:space="preserve"> </v>
      </c>
    </row>
    <row r="11" spans="2:18">
      <c r="C11" s="130" t="str">
        <f>'TB Vesion Final'!A11</f>
        <v>401</v>
      </c>
      <c r="E11" s="130" t="str">
        <f>'TB Vesion Final'!C11</f>
        <v>Furnitore per mallra , produkte e sherbime</v>
      </c>
      <c r="G11" s="419">
        <f>SUMIFS(Adjustime!D:D,Adjustime!$A:$A,$C11)</f>
        <v>0</v>
      </c>
      <c r="H11" s="419">
        <f>SUMIFS(Adjustime!E:E,Adjustime!$A:$A,$C11)</f>
        <v>0</v>
      </c>
      <c r="J11" s="61">
        <f>SUMIFS('TB Vesion Final'!H:H,'TB Vesion Final'!A:A,C11)+G11</f>
        <v>149973856.72999999</v>
      </c>
      <c r="K11" s="131">
        <f>SUMIFS('TB Vesion Final'!J:J,'TB Vesion Final'!A:A,C11)+H11</f>
        <v>206616836.75999999</v>
      </c>
      <c r="L11" s="131">
        <f t="shared" si="0"/>
        <v>-56642980.030000001</v>
      </c>
      <c r="N11" s="139" t="str">
        <f t="shared" si="1"/>
        <v xml:space="preserve"> </v>
      </c>
      <c r="O11" s="139">
        <f t="shared" si="2"/>
        <v>56642980.030000001</v>
      </c>
    </row>
    <row r="12" spans="2:18">
      <c r="B12" s="161"/>
      <c r="C12" s="130" t="str">
        <f>'TB Vesion Final'!A12</f>
        <v>411</v>
      </c>
      <c r="E12" s="130" t="str">
        <f>'TB Vesion Final'!C12</f>
        <v>Kliente per mallra , produkte e sherbime</v>
      </c>
      <c r="F12" s="140"/>
      <c r="G12" s="419">
        <f>SUMIFS(Adjustime!D:D,Adjustime!$A:$A,$C12)</f>
        <v>0</v>
      </c>
      <c r="H12" s="419">
        <f>SUMIFS(Adjustime!E:E,Adjustime!$A:$A,$C12)</f>
        <v>0</v>
      </c>
      <c r="J12" s="61">
        <f>SUMIFS('TB Vesion Final'!H:H,'TB Vesion Final'!A:A,C12)+G12</f>
        <v>230130821.13999999</v>
      </c>
      <c r="K12" s="131">
        <f>SUMIFS('TB Vesion Final'!J:J,'TB Vesion Final'!A:A,C12)+H12</f>
        <v>195247090.68000001</v>
      </c>
      <c r="L12" s="163">
        <f t="shared" si="0"/>
        <v>34883730.459999979</v>
      </c>
      <c r="M12" s="161"/>
      <c r="N12" s="164">
        <f t="shared" si="1"/>
        <v>34883730.459999979</v>
      </c>
      <c r="O12" s="164" t="str">
        <f t="shared" si="2"/>
        <v xml:space="preserve"> </v>
      </c>
    </row>
    <row r="13" spans="2:18">
      <c r="C13" s="130" t="str">
        <f>'TB Vesion Final'!A13</f>
        <v>421</v>
      </c>
      <c r="E13" s="130" t="str">
        <f>'TB Vesion Final'!C13</f>
        <v>Paga e shperblime</v>
      </c>
      <c r="G13" s="419">
        <f>SUMIFS(Adjustime!D:D,Adjustime!$A:$A,$C13)</f>
        <v>0</v>
      </c>
      <c r="H13" s="419">
        <f>SUMIFS(Adjustime!E:E,Adjustime!$A:$A,$C13)</f>
        <v>0</v>
      </c>
      <c r="J13" s="61">
        <f>SUMIFS('TB Vesion Final'!H:H,'TB Vesion Final'!A:A,C13)+G13</f>
        <v>1699830</v>
      </c>
      <c r="K13" s="131">
        <f>SUMIFS('TB Vesion Final'!J:J,'TB Vesion Final'!A:A,C13)+H13</f>
        <v>1590195</v>
      </c>
      <c r="L13" s="131">
        <f t="shared" si="0"/>
        <v>109635</v>
      </c>
      <c r="N13" s="139">
        <f t="shared" si="1"/>
        <v>109635</v>
      </c>
      <c r="O13" s="139" t="str">
        <f t="shared" si="2"/>
        <v xml:space="preserve"> </v>
      </c>
    </row>
    <row r="14" spans="2:18">
      <c r="B14" s="161"/>
      <c r="C14" s="130" t="str">
        <f>'TB Vesion Final'!A14</f>
        <v>431</v>
      </c>
      <c r="E14" s="130" t="str">
        <f>'TB Vesion Final'!C14</f>
        <v>Sigurime shoqerore dhe shendetsore</v>
      </c>
      <c r="F14" s="140"/>
      <c r="G14" s="419">
        <f>SUMIFS(Adjustime!D:D,Adjustime!$A:$A,$C14)</f>
        <v>0</v>
      </c>
      <c r="H14" s="419">
        <f>SUMIFS(Adjustime!E:E,Adjustime!$A:$A,$C14)</f>
        <v>0</v>
      </c>
      <c r="J14" s="61">
        <f>SUMIFS('TB Vesion Final'!H:H,'TB Vesion Final'!A:A,C14)+G14</f>
        <v>522733</v>
      </c>
      <c r="K14" s="131">
        <f>SUMIFS('TB Vesion Final'!J:J,'TB Vesion Final'!A:A,C14)+H14</f>
        <v>584480</v>
      </c>
      <c r="L14" s="163">
        <f t="shared" si="0"/>
        <v>-61747</v>
      </c>
      <c r="M14" s="161"/>
      <c r="N14" s="164" t="str">
        <f t="shared" si="1"/>
        <v xml:space="preserve"> </v>
      </c>
      <c r="O14" s="164">
        <f t="shared" si="2"/>
        <v>61747</v>
      </c>
    </row>
    <row r="15" spans="2:18">
      <c r="C15" s="130" t="str">
        <f>'TB Vesion Final'!A15</f>
        <v>442</v>
      </c>
      <c r="E15" s="130" t="str">
        <f>'TB Vesion Final'!C15</f>
        <v>Tatim  mbi te ardhurat e personale</v>
      </c>
      <c r="G15" s="419">
        <f>SUMIFS(Adjustime!D:D,Adjustime!$A:$A,$C15)</f>
        <v>0</v>
      </c>
      <c r="H15" s="419">
        <f>SUMIFS(Adjustime!E:E,Adjustime!$A:$A,$C15)</f>
        <v>0</v>
      </c>
      <c r="J15" s="61">
        <f>SUMIFS('TB Vesion Final'!H:H,'TB Vesion Final'!A:A,C15)+G15</f>
        <v>134310</v>
      </c>
      <c r="K15" s="131">
        <f>SUMIFS('TB Vesion Final'!J:J,'TB Vesion Final'!A:A,C15)+H15</f>
        <v>146310</v>
      </c>
      <c r="L15" s="131">
        <f t="shared" si="0"/>
        <v>-12000</v>
      </c>
      <c r="N15" s="139" t="str">
        <f t="shared" si="1"/>
        <v xml:space="preserve"> </v>
      </c>
      <c r="O15" s="139">
        <f t="shared" si="2"/>
        <v>12000</v>
      </c>
    </row>
    <row r="16" spans="2:18" ht="15.75" thickBot="1">
      <c r="B16" s="161"/>
      <c r="C16" s="130" t="str">
        <f>'TB Vesion Final'!A16</f>
        <v>444</v>
      </c>
      <c r="E16" s="130" t="str">
        <f>'TB Vesion Final'!C16</f>
        <v>Tatim mbi fitimin</v>
      </c>
      <c r="F16" s="140"/>
      <c r="G16" s="419">
        <f>SUMIFS(Adjustime!D:D,Adjustime!$A:$A,$C16)</f>
        <v>0</v>
      </c>
      <c r="H16" s="419">
        <f>SUMIFS(Adjustime!E:E,Adjustime!$A:$A,$C16)</f>
        <v>0</v>
      </c>
      <c r="J16" s="61">
        <f>SUMIFS('TB Vesion Final'!H:H,'TB Vesion Final'!A:A,C16)+G16</f>
        <v>783819</v>
      </c>
      <c r="K16" s="131">
        <f>SUMIFS('TB Vesion Final'!J:J,'TB Vesion Final'!A:A,C16)+H16</f>
        <v>0</v>
      </c>
      <c r="L16" s="163">
        <f t="shared" si="0"/>
        <v>783819</v>
      </c>
      <c r="M16" s="161"/>
      <c r="N16" s="270">
        <f t="shared" si="1"/>
        <v>783819</v>
      </c>
      <c r="O16" s="270" t="str">
        <f t="shared" si="2"/>
        <v xml:space="preserve"> </v>
      </c>
    </row>
    <row r="17" spans="2:21">
      <c r="C17" s="130" t="str">
        <f>'TB Vesion Final'!A17</f>
        <v>4451</v>
      </c>
      <c r="E17" s="130" t="str">
        <f>'TB Vesion Final'!C17</f>
        <v>TVSH blerje</v>
      </c>
      <c r="G17" s="419">
        <f>SUMIFS(Adjustime!D:D,Adjustime!$A:$A,$C17)</f>
        <v>0</v>
      </c>
      <c r="H17" s="419">
        <f>SUMIFS(Adjustime!E:E,Adjustime!$A:$A,$C17)</f>
        <v>0</v>
      </c>
      <c r="J17" s="61">
        <f>SUMIFS('TB Vesion Final'!H:H,'TB Vesion Final'!A:A,C17)+G17</f>
        <v>18236137</v>
      </c>
      <c r="K17" s="131">
        <f>SUMIFS('TB Vesion Final'!J:J,'TB Vesion Final'!A:A,C17)+H17</f>
        <v>18236137</v>
      </c>
      <c r="L17" s="131">
        <f t="shared" si="0"/>
        <v>0</v>
      </c>
      <c r="M17" s="113"/>
      <c r="N17" s="271" t="str">
        <f t="shared" si="1"/>
        <v xml:space="preserve"> </v>
      </c>
      <c r="O17" s="272" t="str">
        <f>IF($L17&lt;0,-$L17," ")</f>
        <v xml:space="preserve"> </v>
      </c>
      <c r="P17" s="113">
        <f>SUM(N17:N22)</f>
        <v>37987363.909999996</v>
      </c>
      <c r="Q17" s="118" t="s">
        <v>156</v>
      </c>
      <c r="R17">
        <v>2010</v>
      </c>
    </row>
    <row r="18" spans="2:21">
      <c r="B18" s="161"/>
      <c r="C18" s="130" t="str">
        <f>'TB Vesion Final'!A18</f>
        <v>4453</v>
      </c>
      <c r="E18" s="130" t="str">
        <f>'TB Vesion Final'!C18</f>
        <v>Shteti-TVSH per tu paguar</v>
      </c>
      <c r="F18" s="140"/>
      <c r="G18" s="419">
        <f>SUMIFS(Adjustime!D:D,Adjustime!$A:$A,$C18)</f>
        <v>0</v>
      </c>
      <c r="H18" s="419">
        <f>SUMIFS(Adjustime!E:E,Adjustime!$A:$A,$C18)</f>
        <v>0</v>
      </c>
      <c r="J18" s="61">
        <f>SUMIFS('TB Vesion Final'!H:H,'TB Vesion Final'!A:A,C18)+G18</f>
        <v>249526</v>
      </c>
      <c r="K18" s="131">
        <f>SUMIFS('TB Vesion Final'!J:J,'TB Vesion Final'!A:A,C18)+H18</f>
        <v>0</v>
      </c>
      <c r="L18" s="163">
        <f t="shared" si="0"/>
        <v>249526</v>
      </c>
      <c r="M18" s="161"/>
      <c r="N18" s="165">
        <f>IF($L18&gt;0,$L18," ")-M18</f>
        <v>249526</v>
      </c>
      <c r="O18" s="166" t="str">
        <f t="shared" si="2"/>
        <v xml:space="preserve"> </v>
      </c>
      <c r="P18" s="113">
        <f>SUM(O17:O22)</f>
        <v>37322745.369999997</v>
      </c>
      <c r="Q18" t="s">
        <v>186</v>
      </c>
      <c r="R18" s="61">
        <v>186942475</v>
      </c>
    </row>
    <row r="19" spans="2:21">
      <c r="C19" s="130" t="str">
        <f>'TB Vesion Final'!A19</f>
        <v>4454</v>
      </c>
      <c r="E19" s="130" t="str">
        <f>'TB Vesion Final'!C19</f>
        <v>Shteti-TVSH per tu marre</v>
      </c>
      <c r="G19" s="419">
        <f>SUMIFS(Adjustime!D:D,Adjustime!$A:$A,$C19)</f>
        <v>0</v>
      </c>
      <c r="H19" s="419">
        <f>SUMIFS(Adjustime!E:E,Adjustime!$A:$A,$C19)</f>
        <v>0</v>
      </c>
      <c r="J19" s="61">
        <f>SUMIFS('TB Vesion Final'!H:H,'TB Vesion Final'!A:A,C19)+G19</f>
        <v>1529516</v>
      </c>
      <c r="K19" s="131">
        <f>SUMIFS('TB Vesion Final'!J:J,'TB Vesion Final'!A:A,C19)+H19</f>
        <v>0</v>
      </c>
      <c r="L19" s="131">
        <f t="shared" si="0"/>
        <v>1529516</v>
      </c>
      <c r="N19" s="165">
        <f>IF($L19&gt;0,$L19," ")-M19</f>
        <v>1529516</v>
      </c>
      <c r="O19" s="144" t="str">
        <f t="shared" si="2"/>
        <v xml:space="preserve"> </v>
      </c>
      <c r="P19" s="353">
        <f>P17-P18</f>
        <v>664618.53999999911</v>
      </c>
      <c r="Q19" t="s">
        <v>187</v>
      </c>
      <c r="R19" s="61">
        <v>186942475</v>
      </c>
      <c r="S19" s="113"/>
    </row>
    <row r="20" spans="2:21">
      <c r="B20" s="161"/>
      <c r="C20" s="130" t="str">
        <f>'TB Vesion Final'!A20</f>
        <v>4455</v>
      </c>
      <c r="E20" s="130" t="str">
        <f>'TB Vesion Final'!C20</f>
        <v>TVSH e zbriteshme</v>
      </c>
      <c r="F20" s="140"/>
      <c r="G20" s="419">
        <f>SUMIFS(Adjustime!D:D,Adjustime!$A:$A,$C20)</f>
        <v>0</v>
      </c>
      <c r="H20" s="419">
        <f>SUMIFS(Adjustime!E:E,Adjustime!$A:$A,$C20)</f>
        <v>0</v>
      </c>
      <c r="J20" s="61">
        <f>SUMIFS('TB Vesion Final'!H:H,'TB Vesion Final'!A:A,C20)+G20</f>
        <v>18306118.91</v>
      </c>
      <c r="K20" s="131">
        <f>SUMIFS('TB Vesion Final'!J:J,'TB Vesion Final'!A:A,C20)+H20</f>
        <v>0</v>
      </c>
      <c r="L20" s="163">
        <f t="shared" si="0"/>
        <v>18306118.91</v>
      </c>
      <c r="M20" s="161"/>
      <c r="N20" s="274">
        <f t="shared" si="1"/>
        <v>18306118.91</v>
      </c>
      <c r="O20" s="166" t="str">
        <f t="shared" si="2"/>
        <v xml:space="preserve"> </v>
      </c>
      <c r="Q20" t="s">
        <v>188</v>
      </c>
      <c r="R20" s="277">
        <v>37388495</v>
      </c>
      <c r="S20" s="356">
        <f>R20-O21</f>
        <v>65749.630000002682</v>
      </c>
      <c r="T20" s="113" t="s">
        <v>1134</v>
      </c>
    </row>
    <row r="21" spans="2:21" ht="15.75" thickBot="1">
      <c r="C21" s="130" t="str">
        <f>'TB Vesion Final'!A21</f>
        <v>4456</v>
      </c>
      <c r="E21" s="130" t="str">
        <f>'TB Vesion Final'!C21</f>
        <v>Shteti-TVSH e zbritshme</v>
      </c>
      <c r="G21" s="419">
        <f>SUMIFS(Adjustime!D:D,Adjustime!$A:$A,$C21)</f>
        <v>0</v>
      </c>
      <c r="H21" s="419">
        <f>SUMIFS(Adjustime!E:E,Adjustime!$A:$A,$C21)</f>
        <v>0</v>
      </c>
      <c r="J21" s="61">
        <f>SUMIFS('TB Vesion Final'!H:H,'TB Vesion Final'!A:A,C21)+G21</f>
        <v>0</v>
      </c>
      <c r="K21" s="131">
        <f>SUMIFS('TB Vesion Final'!J:J,'TB Vesion Final'!A:A,C21)+H21</f>
        <v>37322745.369999997</v>
      </c>
      <c r="L21" s="131">
        <f t="shared" si="0"/>
        <v>-37322745.369999997</v>
      </c>
      <c r="N21" s="143" t="str">
        <f t="shared" si="1"/>
        <v xml:space="preserve"> </v>
      </c>
      <c r="O21" s="276">
        <f t="shared" si="2"/>
        <v>37322745.369999997</v>
      </c>
      <c r="P21" s="113"/>
      <c r="Q21" t="s">
        <v>189</v>
      </c>
      <c r="R21" s="267">
        <v>249200</v>
      </c>
    </row>
    <row r="22" spans="2:21" ht="15.75" thickBot="1">
      <c r="B22" s="161"/>
      <c r="C22" s="130" t="str">
        <f>'TB Vesion Final'!A22</f>
        <v>4461</v>
      </c>
      <c r="E22" s="130" t="str">
        <f>'TB Vesion Final'!C22</f>
        <v>Det. per takse dog. etvsh ne  dogane</v>
      </c>
      <c r="F22" s="278"/>
      <c r="G22" s="419">
        <f>SUMIFS(Adjustime!D:D,Adjustime!$A:$A,$C22)</f>
        <v>0</v>
      </c>
      <c r="H22" s="419">
        <f>SUMIFS(Adjustime!E:E,Adjustime!$A:$A,$C22)</f>
        <v>0</v>
      </c>
      <c r="I22" s="343"/>
      <c r="J22" s="61">
        <f>SUMIFS('TB Vesion Final'!H:H,'TB Vesion Final'!A:A,C22)+G22</f>
        <v>36510291</v>
      </c>
      <c r="K22" s="131">
        <f>SUMIFS('TB Vesion Final'!J:J,'TB Vesion Final'!A:A,C22)+H22</f>
        <v>18608088</v>
      </c>
      <c r="L22" s="352">
        <f t="shared" si="0"/>
        <v>17902203</v>
      </c>
      <c r="M22" s="222"/>
      <c r="N22" s="275">
        <f t="shared" si="1"/>
        <v>17902203</v>
      </c>
      <c r="O22" s="273" t="str">
        <f t="shared" si="2"/>
        <v xml:space="preserve"> </v>
      </c>
      <c r="Q22" t="s">
        <v>190</v>
      </c>
      <c r="R22" s="61">
        <v>4482276</v>
      </c>
    </row>
    <row r="23" spans="2:21">
      <c r="B23" s="161"/>
      <c r="C23" s="130" t="str">
        <f>'TB Vesion Final'!A23</f>
        <v>447</v>
      </c>
      <c r="E23" s="130" t="str">
        <f>'TB Vesion Final'!C23</f>
        <v>Te tjera tatime per tu paguar dhe per tu kthyer</v>
      </c>
      <c r="F23" s="339"/>
      <c r="G23" s="419">
        <f>SUMIFS(Adjustime!D:D,Adjustime!$A:$A,$C23)</f>
        <v>0</v>
      </c>
      <c r="H23" s="419">
        <f>SUMIFS(Adjustime!E:E,Adjustime!$A:$A,$C23)</f>
        <v>0</v>
      </c>
      <c r="I23" s="343"/>
      <c r="J23" s="61">
        <f>SUMIFS('TB Vesion Final'!H:H,'TB Vesion Final'!A:A,C23)+G23</f>
        <v>371951</v>
      </c>
      <c r="K23" s="131">
        <f>SUMIFS('TB Vesion Final'!J:J,'TB Vesion Final'!A:A,C23)+H23</f>
        <v>371951</v>
      </c>
      <c r="L23" s="352">
        <f t="shared" ref="L23" si="3">J23-K23</f>
        <v>0</v>
      </c>
      <c r="M23" s="222"/>
      <c r="N23" s="340"/>
      <c r="O23" s="270"/>
      <c r="R23" s="61"/>
    </row>
    <row r="24" spans="2:21">
      <c r="C24" s="130" t="str">
        <f>'TB Vesion Final'!A24</f>
        <v>455</v>
      </c>
      <c r="E24" s="130" t="str">
        <f>'TB Vesion Final'!C24</f>
        <v>Te drejta dhe detyrime ndaj ortakeve dhe aksionereve</v>
      </c>
      <c r="G24" s="419">
        <f>SUMIFS(Adjustime!D:D,Adjustime!$A:$A,$C24)</f>
        <v>0</v>
      </c>
      <c r="H24" s="419">
        <f>SUMIFS(Adjustime!E:E,Adjustime!$A:$A,$C24)</f>
        <v>0</v>
      </c>
      <c r="J24" s="61">
        <f>SUMIFS('TB Vesion Final'!H:H,'TB Vesion Final'!A:A,C24)+G24</f>
        <v>775556.71</v>
      </c>
      <c r="K24" s="131">
        <f>SUMIFS('TB Vesion Final'!J:J,'TB Vesion Final'!A:A,C24)+H24</f>
        <v>5385200</v>
      </c>
      <c r="L24" s="357">
        <f t="shared" si="0"/>
        <v>-4609643.29</v>
      </c>
      <c r="N24" s="139" t="str">
        <f t="shared" si="1"/>
        <v xml:space="preserve"> </v>
      </c>
      <c r="O24" s="139">
        <f t="shared" si="2"/>
        <v>4609643.29</v>
      </c>
      <c r="Q24" t="s">
        <v>191</v>
      </c>
      <c r="R24" s="61">
        <v>93040440</v>
      </c>
    </row>
    <row r="25" spans="2:21">
      <c r="C25" s="130" t="str">
        <f>'TB Vesion Final'!A25</f>
        <v>460</v>
      </c>
      <c r="E25" s="130" t="str">
        <f>'TB Vesion Final'!C25</f>
        <v>Qera financiare</v>
      </c>
      <c r="G25" s="419">
        <f>SUMIFS(Adjustime!D:D,Adjustime!$A:$A,$C25)</f>
        <v>0</v>
      </c>
      <c r="H25" s="419">
        <f>SUMIFS(Adjustime!E:E,Adjustime!$A:$A,$C25)</f>
        <v>0</v>
      </c>
      <c r="J25" s="61">
        <f>SUMIFS('TB Vesion Final'!H:H,'TB Vesion Final'!A:A,C25)+G25</f>
        <v>1714047.1</v>
      </c>
      <c r="K25" s="131">
        <f>SUMIFS('TB Vesion Final'!J:J,'TB Vesion Final'!A:A,C25)+H25</f>
        <v>3099177</v>
      </c>
      <c r="L25" s="131">
        <f t="shared" si="0"/>
        <v>-1385129.9</v>
      </c>
      <c r="N25" s="139" t="str">
        <f t="shared" si="1"/>
        <v xml:space="preserve"> </v>
      </c>
      <c r="O25" s="139">
        <f t="shared" si="2"/>
        <v>1385129.9</v>
      </c>
      <c r="Q25" t="s">
        <v>192</v>
      </c>
      <c r="R25" s="117">
        <v>18608088</v>
      </c>
    </row>
    <row r="26" spans="2:21">
      <c r="C26" s="130" t="str">
        <f>'TB Vesion Final'!A26</f>
        <v>5121</v>
      </c>
      <c r="E26" s="130" t="str">
        <f>'TB Vesion Final'!C26</f>
        <v>Vlera monetare ne leke</v>
      </c>
      <c r="G26" s="419">
        <f>SUMIFS(Adjustime!D:D,Adjustime!$A:$A,$C26)</f>
        <v>0</v>
      </c>
      <c r="H26" s="419">
        <f>SUMIFS(Adjustime!E:E,Adjustime!$A:$A,$C26)</f>
        <v>0</v>
      </c>
      <c r="J26" s="61">
        <f>SUMIFS('TB Vesion Final'!H:H,'TB Vesion Final'!A:A,C26)+G26</f>
        <v>131802187.93000001</v>
      </c>
      <c r="K26" s="131">
        <f>SUMIFS('TB Vesion Final'!J:J,'TB Vesion Final'!A:A,C26)+H26</f>
        <v>129303003.84</v>
      </c>
      <c r="L26" s="131">
        <f t="shared" si="0"/>
        <v>2499184.0900000036</v>
      </c>
      <c r="N26" s="139">
        <f t="shared" si="1"/>
        <v>2499184.0900000036</v>
      </c>
      <c r="O26" s="139" t="str">
        <f t="shared" si="2"/>
        <v xml:space="preserve"> </v>
      </c>
      <c r="Q26" t="s">
        <v>193</v>
      </c>
      <c r="R26" s="61">
        <v>89620184</v>
      </c>
    </row>
    <row r="27" spans="2:21">
      <c r="C27" s="130" t="str">
        <f>'TB Vesion Final'!A27</f>
        <v>51241</v>
      </c>
      <c r="E27" s="130" t="str">
        <f>'TB Vesion Final'!C27</f>
        <v>Banka EUR</v>
      </c>
      <c r="G27" s="419">
        <f>SUMIFS(Adjustime!D:D,Adjustime!$A:$A,$C27)</f>
        <v>0</v>
      </c>
      <c r="H27" s="419">
        <f>SUMIFS(Adjustime!E:E,Adjustime!$A:$A,$C27)</f>
        <v>0</v>
      </c>
      <c r="J27" s="61">
        <f>SUMIFS('TB Vesion Final'!H:H,'TB Vesion Final'!A:A,C27)+G27</f>
        <v>224340607.41</v>
      </c>
      <c r="K27" s="131">
        <f>SUMIFS('TB Vesion Final'!J:J,'TB Vesion Final'!A:A,C27)+H27</f>
        <v>211788781.62</v>
      </c>
      <c r="L27" s="131">
        <f t="shared" si="0"/>
        <v>12551825.789999992</v>
      </c>
      <c r="N27" s="139">
        <f t="shared" si="1"/>
        <v>12551825.789999992</v>
      </c>
      <c r="O27" s="139" t="str">
        <f t="shared" si="2"/>
        <v xml:space="preserve"> </v>
      </c>
      <c r="Q27" t="s">
        <v>194</v>
      </c>
      <c r="R27" s="117">
        <v>17924036.800000001</v>
      </c>
      <c r="S27" s="113">
        <f>+R25+R27</f>
        <v>36532124.799999997</v>
      </c>
      <c r="T27" s="113">
        <f>+N20+N22</f>
        <v>36208321.909999996</v>
      </c>
      <c r="U27" s="113"/>
    </row>
    <row r="28" spans="2:21">
      <c r="C28" s="130" t="str">
        <f>'TB Vesion Final'!A28</f>
        <v>51242</v>
      </c>
      <c r="E28" s="130" t="str">
        <f>'TB Vesion Final'!C28</f>
        <v>Banka USD</v>
      </c>
      <c r="G28" s="419">
        <f>SUMIFS(Adjustime!D:D,Adjustime!$A:$A,$C28)</f>
        <v>0</v>
      </c>
      <c r="H28" s="419">
        <f>SUMIFS(Adjustime!E:E,Adjustime!$A:$A,$C28)</f>
        <v>0</v>
      </c>
      <c r="J28" s="61">
        <f>SUMIFS('TB Vesion Final'!H:H,'TB Vesion Final'!A:A,C28)+G28</f>
        <v>3420747.65</v>
      </c>
      <c r="K28" s="131">
        <f>SUMIFS('TB Vesion Final'!J:J,'TB Vesion Final'!A:A,C28)+H28</f>
        <v>3420550.49</v>
      </c>
      <c r="L28" s="131">
        <f t="shared" si="0"/>
        <v>197.15999999968335</v>
      </c>
      <c r="N28" s="139">
        <f t="shared" si="1"/>
        <v>197.15999999968335</v>
      </c>
      <c r="O28" s="139" t="str">
        <f t="shared" si="2"/>
        <v xml:space="preserve"> </v>
      </c>
      <c r="Q28" s="120" t="s">
        <v>943</v>
      </c>
      <c r="R28" s="121">
        <v>-1529516</v>
      </c>
      <c r="T28" s="356">
        <f>S27-T27</f>
        <v>323802.8900000006</v>
      </c>
    </row>
    <row r="29" spans="2:21">
      <c r="C29" s="130" t="str">
        <f>'TB Vesion Final'!A29</f>
        <v>51243</v>
      </c>
      <c r="E29" s="130" t="str">
        <f>'TB Vesion Final'!C29</f>
        <v>banka ne GBP</v>
      </c>
      <c r="G29" s="419">
        <f>SUMIFS(Adjustime!D:D,Adjustime!$A:$A,$C29)</f>
        <v>0</v>
      </c>
      <c r="H29" s="419">
        <f>SUMIFS(Adjustime!E:E,Adjustime!$A:$A,$C29)</f>
        <v>0</v>
      </c>
      <c r="J29" s="61">
        <f>SUMIFS('TB Vesion Final'!H:H,'TB Vesion Final'!A:A,C29)+G29</f>
        <v>62124860.82</v>
      </c>
      <c r="K29" s="131">
        <f>SUMIFS('TB Vesion Final'!J:J,'TB Vesion Final'!A:A,C29)+H29</f>
        <v>62077965.469999999</v>
      </c>
      <c r="L29" s="131">
        <f t="shared" si="0"/>
        <v>46895.35000000149</v>
      </c>
      <c r="N29" s="139">
        <f t="shared" si="1"/>
        <v>46895.35000000149</v>
      </c>
      <c r="O29" s="139" t="str">
        <f t="shared" si="2"/>
        <v xml:space="preserve"> </v>
      </c>
      <c r="Q29" s="118" t="s">
        <v>944</v>
      </c>
      <c r="R29" s="354">
        <v>-922345.80000000075</v>
      </c>
      <c r="T29" s="356">
        <f>+R29+P19</f>
        <v>-257727.26000000164</v>
      </c>
      <c r="U29" t="s">
        <v>1134</v>
      </c>
    </row>
    <row r="30" spans="2:21">
      <c r="C30" s="130" t="str">
        <f>'TB Vesion Final'!A30</f>
        <v>5311</v>
      </c>
      <c r="E30" s="355" t="str">
        <f>'TB Vesion Final'!C30</f>
        <v>Vlera monetare ne lek</v>
      </c>
      <c r="F30" s="122"/>
      <c r="G30" s="419">
        <f>SUMIFS(Adjustime!D:D,Adjustime!$A:$A,$C30)</f>
        <v>0</v>
      </c>
      <c r="H30" s="419">
        <f>SUMIFS(Adjustime!E:E,Adjustime!$A:$A,$C30)</f>
        <v>0</v>
      </c>
      <c r="J30" s="61">
        <f>SUMIFS('TB Vesion Final'!H:H,'TB Vesion Final'!A:A,C30)+G30</f>
        <v>775556.71</v>
      </c>
      <c r="K30" s="131">
        <f>SUMIFS('TB Vesion Final'!J:J,'TB Vesion Final'!A:A,C30)+H30</f>
        <v>775556.71</v>
      </c>
      <c r="L30" s="357">
        <f t="shared" si="0"/>
        <v>0</v>
      </c>
      <c r="M30" s="122"/>
      <c r="N30" s="145" t="str">
        <f t="shared" si="1"/>
        <v xml:space="preserve"> </v>
      </c>
      <c r="O30" s="145" t="str">
        <f t="shared" si="2"/>
        <v xml:space="preserve"> </v>
      </c>
      <c r="R30" t="s">
        <v>1131</v>
      </c>
      <c r="S30" s="113"/>
      <c r="T30" s="135"/>
    </row>
    <row r="31" spans="2:21">
      <c r="B31" s="161">
        <f>I31</f>
        <v>0</v>
      </c>
      <c r="C31" s="130" t="str">
        <f>'TB Vesion Final'!A31</f>
        <v>5421</v>
      </c>
      <c r="E31" s="130" t="str">
        <f>'TB Vesion Final'!C31</f>
        <v>Hua ne lek</v>
      </c>
      <c r="F31" s="140"/>
      <c r="G31" s="419">
        <f>SUMIFS(Adjustime!D:D,Adjustime!$A:$A,$C31)</f>
        <v>0</v>
      </c>
      <c r="H31" s="419">
        <f>SUMIFS(Adjustime!E:E,Adjustime!$A:$A,$C31)</f>
        <v>0</v>
      </c>
      <c r="I31" s="222">
        <f>VLOOKUP(C31,Mapping!B:D,3,FALSE)</f>
        <v>0</v>
      </c>
      <c r="J31" s="61">
        <f>SUMIFS('TB Vesion Final'!H:H,'TB Vesion Final'!A:A,C31)+G31</f>
        <v>8205416.71</v>
      </c>
      <c r="K31" s="131">
        <f>SUMIFS('TB Vesion Final'!J:J,'TB Vesion Final'!A:A,C31)+H31</f>
        <v>11000000</v>
      </c>
      <c r="L31" s="163">
        <f t="shared" si="0"/>
        <v>-2794583.29</v>
      </c>
      <c r="M31" s="161"/>
      <c r="N31" s="164" t="str">
        <f t="shared" si="1"/>
        <v xml:space="preserve"> </v>
      </c>
      <c r="O31" s="164">
        <f t="shared" si="2"/>
        <v>2794583.29</v>
      </c>
      <c r="R31" t="s">
        <v>1132</v>
      </c>
      <c r="S31" s="113"/>
    </row>
    <row r="32" spans="2:21">
      <c r="B32" s="161">
        <f t="shared" ref="B32:B56" si="4">I32</f>
        <v>0</v>
      </c>
      <c r="C32" s="130" t="str">
        <f>'TB Vesion Final'!A32</f>
        <v>581</v>
      </c>
      <c r="E32" s="130" t="str">
        <f>'TB Vesion Final'!C32</f>
        <v>Xhirime te brendshme</v>
      </c>
      <c r="F32" s="140"/>
      <c r="G32" s="419">
        <f>SUMIFS(Adjustime!D:D,Adjustime!$A:$A,$C32)</f>
        <v>0</v>
      </c>
      <c r="H32" s="419">
        <f>SUMIFS(Adjustime!E:E,Adjustime!$A:$A,$C32)</f>
        <v>0</v>
      </c>
      <c r="I32" s="222">
        <f>VLOOKUP(C32,Mapping!B:D,3,FALSE)</f>
        <v>0</v>
      </c>
      <c r="J32" s="61">
        <f>SUMIFS('TB Vesion Final'!H:H,'TB Vesion Final'!A:A,C32)+G32</f>
        <v>233848288.75999999</v>
      </c>
      <c r="K32" s="131">
        <f>SUMIFS('TB Vesion Final'!J:J,'TB Vesion Final'!A:A,C32)+H32</f>
        <v>233848288.75999999</v>
      </c>
      <c r="L32" s="163">
        <f t="shared" si="0"/>
        <v>0</v>
      </c>
      <c r="M32" s="161"/>
      <c r="N32" s="164" t="str">
        <f t="shared" si="1"/>
        <v xml:space="preserve"> </v>
      </c>
      <c r="O32" s="164" t="str">
        <f t="shared" si="2"/>
        <v xml:space="preserve"> </v>
      </c>
      <c r="R32" t="s">
        <v>1133</v>
      </c>
      <c r="S32" s="113"/>
      <c r="T32" s="135"/>
    </row>
    <row r="33" spans="1:20">
      <c r="A33" s="433">
        <v>12104</v>
      </c>
      <c r="B33" s="438" t="str">
        <f t="shared" si="4"/>
        <v>chg</v>
      </c>
      <c r="C33" s="439" t="str">
        <f>'TB Vesion Final'!A33</f>
        <v>6035</v>
      </c>
      <c r="D33" s="433">
        <v>12104</v>
      </c>
      <c r="E33" s="439" t="str">
        <f>'TB Vesion Final'!C33</f>
        <v>Ndrysh.gjend.mallra</v>
      </c>
      <c r="F33" s="438"/>
      <c r="G33" s="440"/>
      <c r="H33" s="440"/>
      <c r="I33" s="438" t="str">
        <f>VLOOKUP(C33,Mapping!B:D,3,FALSE)</f>
        <v>chg</v>
      </c>
      <c r="J33" s="441">
        <f>SUMIFS('TB Vesion Final'!H:H,'TB Vesion Final'!A:A,C33)+G33</f>
        <v>131946013.90000001</v>
      </c>
      <c r="K33" s="442">
        <f>SUMIFS('TB Vesion Final'!J:J,'TB Vesion Final'!A:A,C33)+H33</f>
        <v>127864659.3</v>
      </c>
      <c r="L33" s="442">
        <f t="shared" si="0"/>
        <v>4081354.6000000089</v>
      </c>
      <c r="M33" s="438"/>
      <c r="N33" s="443">
        <f t="shared" si="1"/>
        <v>4081354.6000000089</v>
      </c>
      <c r="O33" s="443" t="str">
        <f t="shared" si="2"/>
        <v xml:space="preserve"> </v>
      </c>
      <c r="T33" s="135"/>
    </row>
    <row r="34" spans="1:20">
      <c r="A34" s="434">
        <v>12103</v>
      </c>
      <c r="B34" s="161" t="str">
        <f t="shared" si="4"/>
        <v>mat</v>
      </c>
      <c r="C34" s="130" t="str">
        <f>'TB Vesion Final'!A34</f>
        <v>605</v>
      </c>
      <c r="D34" s="434">
        <v>12103</v>
      </c>
      <c r="E34" s="130" t="str">
        <f>'TB Vesion Final'!C34</f>
        <v>Blerje /shpenzime mallra, sherbimesh</v>
      </c>
      <c r="F34" s="140"/>
      <c r="G34" s="419">
        <f>SUMIFS(Adjustime!D:D,Adjustime!$A:$A,$C34)</f>
        <v>0</v>
      </c>
      <c r="H34" s="419">
        <f>SUMIFS(Adjustime!E:E,Adjustime!$A:$A,$C34)</f>
        <v>0</v>
      </c>
      <c r="I34" s="222" t="str">
        <f>VLOOKUP(C34,Mapping!B:D,3,FALSE)</f>
        <v>mat</v>
      </c>
      <c r="J34" s="61">
        <f>SUMIFS('TB Vesion Final'!H:H,'TB Vesion Final'!A:A,C34)+G34</f>
        <v>167480458.58000001</v>
      </c>
      <c r="K34" s="131">
        <f>SUMIFS('TB Vesion Final'!J:J,'TB Vesion Final'!A:A,C34)+H34</f>
        <v>0</v>
      </c>
      <c r="L34" s="163">
        <f t="shared" si="0"/>
        <v>167480458.58000001</v>
      </c>
      <c r="M34" s="161"/>
      <c r="N34" s="164">
        <f t="shared" si="1"/>
        <v>167480458.58000001</v>
      </c>
      <c r="O34" s="164" t="str">
        <f t="shared" si="2"/>
        <v xml:space="preserve"> </v>
      </c>
    </row>
    <row r="35" spans="1:20">
      <c r="A35" s="434">
        <v>12101</v>
      </c>
      <c r="B35" s="161" t="str">
        <f t="shared" si="4"/>
        <v>ect</v>
      </c>
      <c r="C35" s="130" t="str">
        <f>'TB Vesion Final'!A35</f>
        <v>60801</v>
      </c>
      <c r="D35" s="434">
        <v>12101</v>
      </c>
      <c r="E35" s="130" t="str">
        <f>'TB Vesion Final'!C35</f>
        <v>Blerje Artikuj Kancelarie</v>
      </c>
      <c r="F35" s="140"/>
      <c r="G35" s="419">
        <f>SUMIFS(Adjustime!D:D,Adjustime!$A:$A,$C35)</f>
        <v>0</v>
      </c>
      <c r="H35" s="419">
        <f>SUMIFS(Adjustime!E:E,Adjustime!$A:$A,$C35)</f>
        <v>0</v>
      </c>
      <c r="I35" s="222" t="str">
        <f>VLOOKUP(C35,Mapping!B:D,3,FALSE)</f>
        <v>ect</v>
      </c>
      <c r="J35" s="61">
        <f>SUMIFS('TB Vesion Final'!H:H,'TB Vesion Final'!A:A,C35)+G35</f>
        <v>40462.99</v>
      </c>
      <c r="K35" s="131">
        <f>SUMIFS('TB Vesion Final'!J:J,'TB Vesion Final'!A:A,C35)+H35</f>
        <v>0</v>
      </c>
      <c r="L35" s="163">
        <f t="shared" ref="L35:L57" si="5">J35-K35</f>
        <v>40462.99</v>
      </c>
      <c r="M35" s="161"/>
      <c r="N35" s="164">
        <f t="shared" si="1"/>
        <v>40462.99</v>
      </c>
      <c r="O35" s="164" t="str">
        <f t="shared" si="2"/>
        <v xml:space="preserve"> </v>
      </c>
      <c r="S35" s="113"/>
    </row>
    <row r="36" spans="1:20">
      <c r="A36" s="434">
        <v>12403</v>
      </c>
      <c r="B36" s="161" t="str">
        <f t="shared" si="4"/>
        <v>qer</v>
      </c>
      <c r="C36" s="130" t="str">
        <f>'TB Vesion Final'!A36</f>
        <v>613</v>
      </c>
      <c r="D36" s="434">
        <v>12403</v>
      </c>
      <c r="E36" s="130" t="str">
        <f>'TB Vesion Final'!C36</f>
        <v>Qira</v>
      </c>
      <c r="G36" s="419">
        <f>SUMIFS(Adjustime!D:D,Adjustime!$A:$A,$C36)</f>
        <v>0</v>
      </c>
      <c r="H36" s="419">
        <f>SUMIFS(Adjustime!E:E,Adjustime!$A:$A,$C36)</f>
        <v>0</v>
      </c>
      <c r="I36" s="222" t="str">
        <f>VLOOKUP(C36,Mapping!B:D,3,FALSE)</f>
        <v>qer</v>
      </c>
      <c r="J36" s="61">
        <f>SUMIFS('TB Vesion Final'!H:H,'TB Vesion Final'!A:A,C36)+G36</f>
        <v>579000</v>
      </c>
      <c r="K36" s="131">
        <f>SUMIFS('TB Vesion Final'!J:J,'TB Vesion Final'!A:A,C36)+H36</f>
        <v>0</v>
      </c>
      <c r="L36" s="131">
        <f t="shared" si="5"/>
        <v>579000</v>
      </c>
      <c r="N36" s="139">
        <f t="shared" si="1"/>
        <v>579000</v>
      </c>
      <c r="O36" s="139" t="str">
        <f t="shared" si="2"/>
        <v xml:space="preserve"> </v>
      </c>
      <c r="T36" s="113"/>
    </row>
    <row r="37" spans="1:20">
      <c r="A37" s="434">
        <v>12405</v>
      </c>
      <c r="B37" s="161" t="str">
        <f t="shared" si="4"/>
        <v>adm</v>
      </c>
      <c r="C37" s="130" t="str">
        <f>'TB Vesion Final'!A37</f>
        <v>616</v>
      </c>
      <c r="D37" s="434">
        <v>12405</v>
      </c>
      <c r="E37" s="130" t="str">
        <f>'TB Vesion Final'!C37</f>
        <v>Sigurime</v>
      </c>
      <c r="F37" s="140"/>
      <c r="G37" s="419">
        <f>SUMIFS(Adjustime!D:D,Adjustime!$A:$A,$C37)</f>
        <v>0</v>
      </c>
      <c r="H37" s="419">
        <f>SUMIFS(Adjustime!E:E,Adjustime!$A:$A,$C37)</f>
        <v>0</v>
      </c>
      <c r="I37" s="222" t="str">
        <f>VLOOKUP(C37,Mapping!B:D,3,FALSE)</f>
        <v>adm</v>
      </c>
      <c r="J37" s="61">
        <f>SUMIFS('TB Vesion Final'!H:H,'TB Vesion Final'!A:A,C37)+G37</f>
        <v>79023.5</v>
      </c>
      <c r="K37" s="131">
        <f>SUMIFS('TB Vesion Final'!J:J,'TB Vesion Final'!A:A,C37)+H37</f>
        <v>0</v>
      </c>
      <c r="L37" s="163">
        <f t="shared" si="5"/>
        <v>79023.5</v>
      </c>
      <c r="M37" s="161"/>
      <c r="N37" s="164">
        <f t="shared" si="1"/>
        <v>79023.5</v>
      </c>
      <c r="O37" s="164" t="str">
        <f t="shared" si="2"/>
        <v xml:space="preserve"> </v>
      </c>
    </row>
    <row r="38" spans="1:20">
      <c r="A38" s="434">
        <v>12401</v>
      </c>
      <c r="B38" s="161" t="s">
        <v>317</v>
      </c>
      <c r="C38" s="130" t="str">
        <f>'TB Vesion Final'!A38</f>
        <v>621</v>
      </c>
      <c r="D38" s="434">
        <v>12401</v>
      </c>
      <c r="E38" s="130" t="str">
        <f>'TB Vesion Final'!C38</f>
        <v>Personel nga jashte ndermarjes</v>
      </c>
      <c r="F38" s="140"/>
      <c r="G38" s="419">
        <f>SUMIFS(Adjustime!D:D,Adjustime!$A:$A,$C38)</f>
        <v>0</v>
      </c>
      <c r="H38" s="419">
        <f>SUMIFS(Adjustime!E:E,Adjustime!$A:$A,$C38)</f>
        <v>0</v>
      </c>
      <c r="I38" s="222" t="str">
        <f>VLOOKUP(C38,Mapping!B:D,3,FALSE)</f>
        <v>adm</v>
      </c>
      <c r="J38" s="61">
        <f>SUMIFS('TB Vesion Final'!H:H,'TB Vesion Final'!A:A,C38)+G38</f>
        <v>199666.34</v>
      </c>
      <c r="K38" s="131">
        <f>SUMIFS('TB Vesion Final'!J:J,'TB Vesion Final'!A:A,C38)+H38</f>
        <v>0</v>
      </c>
      <c r="L38" s="163">
        <f t="shared" si="5"/>
        <v>199666.34</v>
      </c>
      <c r="M38" s="161"/>
      <c r="N38" s="164">
        <f t="shared" si="1"/>
        <v>199666.34</v>
      </c>
      <c r="O38" s="164" t="str">
        <f t="shared" si="2"/>
        <v xml:space="preserve"> </v>
      </c>
    </row>
    <row r="39" spans="1:20">
      <c r="A39" s="434">
        <v>12411</v>
      </c>
      <c r="B39" s="161" t="str">
        <f t="shared" si="4"/>
        <v>adm</v>
      </c>
      <c r="C39" s="130" t="str">
        <f>'TB Vesion Final'!A39</f>
        <v>62601</v>
      </c>
      <c r="D39" s="434">
        <v>12411</v>
      </c>
      <c r="E39" s="130" t="str">
        <f>'TB Vesion Final'!C39</f>
        <v>Albtelecomi</v>
      </c>
      <c r="F39" s="140"/>
      <c r="G39" s="419">
        <f>SUMIFS(Adjustime!D:D,Adjustime!$A:$A,$C39)</f>
        <v>0</v>
      </c>
      <c r="H39" s="419">
        <f>SUMIFS(Adjustime!E:E,Adjustime!$A:$A,$C39)</f>
        <v>0</v>
      </c>
      <c r="I39" s="222" t="str">
        <f>VLOOKUP(C39,Mapping!B:D,3,FALSE)</f>
        <v>adm</v>
      </c>
      <c r="J39" s="61">
        <f>SUMIFS('TB Vesion Final'!H:H,'TB Vesion Final'!A:A,C39)+G39</f>
        <v>26194.22</v>
      </c>
      <c r="K39" s="131">
        <f>SUMIFS('TB Vesion Final'!J:J,'TB Vesion Final'!A:A,C39)+H39</f>
        <v>0</v>
      </c>
      <c r="L39" s="163">
        <f t="shared" si="5"/>
        <v>26194.22</v>
      </c>
      <c r="M39" s="161"/>
      <c r="N39" s="164">
        <f t="shared" si="1"/>
        <v>26194.22</v>
      </c>
      <c r="O39" s="164" t="str">
        <f t="shared" si="2"/>
        <v xml:space="preserve"> </v>
      </c>
    </row>
    <row r="40" spans="1:20">
      <c r="A40" s="434">
        <v>12411</v>
      </c>
      <c r="B40" s="161" t="str">
        <f t="shared" si="4"/>
        <v>adm</v>
      </c>
      <c r="C40" s="130" t="str">
        <f>'TB Vesion Final'!A40</f>
        <v>62602</v>
      </c>
      <c r="D40" s="434">
        <v>12411</v>
      </c>
      <c r="E40" s="130" t="str">
        <f>'TB Vesion Final'!C40</f>
        <v>Vodafon</v>
      </c>
      <c r="F40" s="140"/>
      <c r="G40" s="419">
        <f>SUMIFS(Adjustime!D:D,Adjustime!$A:$A,$C40)</f>
        <v>0</v>
      </c>
      <c r="H40" s="419">
        <f>SUMIFS(Adjustime!E:E,Adjustime!$A:$A,$C40)</f>
        <v>0</v>
      </c>
      <c r="I40" s="222" t="str">
        <f>VLOOKUP(C40,Mapping!B:D,3,FALSE)</f>
        <v>adm</v>
      </c>
      <c r="J40" s="61">
        <f>SUMIFS('TB Vesion Final'!H:H,'TB Vesion Final'!A:A,C40)+G40</f>
        <v>369238.63</v>
      </c>
      <c r="K40" s="131">
        <f>SUMIFS('TB Vesion Final'!J:J,'TB Vesion Final'!A:A,C40)+H40</f>
        <v>0</v>
      </c>
      <c r="L40" s="163">
        <f t="shared" si="5"/>
        <v>369238.63</v>
      </c>
      <c r="M40" s="161"/>
      <c r="N40" s="164">
        <f t="shared" si="1"/>
        <v>369238.63</v>
      </c>
      <c r="O40" s="164" t="str">
        <f t="shared" si="2"/>
        <v xml:space="preserve"> </v>
      </c>
    </row>
    <row r="41" spans="1:20">
      <c r="A41" s="434">
        <v>12411</v>
      </c>
      <c r="B41" s="161" t="str">
        <f t="shared" si="4"/>
        <v>adm</v>
      </c>
      <c r="C41" s="130" t="str">
        <f>'TB Vesion Final'!A41</f>
        <v>62603</v>
      </c>
      <c r="D41" s="434">
        <v>12411</v>
      </c>
      <c r="E41" s="130" t="str">
        <f>'TB Vesion Final'!C41</f>
        <v>Sherbime interneti</v>
      </c>
      <c r="F41" s="140"/>
      <c r="G41" s="419">
        <f>SUMIFS(Adjustime!D:D,Adjustime!$A:$A,$C41)</f>
        <v>0</v>
      </c>
      <c r="H41" s="419">
        <f>SUMIFS(Adjustime!E:E,Adjustime!$A:$A,$C41)</f>
        <v>0</v>
      </c>
      <c r="I41" s="222" t="str">
        <f>VLOOKUP(C41,Mapping!B:D,3,FALSE)</f>
        <v>adm</v>
      </c>
      <c r="J41" s="61">
        <f>SUMIFS('TB Vesion Final'!H:H,'TB Vesion Final'!A:A,C41)+G41</f>
        <v>12576.16</v>
      </c>
      <c r="K41" s="131">
        <f>SUMIFS('TB Vesion Final'!J:J,'TB Vesion Final'!A:A,C41)+H41</f>
        <v>0</v>
      </c>
      <c r="L41" s="163">
        <f t="shared" si="5"/>
        <v>12576.16</v>
      </c>
      <c r="M41" s="161"/>
      <c r="N41" s="164">
        <f t="shared" si="1"/>
        <v>12576.16</v>
      </c>
      <c r="O41" s="164" t="str">
        <f t="shared" si="2"/>
        <v xml:space="preserve"> </v>
      </c>
    </row>
    <row r="42" spans="1:20">
      <c r="A42" s="436">
        <v>124121</v>
      </c>
      <c r="B42" s="161" t="str">
        <f t="shared" si="4"/>
        <v>tra</v>
      </c>
      <c r="C42" s="130" t="str">
        <f>'TB Vesion Final'!A42</f>
        <v>62712</v>
      </c>
      <c r="D42" s="436">
        <v>124121</v>
      </c>
      <c r="E42" s="130" t="str">
        <f>'TB Vesion Final'!C42</f>
        <v>Alushi-ER</v>
      </c>
      <c r="F42" s="140"/>
      <c r="G42" s="419">
        <f>SUMIFS(Adjustime!D:D,Adjustime!$A:$A,$C42)</f>
        <v>0</v>
      </c>
      <c r="H42" s="419">
        <f>SUMIFS(Adjustime!E:E,Adjustime!$A:$A,$C42)</f>
        <v>0</v>
      </c>
      <c r="I42" s="222" t="str">
        <f>VLOOKUP(C42,Mapping!B:D,3,FALSE)</f>
        <v>tra</v>
      </c>
      <c r="J42" s="61">
        <f>SUMIFS('TB Vesion Final'!H:H,'TB Vesion Final'!A:A,C42)+G42</f>
        <v>775332.5</v>
      </c>
      <c r="K42" s="131">
        <f>SUMIFS('TB Vesion Final'!J:J,'TB Vesion Final'!A:A,C42)+H42</f>
        <v>0</v>
      </c>
      <c r="L42" s="163">
        <f t="shared" si="5"/>
        <v>775332.5</v>
      </c>
      <c r="M42" s="161"/>
      <c r="N42" s="164">
        <f t="shared" si="1"/>
        <v>775332.5</v>
      </c>
      <c r="O42" s="164" t="str">
        <f t="shared" si="2"/>
        <v xml:space="preserve"> </v>
      </c>
    </row>
    <row r="43" spans="1:20">
      <c r="A43" s="434">
        <v>12103</v>
      </c>
      <c r="B43" s="161" t="s">
        <v>322</v>
      </c>
      <c r="C43" s="130" t="str">
        <f>'TB Vesion Final'!A43</f>
        <v>62713</v>
      </c>
      <c r="D43" s="434">
        <v>12103</v>
      </c>
      <c r="E43" s="130" t="str">
        <f>'TB Vesion Final'!C43</f>
        <v>Benimpex &amp; CO</v>
      </c>
      <c r="F43" s="140"/>
      <c r="G43" s="419">
        <f>SUMIFS(Adjustime!D:D,Adjustime!$A:$A,$C43)</f>
        <v>0</v>
      </c>
      <c r="H43" s="419">
        <f>SUMIFS(Adjustime!E:E,Adjustime!$A:$A,$C43)</f>
        <v>0</v>
      </c>
      <c r="I43" s="222" t="e">
        <f>VLOOKUP(C43,Mapping!B:D,3,FALSE)</f>
        <v>#N/A</v>
      </c>
      <c r="J43" s="61">
        <f>SUMIFS('TB Vesion Final'!H:H,'TB Vesion Final'!A:A,C43)+G43</f>
        <v>160275</v>
      </c>
      <c r="K43" s="131">
        <f>SUMIFS('TB Vesion Final'!J:J,'TB Vesion Final'!A:A,C43)+H43</f>
        <v>0</v>
      </c>
      <c r="L43" s="163">
        <f t="shared" si="5"/>
        <v>160275</v>
      </c>
      <c r="M43" s="161"/>
      <c r="N43" s="164">
        <f t="shared" si="1"/>
        <v>160275</v>
      </c>
      <c r="O43" s="164" t="str">
        <f t="shared" si="2"/>
        <v xml:space="preserve"> </v>
      </c>
    </row>
    <row r="44" spans="1:20">
      <c r="A44" s="436">
        <v>124121</v>
      </c>
      <c r="B44" s="161" t="s">
        <v>318</v>
      </c>
      <c r="C44" s="130" t="str">
        <f>'TB Vesion Final'!A44</f>
        <v>62714</v>
      </c>
      <c r="D44" s="436">
        <v>124121</v>
      </c>
      <c r="E44" s="130" t="str">
        <f>'TB Vesion Final'!C44</f>
        <v>SHEGA TRANS SH.A</v>
      </c>
      <c r="F44" s="140"/>
      <c r="G44" s="419">
        <f>SUMIFS(Adjustime!D:D,Adjustime!$A:$A,$C44)</f>
        <v>0</v>
      </c>
      <c r="H44" s="419">
        <f>SUMIFS(Adjustime!E:E,Adjustime!$A:$A,$C44)</f>
        <v>0</v>
      </c>
      <c r="I44" s="222" t="e">
        <f>VLOOKUP(C44,Mapping!B:D,3,FALSE)</f>
        <v>#N/A</v>
      </c>
      <c r="J44" s="61">
        <f>SUMIFS('TB Vesion Final'!H:H,'TB Vesion Final'!A:A,C44)+G44</f>
        <v>962975</v>
      </c>
      <c r="K44" s="131">
        <f>SUMIFS('TB Vesion Final'!J:J,'TB Vesion Final'!A:A,C44)+H44</f>
        <v>0</v>
      </c>
      <c r="L44" s="163">
        <f t="shared" si="5"/>
        <v>962975</v>
      </c>
      <c r="M44" s="161"/>
      <c r="N44" s="164">
        <f t="shared" si="1"/>
        <v>962975</v>
      </c>
      <c r="O44" s="164" t="str">
        <f t="shared" si="2"/>
        <v xml:space="preserve"> </v>
      </c>
    </row>
    <row r="45" spans="1:20">
      <c r="A45" s="436">
        <v>12413</v>
      </c>
      <c r="B45" s="161" t="s">
        <v>316</v>
      </c>
      <c r="C45" s="130" t="str">
        <f>'TB Vesion Final'!A45</f>
        <v>628</v>
      </c>
      <c r="D45" s="436">
        <v>12413</v>
      </c>
      <c r="E45" s="130" t="str">
        <f>'TB Vesion Final'!C45</f>
        <v>Sherbime bankare</v>
      </c>
      <c r="G45" s="419">
        <f>SUMIFS(Adjustime!D:D,Adjustime!$A:$A,$C45)</f>
        <v>0</v>
      </c>
      <c r="H45" s="419">
        <f>SUMIFS(Adjustime!E:E,Adjustime!$A:$A,$C45)</f>
        <v>0</v>
      </c>
      <c r="I45" s="222" t="str">
        <f>VLOOKUP(C45,Mapping!B:D,3,FALSE)</f>
        <v>fin</v>
      </c>
      <c r="J45" s="61">
        <f>SUMIFS('TB Vesion Final'!H:H,'TB Vesion Final'!A:A,C45)+G45</f>
        <v>1152065.21</v>
      </c>
      <c r="K45" s="131">
        <f>SUMIFS('TB Vesion Final'!J:J,'TB Vesion Final'!A:A,C45)+H45</f>
        <v>168.97</v>
      </c>
      <c r="L45" s="131">
        <f t="shared" si="5"/>
        <v>1151896.24</v>
      </c>
      <c r="N45" s="139">
        <f t="shared" si="1"/>
        <v>1151896.24</v>
      </c>
      <c r="O45" s="139" t="str">
        <f t="shared" si="2"/>
        <v xml:space="preserve"> </v>
      </c>
    </row>
    <row r="46" spans="1:20">
      <c r="A46" s="436">
        <v>12503</v>
      </c>
      <c r="B46" s="161" t="str">
        <f t="shared" si="4"/>
        <v>tax</v>
      </c>
      <c r="C46" s="130" t="str">
        <f>'TB Vesion Final'!A46</f>
        <v>634</v>
      </c>
      <c r="D46" s="436">
        <v>12503</v>
      </c>
      <c r="E46" s="130" t="str">
        <f>'TB Vesion Final'!C46</f>
        <v>Taksa dhe tarifa vendore</v>
      </c>
      <c r="G46" s="419">
        <f>SUMIFS(Adjustime!D:D,Adjustime!$A:$A,$C46)</f>
        <v>0</v>
      </c>
      <c r="H46" s="419">
        <f>SUMIFS(Adjustime!E:E,Adjustime!$A:$A,$C46)</f>
        <v>0</v>
      </c>
      <c r="I46" s="222" t="str">
        <f>VLOOKUP(C46,Mapping!B:D,3,FALSE)</f>
        <v>tax</v>
      </c>
      <c r="J46" s="61">
        <f>SUMIFS('TB Vesion Final'!H:H,'TB Vesion Final'!A:A,C46)+G46</f>
        <v>66120</v>
      </c>
      <c r="K46" s="131">
        <f>SUMIFS('TB Vesion Final'!J:J,'TB Vesion Final'!A:A,C46)+H46</f>
        <v>0</v>
      </c>
      <c r="L46" s="131">
        <f t="shared" si="5"/>
        <v>66120</v>
      </c>
      <c r="N46" s="139">
        <f t="shared" si="1"/>
        <v>66120</v>
      </c>
      <c r="O46" s="139" t="str">
        <f t="shared" si="2"/>
        <v xml:space="preserve"> </v>
      </c>
    </row>
    <row r="47" spans="1:20">
      <c r="A47" s="436">
        <v>12501</v>
      </c>
      <c r="B47" s="341" t="s">
        <v>323</v>
      </c>
      <c r="C47" s="130" t="str">
        <f>'TB Vesion Final'!A47</f>
        <v>638</v>
      </c>
      <c r="D47" s="436">
        <v>12501</v>
      </c>
      <c r="E47" s="130" t="str">
        <f>'TB Vesion Final'!C47</f>
        <v>Tatime te tjera</v>
      </c>
      <c r="F47" s="140"/>
      <c r="G47" s="419">
        <f>SUMIFS(Adjustime!D:D,Adjustime!$A:$A,$C47)</f>
        <v>0</v>
      </c>
      <c r="H47" s="419">
        <f>SUMIFS(Adjustime!E:E,Adjustime!$A:$A,$C47)</f>
        <v>0</v>
      </c>
      <c r="I47" s="222" t="e">
        <f>VLOOKUP(C47,Mapping!B:D,3,FALSE)</f>
        <v>#N/A</v>
      </c>
      <c r="J47" s="61">
        <f>SUMIFS('TB Vesion Final'!H:H,'TB Vesion Final'!A:A,C47)+G47</f>
        <v>102513</v>
      </c>
      <c r="K47" s="131">
        <f>SUMIFS('TB Vesion Final'!J:J,'TB Vesion Final'!A:A,C47)+H47</f>
        <v>0</v>
      </c>
      <c r="L47" s="163">
        <f t="shared" si="5"/>
        <v>102513</v>
      </c>
      <c r="M47" s="161"/>
      <c r="N47" s="164">
        <f t="shared" si="1"/>
        <v>102513</v>
      </c>
      <c r="O47" s="164" t="str">
        <f t="shared" si="2"/>
        <v xml:space="preserve"> </v>
      </c>
    </row>
    <row r="48" spans="1:20">
      <c r="A48" s="433">
        <v>12201</v>
      </c>
      <c r="B48" s="161" t="s">
        <v>320</v>
      </c>
      <c r="C48" s="130" t="str">
        <f>'TB Vesion Final'!A48</f>
        <v>641</v>
      </c>
      <c r="D48" s="433">
        <v>12201</v>
      </c>
      <c r="E48" s="130" t="str">
        <f>'TB Vesion Final'!C48</f>
        <v>Pagat dhe shperblimet e personelit</v>
      </c>
      <c r="G48" s="419">
        <f>SUMIFS(Adjustime!D:D,Adjustime!$A:$A,$C48)</f>
        <v>0</v>
      </c>
      <c r="H48" s="419">
        <f>SUMIFS(Adjustime!E:E,Adjustime!$A:$A,$C48)</f>
        <v>0</v>
      </c>
      <c r="I48" s="222" t="str">
        <f>VLOOKUP(C48,Mapping!B:D,3,FALSE)</f>
        <v>pag</v>
      </c>
      <c r="J48" s="61">
        <f>SUMIFS('TB Vesion Final'!H:H,'TB Vesion Final'!A:A,C48)+G48</f>
        <v>1942908</v>
      </c>
      <c r="K48" s="131">
        <f>SUMIFS('TB Vesion Final'!J:J,'TB Vesion Final'!A:A,C48)+H48</f>
        <v>0</v>
      </c>
      <c r="L48" s="131">
        <f t="shared" si="5"/>
        <v>1942908</v>
      </c>
      <c r="N48" s="139">
        <f t="shared" si="1"/>
        <v>1942908</v>
      </c>
      <c r="O48" s="139" t="str">
        <f t="shared" si="2"/>
        <v xml:space="preserve"> </v>
      </c>
    </row>
    <row r="49" spans="1:16">
      <c r="A49" s="433">
        <v>12202</v>
      </c>
      <c r="B49" s="161" t="str">
        <f t="shared" si="4"/>
        <v>sig</v>
      </c>
      <c r="C49" s="130" t="str">
        <f>'TB Vesion Final'!A49</f>
        <v>644</v>
      </c>
      <c r="D49" s="433">
        <v>12202</v>
      </c>
      <c r="E49" s="130" t="str">
        <f>'TB Vesion Final'!C49</f>
        <v>Sigurimet shoqerore dhe shendetesore</v>
      </c>
      <c r="G49" s="419">
        <f>SUMIFS(Adjustime!D:D,Adjustime!$A:$A,$C49)</f>
        <v>0</v>
      </c>
      <c r="H49" s="419">
        <f>SUMIFS(Adjustime!E:E,Adjustime!$A:$A,$C49)</f>
        <v>0</v>
      </c>
      <c r="I49" s="222" t="str">
        <f>VLOOKUP(C49,Mapping!B:D,3,FALSE)</f>
        <v>sig</v>
      </c>
      <c r="J49" s="61">
        <f>SUMIFS('TB Vesion Final'!H:H,'TB Vesion Final'!A:A,C49)+G49</f>
        <v>324469</v>
      </c>
      <c r="K49" s="131">
        <f>SUMIFS('TB Vesion Final'!J:J,'TB Vesion Final'!A:A,C49)+H49</f>
        <v>0</v>
      </c>
      <c r="L49" s="131">
        <f t="shared" si="5"/>
        <v>324469</v>
      </c>
      <c r="N49" s="139">
        <f t="shared" si="1"/>
        <v>324469</v>
      </c>
      <c r="O49" s="139" t="str">
        <f t="shared" si="2"/>
        <v xml:space="preserve"> </v>
      </c>
    </row>
    <row r="50" spans="1:16">
      <c r="A50" s="436">
        <v>12413</v>
      </c>
      <c r="B50" s="161" t="s">
        <v>316</v>
      </c>
      <c r="C50" s="130" t="str">
        <f>'TB Vesion Final'!A50</f>
        <v>657</v>
      </c>
      <c r="D50" s="436">
        <v>12413</v>
      </c>
      <c r="E50" s="130" t="str">
        <f>'TB Vesion Final'!C50</f>
        <v>Gjoba dhe demshperblime</v>
      </c>
      <c r="F50" s="140"/>
      <c r="G50" s="419">
        <f>SUMIFS(Adjustime!D:D,Adjustime!$A:$A,$C50)</f>
        <v>0</v>
      </c>
      <c r="H50" s="419">
        <f>SUMIFS(Adjustime!E:E,Adjustime!$A:$A,$C50)</f>
        <v>0</v>
      </c>
      <c r="I50" s="222" t="e">
        <f>VLOOKUP(C50,Mapping!B:D,3,FALSE)</f>
        <v>#N/A</v>
      </c>
      <c r="J50" s="61">
        <f>SUMIFS('TB Vesion Final'!H:H,'TB Vesion Final'!A:A,C50)+G50</f>
        <v>15840</v>
      </c>
      <c r="K50" s="131">
        <f>SUMIFS('TB Vesion Final'!J:J,'TB Vesion Final'!A:A,C50)+H50</f>
        <v>0</v>
      </c>
      <c r="L50" s="163">
        <f t="shared" si="5"/>
        <v>15840</v>
      </c>
      <c r="M50" s="161"/>
      <c r="N50" s="164">
        <f t="shared" si="1"/>
        <v>15840</v>
      </c>
      <c r="O50" s="164" t="str">
        <f t="shared" si="2"/>
        <v xml:space="preserve"> </v>
      </c>
    </row>
    <row r="51" spans="1:16">
      <c r="A51" s="436">
        <v>12413</v>
      </c>
      <c r="B51" s="161" t="s">
        <v>316</v>
      </c>
      <c r="C51" s="130" t="str">
        <f>'TB Vesion Final'!A51</f>
        <v>668</v>
      </c>
      <c r="D51" s="436">
        <v>12413</v>
      </c>
      <c r="E51" s="130" t="str">
        <f>'TB Vesion Final'!C51</f>
        <v xml:space="preserve">Shpenzime  financiare te tjera </v>
      </c>
      <c r="F51" s="140"/>
      <c r="G51" s="419">
        <f>SUMIFS(Adjustime!D:D,Adjustime!$A:$A,$C51)</f>
        <v>0</v>
      </c>
      <c r="H51" s="419">
        <f>SUMIFS(Adjustime!E:E,Adjustime!$A:$A,$C51)</f>
        <v>0</v>
      </c>
      <c r="I51" s="222" t="e">
        <f>VLOOKUP(C51,Mapping!B:D,3,FALSE)</f>
        <v>#N/A</v>
      </c>
      <c r="J51" s="61">
        <f>SUMIFS('TB Vesion Final'!H:H,'TB Vesion Final'!A:A,C51)+G51</f>
        <v>754905.67</v>
      </c>
      <c r="K51" s="131">
        <f>SUMIFS('TB Vesion Final'!J:J,'TB Vesion Final'!A:A,C51)+H51</f>
        <v>0</v>
      </c>
      <c r="L51" s="163">
        <f t="shared" si="5"/>
        <v>754905.67</v>
      </c>
      <c r="M51" s="161"/>
      <c r="N51" s="164">
        <f t="shared" si="1"/>
        <v>754905.67</v>
      </c>
      <c r="O51" s="164" t="str">
        <f t="shared" si="2"/>
        <v xml:space="preserve"> </v>
      </c>
    </row>
    <row r="52" spans="1:16">
      <c r="A52" s="436">
        <v>12300</v>
      </c>
      <c r="B52" s="161" t="s">
        <v>327</v>
      </c>
      <c r="C52" s="130" t="str">
        <f>'TB Vesion Final'!A52</f>
        <v>6811</v>
      </c>
      <c r="D52" s="436">
        <v>12300</v>
      </c>
      <c r="E52" s="130" t="str">
        <f>'TB Vesion Final'!C52</f>
        <v>amortizim i AQ afatgjate</v>
      </c>
      <c r="G52" s="419">
        <f>SUMIFS(Adjustime!D:D,Adjustime!$A:$A,$C52)</f>
        <v>0</v>
      </c>
      <c r="H52" s="419">
        <f>SUMIFS(Adjustime!E:E,Adjustime!$A:$A,$C52)</f>
        <v>0</v>
      </c>
      <c r="I52" s="222" t="str">
        <f>VLOOKUP(C52,Mapping!B:D,3,FALSE)</f>
        <v>dep</v>
      </c>
      <c r="J52" s="61">
        <f>SUMIFS('TB Vesion Final'!H:H,'TB Vesion Final'!A:A,C52)+G52</f>
        <v>383467.7</v>
      </c>
      <c r="K52" s="131">
        <f>SUMIFS('TB Vesion Final'!J:J,'TB Vesion Final'!A:A,C52)+H52</f>
        <v>0</v>
      </c>
      <c r="L52" s="131">
        <f t="shared" si="5"/>
        <v>383467.7</v>
      </c>
      <c r="N52" s="139">
        <f t="shared" si="1"/>
        <v>383467.7</v>
      </c>
      <c r="O52" s="139" t="str">
        <f t="shared" si="2"/>
        <v xml:space="preserve"> </v>
      </c>
    </row>
    <row r="53" spans="1:16">
      <c r="B53" s="161" t="str">
        <f t="shared" si="4"/>
        <v>sal</v>
      </c>
      <c r="C53" s="130" t="str">
        <f>'TB Vesion Final'!A53</f>
        <v>704</v>
      </c>
      <c r="E53" s="130" t="str">
        <f>'TB Vesion Final'!C53</f>
        <v>Shitje e punimeve dhe e sherbimeve</v>
      </c>
      <c r="G53" s="419">
        <f>SUMIFS(Adjustime!D:D,Adjustime!$A:$A,$C53)</f>
        <v>0</v>
      </c>
      <c r="H53" s="419">
        <f>SUMIFS(Adjustime!E:E,Adjustime!$A:$A,$C53)</f>
        <v>0</v>
      </c>
      <c r="I53" s="222" t="str">
        <f>VLOOKUP(C53,Mapping!B:D,3,FALSE)</f>
        <v>sal</v>
      </c>
      <c r="J53" s="61">
        <f>SUMIFS('TB Vesion Final'!H:H,'TB Vesion Final'!A:A,C53)+G53</f>
        <v>0</v>
      </c>
      <c r="K53" s="131">
        <f>SUMIFS('TB Vesion Final'!J:J,'TB Vesion Final'!A:A,C53)+H53</f>
        <v>14990827.880000001</v>
      </c>
      <c r="L53" s="131">
        <f t="shared" si="5"/>
        <v>-14990827.880000001</v>
      </c>
      <c r="N53" s="139" t="str">
        <f t="shared" si="1"/>
        <v xml:space="preserve"> </v>
      </c>
      <c r="O53" s="139">
        <f t="shared" si="2"/>
        <v>14990827.880000001</v>
      </c>
    </row>
    <row r="54" spans="1:16">
      <c r="B54" s="161" t="str">
        <f t="shared" si="4"/>
        <v>sal</v>
      </c>
      <c r="C54" s="130" t="str">
        <f>'TB Vesion Final'!A54</f>
        <v>705</v>
      </c>
      <c r="E54" s="130" t="str">
        <f>'TB Vesion Final'!C54</f>
        <v>Shitje mallrash</v>
      </c>
      <c r="F54" s="140"/>
      <c r="G54" s="419">
        <f>SUMIFS(Adjustime!D:D,Adjustime!$A:$A,$C54)</f>
        <v>0</v>
      </c>
      <c r="H54" s="419">
        <f>SUMIFS(Adjustime!E:E,Adjustime!$A:$A,$C54)</f>
        <v>0</v>
      </c>
      <c r="I54" s="222" t="str">
        <f>VLOOKUP(C54,Mapping!B:D,3,FALSE)</f>
        <v>sal</v>
      </c>
      <c r="J54" s="61">
        <f>SUMIFS('TB Vesion Final'!H:H,'TB Vesion Final'!A:A,C54)+G54</f>
        <v>0</v>
      </c>
      <c r="K54" s="131">
        <f>SUMIFS('TB Vesion Final'!J:J,'TB Vesion Final'!A:A,C54)+H54</f>
        <v>171631148.90000001</v>
      </c>
      <c r="L54" s="163">
        <f t="shared" si="5"/>
        <v>-171631148.90000001</v>
      </c>
      <c r="M54" s="161"/>
      <c r="N54" s="164" t="str">
        <f t="shared" si="1"/>
        <v xml:space="preserve"> </v>
      </c>
      <c r="O54" s="164">
        <f t="shared" si="2"/>
        <v>171631148.90000001</v>
      </c>
    </row>
    <row r="55" spans="1:16">
      <c r="B55" s="161" t="s">
        <v>325</v>
      </c>
      <c r="C55" s="130" t="str">
        <f>'TB Vesion Final'!A55</f>
        <v>767</v>
      </c>
      <c r="E55" s="130" t="str">
        <f>'TB Vesion Final'!C55</f>
        <v>Te ardhura nga interesat</v>
      </c>
      <c r="F55" s="140"/>
      <c r="G55" s="419">
        <f>SUMIFS(Adjustime!D:D,Adjustime!$A:$A,$C55)</f>
        <v>0</v>
      </c>
      <c r="H55" s="419">
        <f>SUMIFS(Adjustime!E:E,Adjustime!$A:$A,$C55)</f>
        <v>0</v>
      </c>
      <c r="I55" s="222" t="str">
        <f>VLOOKUP(C55,Mapping!B:D,3,FALSE)</f>
        <v>int</v>
      </c>
      <c r="J55" s="61">
        <f>SUMIFS('TB Vesion Final'!H:H,'TB Vesion Final'!A:A,C55)+G55</f>
        <v>0</v>
      </c>
      <c r="K55" s="131">
        <f>SUMIFS('TB Vesion Final'!J:J,'TB Vesion Final'!A:A,C55)+H55</f>
        <v>789.1</v>
      </c>
      <c r="L55" s="163">
        <f t="shared" si="5"/>
        <v>-789.1</v>
      </c>
      <c r="M55" s="161"/>
      <c r="N55" s="164" t="str">
        <f t="shared" si="1"/>
        <v xml:space="preserve"> </v>
      </c>
      <c r="O55" s="164">
        <f t="shared" si="2"/>
        <v>789.1</v>
      </c>
    </row>
    <row r="56" spans="1:16">
      <c r="B56" s="161">
        <f t="shared" si="4"/>
        <v>0</v>
      </c>
      <c r="C56" s="130" t="str">
        <f>'TB Vesion Final'!A56</f>
        <v>81</v>
      </c>
      <c r="E56" s="130" t="str">
        <f>'TB Vesion Final'!C56</f>
        <v>Provizore per celjen etj</v>
      </c>
      <c r="G56" s="358"/>
      <c r="H56" s="419"/>
      <c r="I56" s="222">
        <f>VLOOKUP(C56,Mapping!B:D,3,FALSE)</f>
        <v>0</v>
      </c>
      <c r="J56" s="61">
        <f>SUMIFS('TB Vesion Final'!H:H,'TB Vesion Final'!A:A,C56)+G56</f>
        <v>18342820.289999999</v>
      </c>
      <c r="K56" s="131">
        <f>SUMIFS('TB Vesion Final'!J:J,'TB Vesion Final'!A:A,C56)+H56</f>
        <v>18342820.289999999</v>
      </c>
      <c r="L56" s="131">
        <f t="shared" si="5"/>
        <v>0</v>
      </c>
      <c r="N56" s="139" t="str">
        <f t="shared" si="1"/>
        <v xml:space="preserve"> </v>
      </c>
      <c r="O56" s="139" t="str">
        <f t="shared" si="2"/>
        <v xml:space="preserve"> </v>
      </c>
    </row>
    <row r="57" spans="1:16">
      <c r="B57" s="161"/>
      <c r="C57" s="130" t="str">
        <f>'TB Vesion Final'!A57</f>
        <v>llogari</v>
      </c>
      <c r="E57" s="130" t="str">
        <f>'TB Vesion Final'!C57</f>
        <v>pershkrim</v>
      </c>
      <c r="G57" s="358"/>
      <c r="H57" s="419"/>
      <c r="J57" s="61">
        <f>SUMIFS('TB Vesion Final'!H:H,'TB Vesion Final'!A:A,C57)</f>
        <v>0</v>
      </c>
      <c r="K57" s="131">
        <f>SUMIFS('TB Vesion Final'!J:J,'TB Vesion Final'!A:A,C57)</f>
        <v>0</v>
      </c>
      <c r="L57" s="131">
        <f t="shared" si="5"/>
        <v>0</v>
      </c>
      <c r="N57" s="139">
        <f>SUM(N33:N56)</f>
        <v>179508677.13</v>
      </c>
      <c r="O57" s="139">
        <f>SUM(O33:O56)</f>
        <v>186622765.88</v>
      </c>
      <c r="P57" s="113">
        <f>O57-N57</f>
        <v>7114088.75</v>
      </c>
    </row>
    <row r="58" spans="1:16">
      <c r="B58" s="161"/>
      <c r="C58" s="130">
        <f>'TB Vesion Final'!A58</f>
        <v>0</v>
      </c>
      <c r="E58" s="130">
        <f>'TB Vesion Final'!C58</f>
        <v>0</v>
      </c>
      <c r="G58" s="358">
        <f>SUM(G2:G57)</f>
        <v>0</v>
      </c>
      <c r="H58" s="358">
        <f>SUM(H2:H57)</f>
        <v>0</v>
      </c>
      <c r="I58" s="184"/>
      <c r="J58" s="131"/>
      <c r="K58" s="131"/>
      <c r="L58" s="131"/>
      <c r="N58" s="142">
        <f>SUM(N1:N56)</f>
        <v>294670928.44000006</v>
      </c>
      <c r="O58" s="142">
        <f>SUM(O1:O56)</f>
        <v>294670928.46000004</v>
      </c>
    </row>
    <row r="59" spans="1:16">
      <c r="C59" s="130"/>
      <c r="E59" s="130"/>
      <c r="F59" s="132" t="s">
        <v>199</v>
      </c>
      <c r="G59" s="132"/>
      <c r="H59" s="416">
        <f>G58-H58</f>
        <v>0</v>
      </c>
      <c r="I59" s="417">
        <v>0</v>
      </c>
      <c r="J59" s="134">
        <f>SUM(J2:J57)</f>
        <v>1611443041.9900005</v>
      </c>
      <c r="K59" s="134">
        <f t="shared" ref="K59" si="6">SUM(K2:K57)</f>
        <v>1611443042.0100002</v>
      </c>
      <c r="L59" s="134">
        <f>SUM(L2:L57)</f>
        <v>-2.0000016689323274E-2</v>
      </c>
      <c r="O59" s="139">
        <f>N58-O58</f>
        <v>-1.9999980926513672E-2</v>
      </c>
    </row>
    <row r="60" spans="1:16">
      <c r="C60" s="130"/>
      <c r="E60" s="130"/>
      <c r="N60" s="139">
        <f>-P21</f>
        <v>0</v>
      </c>
    </row>
    <row r="61" spans="1:16">
      <c r="J61" s="61">
        <f>'TB Vesion Final'!H58</f>
        <v>1611443041.99</v>
      </c>
      <c r="K61" s="61">
        <f>'TB Vesion Final'!J58</f>
        <v>1611443041.99</v>
      </c>
    </row>
    <row r="62" spans="1:16">
      <c r="N62" s="145">
        <f>SUM(N58:N61)</f>
        <v>294670928.44000006</v>
      </c>
      <c r="O62" s="145">
        <f>SUM(O58:O61)</f>
        <v>294670928.44000006</v>
      </c>
    </row>
    <row r="63" spans="1:16">
      <c r="J63" s="61">
        <f>J61-J59</f>
        <v>0</v>
      </c>
      <c r="K63" s="61">
        <f>K61-K59</f>
        <v>-2.0000219345092773E-2</v>
      </c>
    </row>
  </sheetData>
  <autoFilter ref="B1:L59">
    <filterColumn colId="2"/>
  </autoFilter>
  <pageMargins left="0.7" right="0.7" top="0.75" bottom="0.75" header="0.3" footer="0.3"/>
  <pageSetup paperSize="9" orientation="portrait" horizontalDpi="0" verticalDpi="0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K49"/>
  <sheetViews>
    <sheetView topLeftCell="A4" workbookViewId="0">
      <selection activeCell="J20" sqref="J20"/>
    </sheetView>
  </sheetViews>
  <sheetFormatPr defaultRowHeight="12.75"/>
  <cols>
    <col min="1" max="1" width="3.5703125" style="472" customWidth="1"/>
    <col min="2" max="4" width="9.140625" style="472"/>
    <col min="5" max="6" width="10.5703125" style="472" customWidth="1"/>
    <col min="7" max="7" width="3.5703125" style="473" customWidth="1"/>
    <col min="8" max="8" width="21.85546875" style="473" customWidth="1"/>
    <col min="9" max="9" width="4.140625" style="473" customWidth="1"/>
    <col min="10" max="10" width="22.28515625" style="473" customWidth="1"/>
    <col min="11" max="256" width="9.140625" style="472"/>
    <col min="257" max="257" width="3.5703125" style="472" customWidth="1"/>
    <col min="258" max="260" width="9.140625" style="472"/>
    <col min="261" max="262" width="10.5703125" style="472" customWidth="1"/>
    <col min="263" max="263" width="3.5703125" style="472" customWidth="1"/>
    <col min="264" max="264" width="21.85546875" style="472" customWidth="1"/>
    <col min="265" max="265" width="4.140625" style="472" customWidth="1"/>
    <col min="266" max="266" width="22.28515625" style="472" customWidth="1"/>
    <col min="267" max="512" width="9.140625" style="472"/>
    <col min="513" max="513" width="3.5703125" style="472" customWidth="1"/>
    <col min="514" max="516" width="9.140625" style="472"/>
    <col min="517" max="518" width="10.5703125" style="472" customWidth="1"/>
    <col min="519" max="519" width="3.5703125" style="472" customWidth="1"/>
    <col min="520" max="520" width="21.85546875" style="472" customWidth="1"/>
    <col min="521" max="521" width="4.140625" style="472" customWidth="1"/>
    <col min="522" max="522" width="22.28515625" style="472" customWidth="1"/>
    <col min="523" max="768" width="9.140625" style="472"/>
    <col min="769" max="769" width="3.5703125" style="472" customWidth="1"/>
    <col min="770" max="772" width="9.140625" style="472"/>
    <col min="773" max="774" width="10.5703125" style="472" customWidth="1"/>
    <col min="775" max="775" width="3.5703125" style="472" customWidth="1"/>
    <col min="776" max="776" width="21.85546875" style="472" customWidth="1"/>
    <col min="777" max="777" width="4.140625" style="472" customWidth="1"/>
    <col min="778" max="778" width="22.28515625" style="472" customWidth="1"/>
    <col min="779" max="1024" width="9.140625" style="472"/>
    <col min="1025" max="1025" width="3.5703125" style="472" customWidth="1"/>
    <col min="1026" max="1028" width="9.140625" style="472"/>
    <col min="1029" max="1030" width="10.5703125" style="472" customWidth="1"/>
    <col min="1031" max="1031" width="3.5703125" style="472" customWidth="1"/>
    <col min="1032" max="1032" width="21.85546875" style="472" customWidth="1"/>
    <col min="1033" max="1033" width="4.140625" style="472" customWidth="1"/>
    <col min="1034" max="1034" width="22.28515625" style="472" customWidth="1"/>
    <col min="1035" max="1280" width="9.140625" style="472"/>
    <col min="1281" max="1281" width="3.5703125" style="472" customWidth="1"/>
    <col min="1282" max="1284" width="9.140625" style="472"/>
    <col min="1285" max="1286" width="10.5703125" style="472" customWidth="1"/>
    <col min="1287" max="1287" width="3.5703125" style="472" customWidth="1"/>
    <col min="1288" max="1288" width="21.85546875" style="472" customWidth="1"/>
    <col min="1289" max="1289" width="4.140625" style="472" customWidth="1"/>
    <col min="1290" max="1290" width="22.28515625" style="472" customWidth="1"/>
    <col min="1291" max="1536" width="9.140625" style="472"/>
    <col min="1537" max="1537" width="3.5703125" style="472" customWidth="1"/>
    <col min="1538" max="1540" width="9.140625" style="472"/>
    <col min="1541" max="1542" width="10.5703125" style="472" customWidth="1"/>
    <col min="1543" max="1543" width="3.5703125" style="472" customWidth="1"/>
    <col min="1544" max="1544" width="21.85546875" style="472" customWidth="1"/>
    <col min="1545" max="1545" width="4.140625" style="472" customWidth="1"/>
    <col min="1546" max="1546" width="22.28515625" style="472" customWidth="1"/>
    <col min="1547" max="1792" width="9.140625" style="472"/>
    <col min="1793" max="1793" width="3.5703125" style="472" customWidth="1"/>
    <col min="1794" max="1796" width="9.140625" style="472"/>
    <col min="1797" max="1798" width="10.5703125" style="472" customWidth="1"/>
    <col min="1799" max="1799" width="3.5703125" style="472" customWidth="1"/>
    <col min="1800" max="1800" width="21.85546875" style="472" customWidth="1"/>
    <col min="1801" max="1801" width="4.140625" style="472" customWidth="1"/>
    <col min="1802" max="1802" width="22.28515625" style="472" customWidth="1"/>
    <col min="1803" max="2048" width="9.140625" style="472"/>
    <col min="2049" max="2049" width="3.5703125" style="472" customWidth="1"/>
    <col min="2050" max="2052" width="9.140625" style="472"/>
    <col min="2053" max="2054" width="10.5703125" style="472" customWidth="1"/>
    <col min="2055" max="2055" width="3.5703125" style="472" customWidth="1"/>
    <col min="2056" max="2056" width="21.85546875" style="472" customWidth="1"/>
    <col min="2057" max="2057" width="4.140625" style="472" customWidth="1"/>
    <col min="2058" max="2058" width="22.28515625" style="472" customWidth="1"/>
    <col min="2059" max="2304" width="9.140625" style="472"/>
    <col min="2305" max="2305" width="3.5703125" style="472" customWidth="1"/>
    <col min="2306" max="2308" width="9.140625" style="472"/>
    <col min="2309" max="2310" width="10.5703125" style="472" customWidth="1"/>
    <col min="2311" max="2311" width="3.5703125" style="472" customWidth="1"/>
    <col min="2312" max="2312" width="21.85546875" style="472" customWidth="1"/>
    <col min="2313" max="2313" width="4.140625" style="472" customWidth="1"/>
    <col min="2314" max="2314" width="22.28515625" style="472" customWidth="1"/>
    <col min="2315" max="2560" width="9.140625" style="472"/>
    <col min="2561" max="2561" width="3.5703125" style="472" customWidth="1"/>
    <col min="2562" max="2564" width="9.140625" style="472"/>
    <col min="2565" max="2566" width="10.5703125" style="472" customWidth="1"/>
    <col min="2567" max="2567" width="3.5703125" style="472" customWidth="1"/>
    <col min="2568" max="2568" width="21.85546875" style="472" customWidth="1"/>
    <col min="2569" max="2569" width="4.140625" style="472" customWidth="1"/>
    <col min="2570" max="2570" width="22.28515625" style="472" customWidth="1"/>
    <col min="2571" max="2816" width="9.140625" style="472"/>
    <col min="2817" max="2817" width="3.5703125" style="472" customWidth="1"/>
    <col min="2818" max="2820" width="9.140625" style="472"/>
    <col min="2821" max="2822" width="10.5703125" style="472" customWidth="1"/>
    <col min="2823" max="2823" width="3.5703125" style="472" customWidth="1"/>
    <col min="2824" max="2824" width="21.85546875" style="472" customWidth="1"/>
    <col min="2825" max="2825" width="4.140625" style="472" customWidth="1"/>
    <col min="2826" max="2826" width="22.28515625" style="472" customWidth="1"/>
    <col min="2827" max="3072" width="9.140625" style="472"/>
    <col min="3073" max="3073" width="3.5703125" style="472" customWidth="1"/>
    <col min="3074" max="3076" width="9.140625" style="472"/>
    <col min="3077" max="3078" width="10.5703125" style="472" customWidth="1"/>
    <col min="3079" max="3079" width="3.5703125" style="472" customWidth="1"/>
    <col min="3080" max="3080" width="21.85546875" style="472" customWidth="1"/>
    <col min="3081" max="3081" width="4.140625" style="472" customWidth="1"/>
    <col min="3082" max="3082" width="22.28515625" style="472" customWidth="1"/>
    <col min="3083" max="3328" width="9.140625" style="472"/>
    <col min="3329" max="3329" width="3.5703125" style="472" customWidth="1"/>
    <col min="3330" max="3332" width="9.140625" style="472"/>
    <col min="3333" max="3334" width="10.5703125" style="472" customWidth="1"/>
    <col min="3335" max="3335" width="3.5703125" style="472" customWidth="1"/>
    <col min="3336" max="3336" width="21.85546875" style="472" customWidth="1"/>
    <col min="3337" max="3337" width="4.140625" style="472" customWidth="1"/>
    <col min="3338" max="3338" width="22.28515625" style="472" customWidth="1"/>
    <col min="3339" max="3584" width="9.140625" style="472"/>
    <col min="3585" max="3585" width="3.5703125" style="472" customWidth="1"/>
    <col min="3586" max="3588" width="9.140625" style="472"/>
    <col min="3589" max="3590" width="10.5703125" style="472" customWidth="1"/>
    <col min="3591" max="3591" width="3.5703125" style="472" customWidth="1"/>
    <col min="3592" max="3592" width="21.85546875" style="472" customWidth="1"/>
    <col min="3593" max="3593" width="4.140625" style="472" customWidth="1"/>
    <col min="3594" max="3594" width="22.28515625" style="472" customWidth="1"/>
    <col min="3595" max="3840" width="9.140625" style="472"/>
    <col min="3841" max="3841" width="3.5703125" style="472" customWidth="1"/>
    <col min="3842" max="3844" width="9.140625" style="472"/>
    <col min="3845" max="3846" width="10.5703125" style="472" customWidth="1"/>
    <col min="3847" max="3847" width="3.5703125" style="472" customWidth="1"/>
    <col min="3848" max="3848" width="21.85546875" style="472" customWidth="1"/>
    <col min="3849" max="3849" width="4.140625" style="472" customWidth="1"/>
    <col min="3850" max="3850" width="22.28515625" style="472" customWidth="1"/>
    <col min="3851" max="4096" width="9.140625" style="472"/>
    <col min="4097" max="4097" width="3.5703125" style="472" customWidth="1"/>
    <col min="4098" max="4100" width="9.140625" style="472"/>
    <col min="4101" max="4102" width="10.5703125" style="472" customWidth="1"/>
    <col min="4103" max="4103" width="3.5703125" style="472" customWidth="1"/>
    <col min="4104" max="4104" width="21.85546875" style="472" customWidth="1"/>
    <col min="4105" max="4105" width="4.140625" style="472" customWidth="1"/>
    <col min="4106" max="4106" width="22.28515625" style="472" customWidth="1"/>
    <col min="4107" max="4352" width="9.140625" style="472"/>
    <col min="4353" max="4353" width="3.5703125" style="472" customWidth="1"/>
    <col min="4354" max="4356" width="9.140625" style="472"/>
    <col min="4357" max="4358" width="10.5703125" style="472" customWidth="1"/>
    <col min="4359" max="4359" width="3.5703125" style="472" customWidth="1"/>
    <col min="4360" max="4360" width="21.85546875" style="472" customWidth="1"/>
    <col min="4361" max="4361" width="4.140625" style="472" customWidth="1"/>
    <col min="4362" max="4362" width="22.28515625" style="472" customWidth="1"/>
    <col min="4363" max="4608" width="9.140625" style="472"/>
    <col min="4609" max="4609" width="3.5703125" style="472" customWidth="1"/>
    <col min="4610" max="4612" width="9.140625" style="472"/>
    <col min="4613" max="4614" width="10.5703125" style="472" customWidth="1"/>
    <col min="4615" max="4615" width="3.5703125" style="472" customWidth="1"/>
    <col min="4616" max="4616" width="21.85546875" style="472" customWidth="1"/>
    <col min="4617" max="4617" width="4.140625" style="472" customWidth="1"/>
    <col min="4618" max="4618" width="22.28515625" style="472" customWidth="1"/>
    <col min="4619" max="4864" width="9.140625" style="472"/>
    <col min="4865" max="4865" width="3.5703125" style="472" customWidth="1"/>
    <col min="4866" max="4868" width="9.140625" style="472"/>
    <col min="4869" max="4870" width="10.5703125" style="472" customWidth="1"/>
    <col min="4871" max="4871" width="3.5703125" style="472" customWidth="1"/>
    <col min="4872" max="4872" width="21.85546875" style="472" customWidth="1"/>
    <col min="4873" max="4873" width="4.140625" style="472" customWidth="1"/>
    <col min="4874" max="4874" width="22.28515625" style="472" customWidth="1"/>
    <col min="4875" max="5120" width="9.140625" style="472"/>
    <col min="5121" max="5121" width="3.5703125" style="472" customWidth="1"/>
    <col min="5122" max="5124" width="9.140625" style="472"/>
    <col min="5125" max="5126" width="10.5703125" style="472" customWidth="1"/>
    <col min="5127" max="5127" width="3.5703125" style="472" customWidth="1"/>
    <col min="5128" max="5128" width="21.85546875" style="472" customWidth="1"/>
    <col min="5129" max="5129" width="4.140625" style="472" customWidth="1"/>
    <col min="5130" max="5130" width="22.28515625" style="472" customWidth="1"/>
    <col min="5131" max="5376" width="9.140625" style="472"/>
    <col min="5377" max="5377" width="3.5703125" style="472" customWidth="1"/>
    <col min="5378" max="5380" width="9.140625" style="472"/>
    <col min="5381" max="5382" width="10.5703125" style="472" customWidth="1"/>
    <col min="5383" max="5383" width="3.5703125" style="472" customWidth="1"/>
    <col min="5384" max="5384" width="21.85546875" style="472" customWidth="1"/>
    <col min="5385" max="5385" width="4.140625" style="472" customWidth="1"/>
    <col min="5386" max="5386" width="22.28515625" style="472" customWidth="1"/>
    <col min="5387" max="5632" width="9.140625" style="472"/>
    <col min="5633" max="5633" width="3.5703125" style="472" customWidth="1"/>
    <col min="5634" max="5636" width="9.140625" style="472"/>
    <col min="5637" max="5638" width="10.5703125" style="472" customWidth="1"/>
    <col min="5639" max="5639" width="3.5703125" style="472" customWidth="1"/>
    <col min="5640" max="5640" width="21.85546875" style="472" customWidth="1"/>
    <col min="5641" max="5641" width="4.140625" style="472" customWidth="1"/>
    <col min="5642" max="5642" width="22.28515625" style="472" customWidth="1"/>
    <col min="5643" max="5888" width="9.140625" style="472"/>
    <col min="5889" max="5889" width="3.5703125" style="472" customWidth="1"/>
    <col min="5890" max="5892" width="9.140625" style="472"/>
    <col min="5893" max="5894" width="10.5703125" style="472" customWidth="1"/>
    <col min="5895" max="5895" width="3.5703125" style="472" customWidth="1"/>
    <col min="5896" max="5896" width="21.85546875" style="472" customWidth="1"/>
    <col min="5897" max="5897" width="4.140625" style="472" customWidth="1"/>
    <col min="5898" max="5898" width="22.28515625" style="472" customWidth="1"/>
    <col min="5899" max="6144" width="9.140625" style="472"/>
    <col min="6145" max="6145" width="3.5703125" style="472" customWidth="1"/>
    <col min="6146" max="6148" width="9.140625" style="472"/>
    <col min="6149" max="6150" width="10.5703125" style="472" customWidth="1"/>
    <col min="6151" max="6151" width="3.5703125" style="472" customWidth="1"/>
    <col min="6152" max="6152" width="21.85546875" style="472" customWidth="1"/>
    <col min="6153" max="6153" width="4.140625" style="472" customWidth="1"/>
    <col min="6154" max="6154" width="22.28515625" style="472" customWidth="1"/>
    <col min="6155" max="6400" width="9.140625" style="472"/>
    <col min="6401" max="6401" width="3.5703125" style="472" customWidth="1"/>
    <col min="6402" max="6404" width="9.140625" style="472"/>
    <col min="6405" max="6406" width="10.5703125" style="472" customWidth="1"/>
    <col min="6407" max="6407" width="3.5703125" style="472" customWidth="1"/>
    <col min="6408" max="6408" width="21.85546875" style="472" customWidth="1"/>
    <col min="6409" max="6409" width="4.140625" style="472" customWidth="1"/>
    <col min="6410" max="6410" width="22.28515625" style="472" customWidth="1"/>
    <col min="6411" max="6656" width="9.140625" style="472"/>
    <col min="6657" max="6657" width="3.5703125" style="472" customWidth="1"/>
    <col min="6658" max="6660" width="9.140625" style="472"/>
    <col min="6661" max="6662" width="10.5703125" style="472" customWidth="1"/>
    <col min="6663" max="6663" width="3.5703125" style="472" customWidth="1"/>
    <col min="6664" max="6664" width="21.85546875" style="472" customWidth="1"/>
    <col min="6665" max="6665" width="4.140625" style="472" customWidth="1"/>
    <col min="6666" max="6666" width="22.28515625" style="472" customWidth="1"/>
    <col min="6667" max="6912" width="9.140625" style="472"/>
    <col min="6913" max="6913" width="3.5703125" style="472" customWidth="1"/>
    <col min="6914" max="6916" width="9.140625" style="472"/>
    <col min="6917" max="6918" width="10.5703125" style="472" customWidth="1"/>
    <col min="6919" max="6919" width="3.5703125" style="472" customWidth="1"/>
    <col min="6920" max="6920" width="21.85546875" style="472" customWidth="1"/>
    <col min="6921" max="6921" width="4.140625" style="472" customWidth="1"/>
    <col min="6922" max="6922" width="22.28515625" style="472" customWidth="1"/>
    <col min="6923" max="7168" width="9.140625" style="472"/>
    <col min="7169" max="7169" width="3.5703125" style="472" customWidth="1"/>
    <col min="7170" max="7172" width="9.140625" style="472"/>
    <col min="7173" max="7174" width="10.5703125" style="472" customWidth="1"/>
    <col min="7175" max="7175" width="3.5703125" style="472" customWidth="1"/>
    <col min="7176" max="7176" width="21.85546875" style="472" customWidth="1"/>
    <col min="7177" max="7177" width="4.140625" style="472" customWidth="1"/>
    <col min="7178" max="7178" width="22.28515625" style="472" customWidth="1"/>
    <col min="7179" max="7424" width="9.140625" style="472"/>
    <col min="7425" max="7425" width="3.5703125" style="472" customWidth="1"/>
    <col min="7426" max="7428" width="9.140625" style="472"/>
    <col min="7429" max="7430" width="10.5703125" style="472" customWidth="1"/>
    <col min="7431" max="7431" width="3.5703125" style="472" customWidth="1"/>
    <col min="7432" max="7432" width="21.85546875" style="472" customWidth="1"/>
    <col min="7433" max="7433" width="4.140625" style="472" customWidth="1"/>
    <col min="7434" max="7434" width="22.28515625" style="472" customWidth="1"/>
    <col min="7435" max="7680" width="9.140625" style="472"/>
    <col min="7681" max="7681" width="3.5703125" style="472" customWidth="1"/>
    <col min="7682" max="7684" width="9.140625" style="472"/>
    <col min="7685" max="7686" width="10.5703125" style="472" customWidth="1"/>
    <col min="7687" max="7687" width="3.5703125" style="472" customWidth="1"/>
    <col min="7688" max="7688" width="21.85546875" style="472" customWidth="1"/>
    <col min="7689" max="7689" width="4.140625" style="472" customWidth="1"/>
    <col min="7690" max="7690" width="22.28515625" style="472" customWidth="1"/>
    <col min="7691" max="7936" width="9.140625" style="472"/>
    <col min="7937" max="7937" width="3.5703125" style="472" customWidth="1"/>
    <col min="7938" max="7940" width="9.140625" style="472"/>
    <col min="7941" max="7942" width="10.5703125" style="472" customWidth="1"/>
    <col min="7943" max="7943" width="3.5703125" style="472" customWidth="1"/>
    <col min="7944" max="7944" width="21.85546875" style="472" customWidth="1"/>
    <col min="7945" max="7945" width="4.140625" style="472" customWidth="1"/>
    <col min="7946" max="7946" width="22.28515625" style="472" customWidth="1"/>
    <col min="7947" max="8192" width="9.140625" style="472"/>
    <col min="8193" max="8193" width="3.5703125" style="472" customWidth="1"/>
    <col min="8194" max="8196" width="9.140625" style="472"/>
    <col min="8197" max="8198" width="10.5703125" style="472" customWidth="1"/>
    <col min="8199" max="8199" width="3.5703125" style="472" customWidth="1"/>
    <col min="8200" max="8200" width="21.85546875" style="472" customWidth="1"/>
    <col min="8201" max="8201" width="4.140625" style="472" customWidth="1"/>
    <col min="8202" max="8202" width="22.28515625" style="472" customWidth="1"/>
    <col min="8203" max="8448" width="9.140625" style="472"/>
    <col min="8449" max="8449" width="3.5703125" style="472" customWidth="1"/>
    <col min="8450" max="8452" width="9.140625" style="472"/>
    <col min="8453" max="8454" width="10.5703125" style="472" customWidth="1"/>
    <col min="8455" max="8455" width="3.5703125" style="472" customWidth="1"/>
    <col min="8456" max="8456" width="21.85546875" style="472" customWidth="1"/>
    <col min="8457" max="8457" width="4.140625" style="472" customWidth="1"/>
    <col min="8458" max="8458" width="22.28515625" style="472" customWidth="1"/>
    <col min="8459" max="8704" width="9.140625" style="472"/>
    <col min="8705" max="8705" width="3.5703125" style="472" customWidth="1"/>
    <col min="8706" max="8708" width="9.140625" style="472"/>
    <col min="8709" max="8710" width="10.5703125" style="472" customWidth="1"/>
    <col min="8711" max="8711" width="3.5703125" style="472" customWidth="1"/>
    <col min="8712" max="8712" width="21.85546875" style="472" customWidth="1"/>
    <col min="8713" max="8713" width="4.140625" style="472" customWidth="1"/>
    <col min="8714" max="8714" width="22.28515625" style="472" customWidth="1"/>
    <col min="8715" max="8960" width="9.140625" style="472"/>
    <col min="8961" max="8961" width="3.5703125" style="472" customWidth="1"/>
    <col min="8962" max="8964" width="9.140625" style="472"/>
    <col min="8965" max="8966" width="10.5703125" style="472" customWidth="1"/>
    <col min="8967" max="8967" width="3.5703125" style="472" customWidth="1"/>
    <col min="8968" max="8968" width="21.85546875" style="472" customWidth="1"/>
    <col min="8969" max="8969" width="4.140625" style="472" customWidth="1"/>
    <col min="8970" max="8970" width="22.28515625" style="472" customWidth="1"/>
    <col min="8971" max="9216" width="9.140625" style="472"/>
    <col min="9217" max="9217" width="3.5703125" style="472" customWidth="1"/>
    <col min="9218" max="9220" width="9.140625" style="472"/>
    <col min="9221" max="9222" width="10.5703125" style="472" customWidth="1"/>
    <col min="9223" max="9223" width="3.5703125" style="472" customWidth="1"/>
    <col min="9224" max="9224" width="21.85546875" style="472" customWidth="1"/>
    <col min="9225" max="9225" width="4.140625" style="472" customWidth="1"/>
    <col min="9226" max="9226" width="22.28515625" style="472" customWidth="1"/>
    <col min="9227" max="9472" width="9.140625" style="472"/>
    <col min="9473" max="9473" width="3.5703125" style="472" customWidth="1"/>
    <col min="9474" max="9476" width="9.140625" style="472"/>
    <col min="9477" max="9478" width="10.5703125" style="472" customWidth="1"/>
    <col min="9479" max="9479" width="3.5703125" style="472" customWidth="1"/>
    <col min="9480" max="9480" width="21.85546875" style="472" customWidth="1"/>
    <col min="9481" max="9481" width="4.140625" style="472" customWidth="1"/>
    <col min="9482" max="9482" width="22.28515625" style="472" customWidth="1"/>
    <col min="9483" max="9728" width="9.140625" style="472"/>
    <col min="9729" max="9729" width="3.5703125" style="472" customWidth="1"/>
    <col min="9730" max="9732" width="9.140625" style="472"/>
    <col min="9733" max="9734" width="10.5703125" style="472" customWidth="1"/>
    <col min="9735" max="9735" width="3.5703125" style="472" customWidth="1"/>
    <col min="9736" max="9736" width="21.85546875" style="472" customWidth="1"/>
    <col min="9737" max="9737" width="4.140625" style="472" customWidth="1"/>
    <col min="9738" max="9738" width="22.28515625" style="472" customWidth="1"/>
    <col min="9739" max="9984" width="9.140625" style="472"/>
    <col min="9985" max="9985" width="3.5703125" style="472" customWidth="1"/>
    <col min="9986" max="9988" width="9.140625" style="472"/>
    <col min="9989" max="9990" width="10.5703125" style="472" customWidth="1"/>
    <col min="9991" max="9991" width="3.5703125" style="472" customWidth="1"/>
    <col min="9992" max="9992" width="21.85546875" style="472" customWidth="1"/>
    <col min="9993" max="9993" width="4.140625" style="472" customWidth="1"/>
    <col min="9994" max="9994" width="22.28515625" style="472" customWidth="1"/>
    <col min="9995" max="10240" width="9.140625" style="472"/>
    <col min="10241" max="10241" width="3.5703125" style="472" customWidth="1"/>
    <col min="10242" max="10244" width="9.140625" style="472"/>
    <col min="10245" max="10246" width="10.5703125" style="472" customWidth="1"/>
    <col min="10247" max="10247" width="3.5703125" style="472" customWidth="1"/>
    <col min="10248" max="10248" width="21.85546875" style="472" customWidth="1"/>
    <col min="10249" max="10249" width="4.140625" style="472" customWidth="1"/>
    <col min="10250" max="10250" width="22.28515625" style="472" customWidth="1"/>
    <col min="10251" max="10496" width="9.140625" style="472"/>
    <col min="10497" max="10497" width="3.5703125" style="472" customWidth="1"/>
    <col min="10498" max="10500" width="9.140625" style="472"/>
    <col min="10501" max="10502" width="10.5703125" style="472" customWidth="1"/>
    <col min="10503" max="10503" width="3.5703125" style="472" customWidth="1"/>
    <col min="10504" max="10504" width="21.85546875" style="472" customWidth="1"/>
    <col min="10505" max="10505" width="4.140625" style="472" customWidth="1"/>
    <col min="10506" max="10506" width="22.28515625" style="472" customWidth="1"/>
    <col min="10507" max="10752" width="9.140625" style="472"/>
    <col min="10753" max="10753" width="3.5703125" style="472" customWidth="1"/>
    <col min="10754" max="10756" width="9.140625" style="472"/>
    <col min="10757" max="10758" width="10.5703125" style="472" customWidth="1"/>
    <col min="10759" max="10759" width="3.5703125" style="472" customWidth="1"/>
    <col min="10760" max="10760" width="21.85546875" style="472" customWidth="1"/>
    <col min="10761" max="10761" width="4.140625" style="472" customWidth="1"/>
    <col min="10762" max="10762" width="22.28515625" style="472" customWidth="1"/>
    <col min="10763" max="11008" width="9.140625" style="472"/>
    <col min="11009" max="11009" width="3.5703125" style="472" customWidth="1"/>
    <col min="11010" max="11012" width="9.140625" style="472"/>
    <col min="11013" max="11014" width="10.5703125" style="472" customWidth="1"/>
    <col min="11015" max="11015" width="3.5703125" style="472" customWidth="1"/>
    <col min="11016" max="11016" width="21.85546875" style="472" customWidth="1"/>
    <col min="11017" max="11017" width="4.140625" style="472" customWidth="1"/>
    <col min="11018" max="11018" width="22.28515625" style="472" customWidth="1"/>
    <col min="11019" max="11264" width="9.140625" style="472"/>
    <col min="11265" max="11265" width="3.5703125" style="472" customWidth="1"/>
    <col min="11266" max="11268" width="9.140625" style="472"/>
    <col min="11269" max="11270" width="10.5703125" style="472" customWidth="1"/>
    <col min="11271" max="11271" width="3.5703125" style="472" customWidth="1"/>
    <col min="11272" max="11272" width="21.85546875" style="472" customWidth="1"/>
    <col min="11273" max="11273" width="4.140625" style="472" customWidth="1"/>
    <col min="11274" max="11274" width="22.28515625" style="472" customWidth="1"/>
    <col min="11275" max="11520" width="9.140625" style="472"/>
    <col min="11521" max="11521" width="3.5703125" style="472" customWidth="1"/>
    <col min="11522" max="11524" width="9.140625" style="472"/>
    <col min="11525" max="11526" width="10.5703125" style="472" customWidth="1"/>
    <col min="11527" max="11527" width="3.5703125" style="472" customWidth="1"/>
    <col min="11528" max="11528" width="21.85546875" style="472" customWidth="1"/>
    <col min="11529" max="11529" width="4.140625" style="472" customWidth="1"/>
    <col min="11530" max="11530" width="22.28515625" style="472" customWidth="1"/>
    <col min="11531" max="11776" width="9.140625" style="472"/>
    <col min="11777" max="11777" width="3.5703125" style="472" customWidth="1"/>
    <col min="11778" max="11780" width="9.140625" style="472"/>
    <col min="11781" max="11782" width="10.5703125" style="472" customWidth="1"/>
    <col min="11783" max="11783" width="3.5703125" style="472" customWidth="1"/>
    <col min="11784" max="11784" width="21.85546875" style="472" customWidth="1"/>
    <col min="11785" max="11785" width="4.140625" style="472" customWidth="1"/>
    <col min="11786" max="11786" width="22.28515625" style="472" customWidth="1"/>
    <col min="11787" max="12032" width="9.140625" style="472"/>
    <col min="12033" max="12033" width="3.5703125" style="472" customWidth="1"/>
    <col min="12034" max="12036" width="9.140625" style="472"/>
    <col min="12037" max="12038" width="10.5703125" style="472" customWidth="1"/>
    <col min="12039" max="12039" width="3.5703125" style="472" customWidth="1"/>
    <col min="12040" max="12040" width="21.85546875" style="472" customWidth="1"/>
    <col min="12041" max="12041" width="4.140625" style="472" customWidth="1"/>
    <col min="12042" max="12042" width="22.28515625" style="472" customWidth="1"/>
    <col min="12043" max="12288" width="9.140625" style="472"/>
    <col min="12289" max="12289" width="3.5703125" style="472" customWidth="1"/>
    <col min="12290" max="12292" width="9.140625" style="472"/>
    <col min="12293" max="12294" width="10.5703125" style="472" customWidth="1"/>
    <col min="12295" max="12295" width="3.5703125" style="472" customWidth="1"/>
    <col min="12296" max="12296" width="21.85546875" style="472" customWidth="1"/>
    <col min="12297" max="12297" width="4.140625" style="472" customWidth="1"/>
    <col min="12298" max="12298" width="22.28515625" style="472" customWidth="1"/>
    <col min="12299" max="12544" width="9.140625" style="472"/>
    <col min="12545" max="12545" width="3.5703125" style="472" customWidth="1"/>
    <col min="12546" max="12548" width="9.140625" style="472"/>
    <col min="12549" max="12550" width="10.5703125" style="472" customWidth="1"/>
    <col min="12551" max="12551" width="3.5703125" style="472" customWidth="1"/>
    <col min="12552" max="12552" width="21.85546875" style="472" customWidth="1"/>
    <col min="12553" max="12553" width="4.140625" style="472" customWidth="1"/>
    <col min="12554" max="12554" width="22.28515625" style="472" customWidth="1"/>
    <col min="12555" max="12800" width="9.140625" style="472"/>
    <col min="12801" max="12801" width="3.5703125" style="472" customWidth="1"/>
    <col min="12802" max="12804" width="9.140625" style="472"/>
    <col min="12805" max="12806" width="10.5703125" style="472" customWidth="1"/>
    <col min="12807" max="12807" width="3.5703125" style="472" customWidth="1"/>
    <col min="12808" max="12808" width="21.85546875" style="472" customWidth="1"/>
    <col min="12809" max="12809" width="4.140625" style="472" customWidth="1"/>
    <col min="12810" max="12810" width="22.28515625" style="472" customWidth="1"/>
    <col min="12811" max="13056" width="9.140625" style="472"/>
    <col min="13057" max="13057" width="3.5703125" style="472" customWidth="1"/>
    <col min="13058" max="13060" width="9.140625" style="472"/>
    <col min="13061" max="13062" width="10.5703125" style="472" customWidth="1"/>
    <col min="13063" max="13063" width="3.5703125" style="472" customWidth="1"/>
    <col min="13064" max="13064" width="21.85546875" style="472" customWidth="1"/>
    <col min="13065" max="13065" width="4.140625" style="472" customWidth="1"/>
    <col min="13066" max="13066" width="22.28515625" style="472" customWidth="1"/>
    <col min="13067" max="13312" width="9.140625" style="472"/>
    <col min="13313" max="13313" width="3.5703125" style="472" customWidth="1"/>
    <col min="13314" max="13316" width="9.140625" style="472"/>
    <col min="13317" max="13318" width="10.5703125" style="472" customWidth="1"/>
    <col min="13319" max="13319" width="3.5703125" style="472" customWidth="1"/>
    <col min="13320" max="13320" width="21.85546875" style="472" customWidth="1"/>
    <col min="13321" max="13321" width="4.140625" style="472" customWidth="1"/>
    <col min="13322" max="13322" width="22.28515625" style="472" customWidth="1"/>
    <col min="13323" max="13568" width="9.140625" style="472"/>
    <col min="13569" max="13569" width="3.5703125" style="472" customWidth="1"/>
    <col min="13570" max="13572" width="9.140625" style="472"/>
    <col min="13573" max="13574" width="10.5703125" style="472" customWidth="1"/>
    <col min="13575" max="13575" width="3.5703125" style="472" customWidth="1"/>
    <col min="13576" max="13576" width="21.85546875" style="472" customWidth="1"/>
    <col min="13577" max="13577" width="4.140625" style="472" customWidth="1"/>
    <col min="13578" max="13578" width="22.28515625" style="472" customWidth="1"/>
    <col min="13579" max="13824" width="9.140625" style="472"/>
    <col min="13825" max="13825" width="3.5703125" style="472" customWidth="1"/>
    <col min="13826" max="13828" width="9.140625" style="472"/>
    <col min="13829" max="13830" width="10.5703125" style="472" customWidth="1"/>
    <col min="13831" max="13831" width="3.5703125" style="472" customWidth="1"/>
    <col min="13832" max="13832" width="21.85546875" style="472" customWidth="1"/>
    <col min="13833" max="13833" width="4.140625" style="472" customWidth="1"/>
    <col min="13834" max="13834" width="22.28515625" style="472" customWidth="1"/>
    <col min="13835" max="14080" width="9.140625" style="472"/>
    <col min="14081" max="14081" width="3.5703125" style="472" customWidth="1"/>
    <col min="14082" max="14084" width="9.140625" style="472"/>
    <col min="14085" max="14086" width="10.5703125" style="472" customWidth="1"/>
    <col min="14087" max="14087" width="3.5703125" style="472" customWidth="1"/>
    <col min="14088" max="14088" width="21.85546875" style="472" customWidth="1"/>
    <col min="14089" max="14089" width="4.140625" style="472" customWidth="1"/>
    <col min="14090" max="14090" width="22.28515625" style="472" customWidth="1"/>
    <col min="14091" max="14336" width="9.140625" style="472"/>
    <col min="14337" max="14337" width="3.5703125" style="472" customWidth="1"/>
    <col min="14338" max="14340" width="9.140625" style="472"/>
    <col min="14341" max="14342" width="10.5703125" style="472" customWidth="1"/>
    <col min="14343" max="14343" width="3.5703125" style="472" customWidth="1"/>
    <col min="14344" max="14344" width="21.85546875" style="472" customWidth="1"/>
    <col min="14345" max="14345" width="4.140625" style="472" customWidth="1"/>
    <col min="14346" max="14346" width="22.28515625" style="472" customWidth="1"/>
    <col min="14347" max="14592" width="9.140625" style="472"/>
    <col min="14593" max="14593" width="3.5703125" style="472" customWidth="1"/>
    <col min="14594" max="14596" width="9.140625" style="472"/>
    <col min="14597" max="14598" width="10.5703125" style="472" customWidth="1"/>
    <col min="14599" max="14599" width="3.5703125" style="472" customWidth="1"/>
    <col min="14600" max="14600" width="21.85546875" style="472" customWidth="1"/>
    <col min="14601" max="14601" width="4.140625" style="472" customWidth="1"/>
    <col min="14602" max="14602" width="22.28515625" style="472" customWidth="1"/>
    <col min="14603" max="14848" width="9.140625" style="472"/>
    <col min="14849" max="14849" width="3.5703125" style="472" customWidth="1"/>
    <col min="14850" max="14852" width="9.140625" style="472"/>
    <col min="14853" max="14854" width="10.5703125" style="472" customWidth="1"/>
    <col min="14855" max="14855" width="3.5703125" style="472" customWidth="1"/>
    <col min="14856" max="14856" width="21.85546875" style="472" customWidth="1"/>
    <col min="14857" max="14857" width="4.140625" style="472" customWidth="1"/>
    <col min="14858" max="14858" width="22.28515625" style="472" customWidth="1"/>
    <col min="14859" max="15104" width="9.140625" style="472"/>
    <col min="15105" max="15105" width="3.5703125" style="472" customWidth="1"/>
    <col min="15106" max="15108" width="9.140625" style="472"/>
    <col min="15109" max="15110" width="10.5703125" style="472" customWidth="1"/>
    <col min="15111" max="15111" width="3.5703125" style="472" customWidth="1"/>
    <col min="15112" max="15112" width="21.85546875" style="472" customWidth="1"/>
    <col min="15113" max="15113" width="4.140625" style="472" customWidth="1"/>
    <col min="15114" max="15114" width="22.28515625" style="472" customWidth="1"/>
    <col min="15115" max="15360" width="9.140625" style="472"/>
    <col min="15361" max="15361" width="3.5703125" style="472" customWidth="1"/>
    <col min="15362" max="15364" width="9.140625" style="472"/>
    <col min="15365" max="15366" width="10.5703125" style="472" customWidth="1"/>
    <col min="15367" max="15367" width="3.5703125" style="472" customWidth="1"/>
    <col min="15368" max="15368" width="21.85546875" style="472" customWidth="1"/>
    <col min="15369" max="15369" width="4.140625" style="472" customWidth="1"/>
    <col min="15370" max="15370" width="22.28515625" style="472" customWidth="1"/>
    <col min="15371" max="15616" width="9.140625" style="472"/>
    <col min="15617" max="15617" width="3.5703125" style="472" customWidth="1"/>
    <col min="15618" max="15620" width="9.140625" style="472"/>
    <col min="15621" max="15622" width="10.5703125" style="472" customWidth="1"/>
    <col min="15623" max="15623" width="3.5703125" style="472" customWidth="1"/>
    <col min="15624" max="15624" width="21.85546875" style="472" customWidth="1"/>
    <col min="15625" max="15625" width="4.140625" style="472" customWidth="1"/>
    <col min="15626" max="15626" width="22.28515625" style="472" customWidth="1"/>
    <col min="15627" max="15872" width="9.140625" style="472"/>
    <col min="15873" max="15873" width="3.5703125" style="472" customWidth="1"/>
    <col min="15874" max="15876" width="9.140625" style="472"/>
    <col min="15877" max="15878" width="10.5703125" style="472" customWidth="1"/>
    <col min="15879" max="15879" width="3.5703125" style="472" customWidth="1"/>
    <col min="15880" max="15880" width="21.85546875" style="472" customWidth="1"/>
    <col min="15881" max="15881" width="4.140625" style="472" customWidth="1"/>
    <col min="15882" max="15882" width="22.28515625" style="472" customWidth="1"/>
    <col min="15883" max="16128" width="9.140625" style="472"/>
    <col min="16129" max="16129" width="3.5703125" style="472" customWidth="1"/>
    <col min="16130" max="16132" width="9.140625" style="472"/>
    <col min="16133" max="16134" width="10.5703125" style="472" customWidth="1"/>
    <col min="16135" max="16135" width="3.5703125" style="472" customWidth="1"/>
    <col min="16136" max="16136" width="21.85546875" style="472" customWidth="1"/>
    <col min="16137" max="16137" width="4.140625" style="472" customWidth="1"/>
    <col min="16138" max="16138" width="22.28515625" style="472" customWidth="1"/>
    <col min="16139" max="16384" width="9.140625" style="472"/>
  </cols>
  <sheetData>
    <row r="1" spans="1:10" ht="20.25">
      <c r="A1" s="471" t="s">
        <v>1269</v>
      </c>
      <c r="H1" s="474" t="s">
        <v>1270</v>
      </c>
      <c r="I1" s="475"/>
      <c r="J1" s="476"/>
    </row>
    <row r="2" spans="1:10" ht="20.25">
      <c r="A2" s="471" t="s">
        <v>1271</v>
      </c>
      <c r="B2" s="477"/>
      <c r="H2" s="478" t="s">
        <v>1272</v>
      </c>
      <c r="I2" s="479"/>
      <c r="J2" s="480"/>
    </row>
    <row r="3" spans="1:10" ht="23.25">
      <c r="A3" s="481"/>
      <c r="I3" s="482"/>
      <c r="J3" s="482"/>
    </row>
    <row r="4" spans="1:10" ht="23.25">
      <c r="A4" s="481"/>
      <c r="C4" s="483" t="s">
        <v>1273</v>
      </c>
      <c r="D4" s="484"/>
      <c r="E4" s="485"/>
      <c r="F4" s="486"/>
      <c r="H4" s="474" t="s">
        <v>1274</v>
      </c>
      <c r="I4" s="475"/>
      <c r="J4" s="476"/>
    </row>
    <row r="5" spans="1:10" ht="23.25">
      <c r="A5" s="481"/>
      <c r="C5" s="569" t="s">
        <v>1275</v>
      </c>
      <c r="D5" s="570"/>
      <c r="E5" s="571"/>
      <c r="F5" s="486"/>
      <c r="H5" s="487"/>
      <c r="I5" s="479"/>
      <c r="J5" s="480"/>
    </row>
    <row r="7" spans="1:10">
      <c r="A7" s="488" t="s">
        <v>1276</v>
      </c>
      <c r="B7" s="489"/>
      <c r="C7" s="489"/>
      <c r="D7" s="489"/>
      <c r="E7" s="489"/>
      <c r="F7" s="489"/>
      <c r="G7" s="490" t="s">
        <v>1277</v>
      </c>
      <c r="H7" s="475" t="str">
        <f>Cover!E18</f>
        <v>K81414038D</v>
      </c>
      <c r="I7" s="476"/>
      <c r="J7" s="476"/>
    </row>
    <row r="8" spans="1:10">
      <c r="A8" s="491" t="s">
        <v>1278</v>
      </c>
      <c r="B8" s="486"/>
      <c r="C8" s="486"/>
      <c r="D8" s="486"/>
      <c r="E8" s="486"/>
      <c r="F8" s="486"/>
      <c r="G8" s="492" t="s">
        <v>1279</v>
      </c>
      <c r="H8" s="498" t="str">
        <f>Cover!F3</f>
        <v>AEE Sh.p.k</v>
      </c>
      <c r="I8" s="482"/>
      <c r="J8" s="493"/>
    </row>
    <row r="9" spans="1:10" s="497" customFormat="1" ht="15">
      <c r="A9" s="491" t="s">
        <v>1280</v>
      </c>
      <c r="B9" s="494"/>
      <c r="C9" s="494"/>
      <c r="D9" s="494"/>
      <c r="E9" s="494"/>
      <c r="F9" s="494"/>
      <c r="G9" s="495" t="s">
        <v>1281</v>
      </c>
      <c r="H9" s="496" t="s">
        <v>1322</v>
      </c>
      <c r="I9" s="482"/>
      <c r="J9" s="493"/>
    </row>
    <row r="10" spans="1:10" s="497" customFormat="1">
      <c r="A10" s="491" t="s">
        <v>1282</v>
      </c>
      <c r="B10" s="494"/>
      <c r="C10" s="494"/>
      <c r="D10" s="494"/>
      <c r="E10" s="494"/>
      <c r="F10" s="494"/>
      <c r="G10" s="495" t="s">
        <v>1283</v>
      </c>
      <c r="H10" s="482" t="s">
        <v>1284</v>
      </c>
      <c r="I10" s="482"/>
      <c r="J10" s="493"/>
    </row>
    <row r="11" spans="1:10" s="497" customFormat="1">
      <c r="A11" s="491" t="s">
        <v>1285</v>
      </c>
      <c r="B11" s="494"/>
      <c r="C11" s="494"/>
      <c r="D11" s="494"/>
      <c r="E11" s="494"/>
      <c r="F11" s="494"/>
      <c r="G11" s="495"/>
      <c r="H11" s="498" t="s">
        <v>485</v>
      </c>
      <c r="I11" s="482"/>
      <c r="J11" s="493"/>
    </row>
    <row r="12" spans="1:10" s="497" customFormat="1">
      <c r="A12" s="491" t="s">
        <v>1286</v>
      </c>
      <c r="B12" s="494"/>
      <c r="C12" s="494"/>
      <c r="D12" s="494"/>
      <c r="E12" s="494"/>
      <c r="F12" s="494"/>
      <c r="G12" s="495" t="s">
        <v>1287</v>
      </c>
      <c r="H12" s="482" t="s">
        <v>1284</v>
      </c>
      <c r="I12" s="482"/>
      <c r="J12" s="493"/>
    </row>
    <row r="13" spans="1:10" s="497" customFormat="1" ht="12">
      <c r="A13" s="499"/>
      <c r="B13" s="500"/>
      <c r="C13" s="500"/>
      <c r="D13" s="501" t="s">
        <v>1288</v>
      </c>
      <c r="G13" s="502"/>
      <c r="H13" s="502"/>
      <c r="I13" s="502"/>
      <c r="J13" s="503"/>
    </row>
    <row r="14" spans="1:10" s="497" customFormat="1" ht="12">
      <c r="A14" s="494"/>
      <c r="B14" s="494"/>
      <c r="C14" s="494"/>
      <c r="D14" s="494"/>
      <c r="E14" s="504" t="s">
        <v>1289</v>
      </c>
      <c r="F14" s="504"/>
      <c r="G14" s="505"/>
      <c r="H14" s="505"/>
      <c r="I14" s="505"/>
      <c r="J14" s="505"/>
    </row>
    <row r="15" spans="1:10" s="497" customFormat="1" ht="12">
      <c r="A15" s="494"/>
      <c r="B15" s="494"/>
      <c r="C15" s="494"/>
      <c r="D15" s="494"/>
      <c r="E15" s="506"/>
      <c r="F15" s="506"/>
      <c r="G15" s="505"/>
      <c r="H15" s="505"/>
      <c r="I15" s="505"/>
      <c r="J15" s="505"/>
    </row>
    <row r="16" spans="1:10" s="497" customFormat="1" ht="12">
      <c r="A16" s="507" t="s">
        <v>1290</v>
      </c>
      <c r="G16" s="508"/>
      <c r="H16" s="509" t="s">
        <v>1291</v>
      </c>
      <c r="I16" s="509" t="s">
        <v>1292</v>
      </c>
      <c r="J16" s="508"/>
    </row>
    <row r="17" spans="1:10" ht="18" customHeight="1">
      <c r="A17" s="477" t="s">
        <v>1293</v>
      </c>
      <c r="B17" s="497"/>
      <c r="G17" s="510">
        <v>8</v>
      </c>
      <c r="H17" s="511">
        <f>'Revenues 10'!C11</f>
        <v>186622765.88</v>
      </c>
      <c r="I17" s="512">
        <v>9</v>
      </c>
      <c r="J17" s="513">
        <f>H17</f>
        <v>186622765.88</v>
      </c>
    </row>
    <row r="18" spans="1:10" ht="18" customHeight="1">
      <c r="A18" s="477" t="s">
        <v>1294</v>
      </c>
      <c r="G18" s="510">
        <v>10</v>
      </c>
      <c r="H18" s="511">
        <f>-(PL!C5+PL!C9+PL!C10+PL!C11+PL!C18)</f>
        <v>179508677.31333333</v>
      </c>
      <c r="I18" s="512">
        <v>11</v>
      </c>
      <c r="J18" s="511">
        <f>H18-J19</f>
        <v>179143037.31333333</v>
      </c>
    </row>
    <row r="19" spans="1:10" ht="18" customHeight="1">
      <c r="A19" s="514" t="s">
        <v>1295</v>
      </c>
      <c r="G19" s="510"/>
      <c r="H19" s="511"/>
      <c r="I19" s="510">
        <v>12</v>
      </c>
      <c r="J19" s="511">
        <v>365640</v>
      </c>
    </row>
    <row r="20" spans="1:10" ht="18" customHeight="1">
      <c r="A20" s="507" t="s">
        <v>1296</v>
      </c>
      <c r="G20" s="515"/>
      <c r="H20" s="516"/>
      <c r="I20" s="515"/>
      <c r="J20" s="516"/>
    </row>
    <row r="21" spans="1:10" ht="18" customHeight="1">
      <c r="A21" s="514" t="s">
        <v>1297</v>
      </c>
      <c r="G21" s="510">
        <v>13</v>
      </c>
      <c r="H21" s="511"/>
      <c r="I21" s="510">
        <v>14</v>
      </c>
      <c r="J21" s="511"/>
    </row>
    <row r="22" spans="1:10" ht="18" customHeight="1">
      <c r="A22" s="514" t="s">
        <v>1298</v>
      </c>
      <c r="G22" s="510">
        <v>15</v>
      </c>
      <c r="H22" s="511">
        <f>H17-H18</f>
        <v>7114088.5666666627</v>
      </c>
      <c r="I22" s="510">
        <v>16</v>
      </c>
      <c r="J22" s="511">
        <f>J17-J18</f>
        <v>7479728.5666666627</v>
      </c>
    </row>
    <row r="23" spans="1:10" ht="18" customHeight="1">
      <c r="A23" s="514" t="s">
        <v>1299</v>
      </c>
      <c r="I23" s="510">
        <v>17</v>
      </c>
      <c r="J23" s="511"/>
    </row>
    <row r="24" spans="1:10" ht="18" customHeight="1">
      <c r="A24" s="514" t="s">
        <v>1300</v>
      </c>
      <c r="G24" s="515"/>
      <c r="I24" s="510">
        <v>18</v>
      </c>
      <c r="J24" s="511"/>
    </row>
    <row r="25" spans="1:10" ht="18" customHeight="1">
      <c r="A25" s="514"/>
      <c r="G25" s="517" t="s">
        <v>1301</v>
      </c>
      <c r="J25" s="516"/>
    </row>
    <row r="26" spans="1:10" ht="18" customHeight="1">
      <c r="A26" s="514" t="s">
        <v>1302</v>
      </c>
      <c r="I26" s="510">
        <v>19</v>
      </c>
      <c r="J26" s="511">
        <f>0.1*J22</f>
        <v>747972.85666666634</v>
      </c>
    </row>
    <row r="27" spans="1:10" ht="18" customHeight="1">
      <c r="A27" s="514" t="s">
        <v>1303</v>
      </c>
      <c r="G27" s="515"/>
      <c r="I27" s="510">
        <v>20</v>
      </c>
      <c r="J27" s="518"/>
    </row>
    <row r="28" spans="1:10" ht="18" customHeight="1">
      <c r="A28" s="514" t="s">
        <v>1304</v>
      </c>
      <c r="G28" s="515"/>
      <c r="I28" s="510">
        <v>21</v>
      </c>
      <c r="J28" s="511">
        <f>J26</f>
        <v>747972.85666666634</v>
      </c>
    </row>
    <row r="29" spans="1:10" ht="18" customHeight="1">
      <c r="A29" s="514" t="s">
        <v>1305</v>
      </c>
      <c r="G29" s="510">
        <v>22</v>
      </c>
      <c r="H29" s="519"/>
      <c r="I29" s="515"/>
      <c r="J29" s="516"/>
    </row>
    <row r="30" spans="1:10" ht="18" customHeight="1">
      <c r="A30" s="514" t="s">
        <v>1306</v>
      </c>
      <c r="G30" s="478">
        <v>23</v>
      </c>
      <c r="H30" s="520">
        <f>'Tatim Fitimi 13'!C15</f>
        <v>783819</v>
      </c>
    </row>
    <row r="31" spans="1:10" ht="18" customHeight="1">
      <c r="A31" s="514" t="s">
        <v>1307</v>
      </c>
      <c r="G31" s="510">
        <v>24</v>
      </c>
      <c r="H31" s="511"/>
    </row>
    <row r="32" spans="1:10" ht="18" customHeight="1">
      <c r="A32" s="514" t="s">
        <v>1308</v>
      </c>
      <c r="I32" s="510">
        <v>25</v>
      </c>
      <c r="J32" s="511">
        <f>IF(J28&gt;=H30,ABS(J28-H30),0)</f>
        <v>0</v>
      </c>
    </row>
    <row r="33" spans="1:11" ht="18" customHeight="1">
      <c r="A33" s="514" t="s">
        <v>1309</v>
      </c>
      <c r="I33" s="510">
        <v>26</v>
      </c>
      <c r="J33" s="511"/>
    </row>
    <row r="34" spans="1:11" ht="18" customHeight="1">
      <c r="A34" s="514" t="s">
        <v>1310</v>
      </c>
      <c r="I34" s="510">
        <v>27</v>
      </c>
      <c r="J34" s="511">
        <f>J32+J33</f>
        <v>0</v>
      </c>
      <c r="K34" s="521"/>
    </row>
    <row r="35" spans="1:11" ht="18" customHeight="1">
      <c r="A35" s="477"/>
      <c r="J35" s="528"/>
    </row>
    <row r="36" spans="1:11" ht="18" customHeight="1">
      <c r="A36" s="472" t="s">
        <v>1311</v>
      </c>
    </row>
    <row r="37" spans="1:11" ht="8.25" customHeight="1"/>
    <row r="38" spans="1:11" ht="18" customHeight="1">
      <c r="A38" s="477" t="s">
        <v>1312</v>
      </c>
    </row>
    <row r="39" spans="1:11" ht="6" customHeight="1">
      <c r="A39" s="522"/>
      <c r="B39" s="522"/>
      <c r="C39" s="522"/>
      <c r="D39" s="522"/>
      <c r="E39" s="522"/>
      <c r="F39" s="522"/>
      <c r="G39" s="479"/>
      <c r="H39" s="479"/>
      <c r="I39" s="479"/>
      <c r="J39" s="479"/>
    </row>
    <row r="40" spans="1:11" ht="18" customHeight="1">
      <c r="A40" s="486"/>
      <c r="B40" s="486"/>
      <c r="C40" s="486"/>
      <c r="D40" s="486"/>
      <c r="E40" s="486"/>
      <c r="F40" s="477" t="s">
        <v>1313</v>
      </c>
      <c r="G40" s="482"/>
      <c r="H40" s="482"/>
      <c r="I40" s="482"/>
      <c r="J40" s="482"/>
    </row>
    <row r="41" spans="1:11" ht="18" customHeight="1">
      <c r="F41" s="477"/>
    </row>
    <row r="42" spans="1:11" ht="18" customHeight="1" thickBot="1">
      <c r="A42" s="477" t="s">
        <v>1314</v>
      </c>
    </row>
    <row r="43" spans="1:11" ht="18" customHeight="1" thickTop="1" thickBot="1">
      <c r="A43" s="523"/>
      <c r="B43" s="477" t="s">
        <v>1315</v>
      </c>
    </row>
    <row r="44" spans="1:11" ht="18" customHeight="1" thickTop="1" thickBot="1">
      <c r="A44" s="523"/>
      <c r="B44" s="477" t="s">
        <v>1316</v>
      </c>
    </row>
    <row r="45" spans="1:11" ht="18" customHeight="1" thickTop="1" thickBot="1">
      <c r="A45" s="523"/>
      <c r="B45" s="477" t="s">
        <v>1317</v>
      </c>
    </row>
    <row r="46" spans="1:11" ht="18.75" customHeight="1" thickTop="1" thickBot="1">
      <c r="A46" s="523"/>
      <c r="B46" s="477" t="s">
        <v>1318</v>
      </c>
      <c r="H46" s="515" t="s">
        <v>1319</v>
      </c>
      <c r="I46" s="524"/>
      <c r="J46" s="525"/>
    </row>
    <row r="47" spans="1:11" ht="18" customHeight="1" thickTop="1"/>
    <row r="48" spans="1:11" ht="18" customHeight="1">
      <c r="E48" s="526" t="s">
        <v>1320</v>
      </c>
      <c r="F48" s="526"/>
      <c r="G48" s="515"/>
      <c r="H48" s="515"/>
      <c r="I48" s="515"/>
      <c r="J48" s="515"/>
    </row>
    <row r="49" spans="6:10" ht="18" customHeight="1">
      <c r="F49" s="477"/>
      <c r="G49" s="527" t="s">
        <v>1321</v>
      </c>
      <c r="H49" s="515"/>
      <c r="I49" s="515"/>
      <c r="J49" s="515"/>
    </row>
  </sheetData>
  <mergeCells count="1">
    <mergeCell ref="C5:E5"/>
  </mergeCells>
  <pageMargins left="0.7" right="0.7" top="0.75" bottom="0.75" header="0.3" footer="0.3"/>
  <pageSetup paperSize="9" scale="8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3:F55"/>
  <sheetViews>
    <sheetView topLeftCell="A34" workbookViewId="0">
      <selection activeCell="M57" sqref="M57"/>
    </sheetView>
  </sheetViews>
  <sheetFormatPr defaultRowHeight="15"/>
  <cols>
    <col min="1" max="1" width="40.42578125" customWidth="1"/>
    <col min="2" max="2" width="10" style="50" customWidth="1"/>
    <col min="3" max="3" width="18.140625" style="263" customWidth="1"/>
    <col min="4" max="4" width="21.140625" style="263" customWidth="1"/>
    <col min="5" max="5" width="0" hidden="1" customWidth="1"/>
    <col min="6" max="6" width="11.5703125" hidden="1" customWidth="1"/>
    <col min="7" max="7" width="0" hidden="1" customWidth="1"/>
  </cols>
  <sheetData>
    <row r="3" spans="1:6" ht="14.1" customHeight="1" thickBot="1">
      <c r="A3" s="218" t="s">
        <v>1334</v>
      </c>
      <c r="B3" s="219"/>
      <c r="C3" s="447"/>
      <c r="D3" s="447"/>
      <c r="F3" t="s">
        <v>1268</v>
      </c>
    </row>
    <row r="4" spans="1:6" ht="14.1" customHeight="1" thickTop="1"/>
    <row r="5" spans="1:6" ht="13.5" customHeight="1">
      <c r="A5" s="2"/>
      <c r="B5" s="3" t="s">
        <v>0</v>
      </c>
      <c r="C5" s="448" t="s">
        <v>403</v>
      </c>
      <c r="D5" s="448" t="s">
        <v>38</v>
      </c>
    </row>
    <row r="6" spans="1:6" ht="14.1" customHeight="1">
      <c r="A6" s="5" t="s">
        <v>1</v>
      </c>
      <c r="B6" s="6"/>
      <c r="C6" s="449"/>
      <c r="D6" s="449"/>
    </row>
    <row r="7" spans="1:6" ht="14.1" customHeight="1">
      <c r="A7" s="2" t="s">
        <v>2</v>
      </c>
      <c r="B7" s="6"/>
      <c r="C7" s="450"/>
      <c r="D7" s="450"/>
    </row>
    <row r="8" spans="1:6" ht="14.1" customHeight="1">
      <c r="A8" s="9" t="s">
        <v>3</v>
      </c>
      <c r="B8" s="96">
        <v>4</v>
      </c>
      <c r="C8" s="451">
        <f>'Banka 4'!C14</f>
        <v>15098102.389999997</v>
      </c>
      <c r="D8" s="451">
        <v>1570022.1099999961</v>
      </c>
      <c r="F8" s="113">
        <f>C8-D8</f>
        <v>13528080.280000001</v>
      </c>
    </row>
    <row r="9" spans="1:6" ht="14.1" customHeight="1">
      <c r="A9" s="9" t="s">
        <v>4</v>
      </c>
      <c r="B9" s="96">
        <v>5</v>
      </c>
      <c r="C9" s="451">
        <f>'Receivables 5'!C5</f>
        <v>34883730.459999979</v>
      </c>
      <c r="D9" s="451">
        <v>6186098.8100000024</v>
      </c>
      <c r="F9" s="113">
        <f t="shared" ref="F9:F50" si="0">C9-D9</f>
        <v>28697631.649999976</v>
      </c>
    </row>
    <row r="10" spans="1:6" ht="14.1" customHeight="1">
      <c r="A10" s="9" t="s">
        <v>5</v>
      </c>
      <c r="B10" s="96">
        <v>6</v>
      </c>
      <c r="C10" s="451">
        <f>'Inventory 6'!C7</f>
        <v>13466998.400000006</v>
      </c>
      <c r="D10" s="451">
        <v>17548352.629999999</v>
      </c>
      <c r="F10" s="113">
        <f t="shared" si="0"/>
        <v>-4081354.229999993</v>
      </c>
    </row>
    <row r="11" spans="1:6" ht="14.1" customHeight="1">
      <c r="A11" s="9" t="s">
        <v>6</v>
      </c>
      <c r="B11" s="96">
        <v>9</v>
      </c>
      <c r="C11" s="451">
        <f>'Receivables 5'!C6+'Receivables 5'!C8+'Tatim Fitimi 13'!C16</f>
        <v>1641426.8566666665</v>
      </c>
      <c r="D11" s="451">
        <v>111287</v>
      </c>
      <c r="F11" s="113">
        <f t="shared" si="0"/>
        <v>1530139.8566666665</v>
      </c>
    </row>
    <row r="12" spans="1:6" ht="14.1" customHeight="1">
      <c r="A12" s="13" t="s">
        <v>7</v>
      </c>
      <c r="C12" s="451"/>
      <c r="D12" s="452"/>
      <c r="F12" s="113">
        <f t="shared" si="0"/>
        <v>0</v>
      </c>
    </row>
    <row r="13" spans="1:6" ht="14.1" customHeight="1" thickBot="1">
      <c r="A13" s="9" t="s">
        <v>8</v>
      </c>
      <c r="B13" s="96">
        <v>5</v>
      </c>
      <c r="C13" s="451">
        <f>'Receivables 5'!C10+'Receivables 5'!C12</f>
        <v>664618.53999999911</v>
      </c>
      <c r="D13" s="451">
        <v>2006277</v>
      </c>
      <c r="F13" s="113">
        <f t="shared" si="0"/>
        <v>-1341658.4600000009</v>
      </c>
    </row>
    <row r="14" spans="1:6" ht="14.1" customHeight="1" thickBot="1">
      <c r="A14" s="2" t="s">
        <v>10</v>
      </c>
      <c r="B14" s="6"/>
      <c r="C14" s="453">
        <f>SUM(C8:C13)</f>
        <v>65754876.646666653</v>
      </c>
      <c r="D14" s="453">
        <v>27422037.549999997</v>
      </c>
      <c r="F14" s="113">
        <f t="shared" si="0"/>
        <v>38332839.096666656</v>
      </c>
    </row>
    <row r="15" spans="1:6" ht="14.1" customHeight="1">
      <c r="A15" s="2"/>
      <c r="B15" s="6"/>
      <c r="C15" s="454"/>
      <c r="D15" s="451"/>
      <c r="F15" s="113">
        <f t="shared" si="0"/>
        <v>0</v>
      </c>
    </row>
    <row r="16" spans="1:6" ht="14.1" customHeight="1">
      <c r="A16" s="2" t="s">
        <v>11</v>
      </c>
      <c r="B16" s="6"/>
      <c r="C16" s="454"/>
      <c r="D16" s="451"/>
      <c r="F16" s="113">
        <f t="shared" si="0"/>
        <v>0</v>
      </c>
    </row>
    <row r="17" spans="1:6" ht="14.1" customHeight="1">
      <c r="A17" s="9" t="s">
        <v>12</v>
      </c>
      <c r="B17" s="6"/>
      <c r="C17" s="454"/>
      <c r="D17" s="451"/>
      <c r="F17" s="113">
        <f t="shared" si="0"/>
        <v>0</v>
      </c>
    </row>
    <row r="18" spans="1:6" ht="14.1" customHeight="1">
      <c r="A18" s="9" t="s">
        <v>363</v>
      </c>
      <c r="B18" s="96">
        <v>7</v>
      </c>
      <c r="C18" s="446">
        <f>'Assets 7'!K23</f>
        <v>4980028.2666666666</v>
      </c>
      <c r="D18" s="451">
        <v>282142.58999999997</v>
      </c>
      <c r="F18" s="113">
        <f t="shared" si="0"/>
        <v>4697885.6766666668</v>
      </c>
    </row>
    <row r="19" spans="1:6" ht="14.1" customHeight="1">
      <c r="A19" s="9" t="s">
        <v>13</v>
      </c>
      <c r="B19" s="6"/>
      <c r="C19" s="446">
        <f>'TB DBase'!N7</f>
        <v>7395510</v>
      </c>
      <c r="D19" s="451"/>
      <c r="F19" s="113">
        <f t="shared" si="0"/>
        <v>7395510</v>
      </c>
    </row>
    <row r="20" spans="1:6" ht="14.1" customHeight="1">
      <c r="A20" s="9" t="s">
        <v>14</v>
      </c>
      <c r="B20" s="6"/>
      <c r="C20" s="454"/>
      <c r="D20" s="451"/>
      <c r="F20" s="113">
        <f t="shared" si="0"/>
        <v>0</v>
      </c>
    </row>
    <row r="21" spans="1:6" ht="14.1" customHeight="1" thickBot="1">
      <c r="A21" s="9" t="s">
        <v>15</v>
      </c>
      <c r="B21" s="6"/>
      <c r="C21" s="454"/>
      <c r="D21" s="451"/>
      <c r="F21" s="113">
        <f t="shared" si="0"/>
        <v>0</v>
      </c>
    </row>
    <row r="22" spans="1:6" ht="14.1" customHeight="1" thickBot="1">
      <c r="A22" s="2" t="s">
        <v>16</v>
      </c>
      <c r="B22" s="6"/>
      <c r="C22" s="453">
        <f>SUM(C17:C21)</f>
        <v>12375538.266666666</v>
      </c>
      <c r="D22" s="453">
        <v>282142.58999999997</v>
      </c>
      <c r="F22" s="113">
        <f t="shared" si="0"/>
        <v>12093395.676666666</v>
      </c>
    </row>
    <row r="23" spans="1:6" ht="14.1" customHeight="1" thickBot="1">
      <c r="A23" s="2"/>
      <c r="B23" s="6"/>
      <c r="C23" s="455"/>
      <c r="D23" s="455"/>
      <c r="F23" s="113">
        <f t="shared" si="0"/>
        <v>0</v>
      </c>
    </row>
    <row r="24" spans="1:6" ht="14.1" customHeight="1" thickBot="1">
      <c r="A24" s="2" t="s">
        <v>17</v>
      </c>
      <c r="B24" s="6"/>
      <c r="C24" s="456">
        <f>C14+C22</f>
        <v>78130414.913333327</v>
      </c>
      <c r="D24" s="456">
        <v>27704180.139999997</v>
      </c>
      <c r="F24" s="113">
        <f t="shared" si="0"/>
        <v>50426234.773333326</v>
      </c>
    </row>
    <row r="25" spans="1:6" ht="14.1" customHeight="1" thickTop="1">
      <c r="A25" s="2"/>
      <c r="B25" s="6"/>
      <c r="C25" s="454" t="s">
        <v>9</v>
      </c>
      <c r="D25" s="451" t="s">
        <v>9</v>
      </c>
      <c r="F25" s="113"/>
    </row>
    <row r="26" spans="1:6" ht="14.1" customHeight="1">
      <c r="A26" s="5" t="s">
        <v>18</v>
      </c>
      <c r="B26" s="6"/>
      <c r="C26" s="454"/>
      <c r="D26" s="451"/>
      <c r="F26" s="113">
        <f t="shared" si="0"/>
        <v>0</v>
      </c>
    </row>
    <row r="27" spans="1:6" ht="14.1" customHeight="1">
      <c r="A27" s="2"/>
      <c r="B27" s="6"/>
      <c r="C27" s="457"/>
      <c r="D27" s="458"/>
      <c r="F27" s="113">
        <f t="shared" si="0"/>
        <v>0</v>
      </c>
    </row>
    <row r="28" spans="1:6" ht="14.1" customHeight="1">
      <c r="A28" s="2" t="s">
        <v>19</v>
      </c>
      <c r="B28" s="6"/>
      <c r="C28" s="454"/>
      <c r="D28" s="451"/>
      <c r="F28" s="113">
        <f t="shared" si="0"/>
        <v>0</v>
      </c>
    </row>
    <row r="29" spans="1:6" ht="14.1" customHeight="1">
      <c r="A29" s="9" t="s">
        <v>20</v>
      </c>
      <c r="B29" s="96">
        <v>8</v>
      </c>
      <c r="C29" s="451">
        <f>'Payables 9'!C13</f>
        <v>2794583.29</v>
      </c>
      <c r="D29" s="451">
        <v>10999999.51</v>
      </c>
      <c r="F29" s="113">
        <f t="shared" si="0"/>
        <v>-8205416.2199999997</v>
      </c>
    </row>
    <row r="30" spans="1:6" ht="14.1" customHeight="1">
      <c r="A30" s="9" t="s">
        <v>21</v>
      </c>
      <c r="B30" s="96">
        <v>9</v>
      </c>
      <c r="C30" s="451">
        <f>'Payables 9'!C5</f>
        <v>56642980.030000001</v>
      </c>
      <c r="D30" s="451">
        <v>6048313.2699999958</v>
      </c>
      <c r="F30" s="113">
        <f t="shared" si="0"/>
        <v>50594666.760000005</v>
      </c>
    </row>
    <row r="31" spans="1:6" ht="14.1" customHeight="1">
      <c r="A31" s="9" t="s">
        <v>22</v>
      </c>
      <c r="B31" s="96">
        <v>8</v>
      </c>
      <c r="C31" s="451">
        <f>'LT Loan 8'!C10</f>
        <v>4609643.29</v>
      </c>
      <c r="D31" s="451">
        <v>5385200</v>
      </c>
      <c r="F31" s="113">
        <f t="shared" si="0"/>
        <v>-775556.71</v>
      </c>
    </row>
    <row r="32" spans="1:6" ht="14.1" customHeight="1">
      <c r="A32" s="9" t="s">
        <v>23</v>
      </c>
      <c r="B32" s="6"/>
      <c r="C32" s="454"/>
      <c r="D32" s="459"/>
      <c r="F32" s="113">
        <f t="shared" si="0"/>
        <v>0</v>
      </c>
    </row>
    <row r="33" spans="1:6" ht="14.1" customHeight="1" thickBot="1">
      <c r="A33" s="9" t="s">
        <v>24</v>
      </c>
      <c r="B33" s="96">
        <v>8</v>
      </c>
      <c r="C33" s="451">
        <f>'Payables 9'!C10+'Payables 9'!C12</f>
        <v>73747</v>
      </c>
      <c r="D33" s="451">
        <v>508396.97800000024</v>
      </c>
      <c r="F33" s="113">
        <f t="shared" si="0"/>
        <v>-434649.97800000024</v>
      </c>
    </row>
    <row r="34" spans="1:6" ht="14.1" customHeight="1" thickBot="1">
      <c r="A34" s="2" t="s">
        <v>25</v>
      </c>
      <c r="B34" s="6"/>
      <c r="C34" s="453">
        <f>SUM(C29:C33)</f>
        <v>64120953.609999999</v>
      </c>
      <c r="D34" s="453">
        <v>22941909.757999994</v>
      </c>
      <c r="F34" s="113">
        <f t="shared" si="0"/>
        <v>41179043.852000006</v>
      </c>
    </row>
    <row r="35" spans="1:6" ht="14.1" customHeight="1">
      <c r="A35" s="2"/>
      <c r="B35" s="6"/>
      <c r="C35" s="451"/>
      <c r="D35" s="451"/>
      <c r="F35" s="113">
        <f t="shared" si="0"/>
        <v>0</v>
      </c>
    </row>
    <row r="36" spans="1:6" ht="14.1" customHeight="1">
      <c r="A36" s="2" t="s">
        <v>26</v>
      </c>
      <c r="B36" s="6"/>
      <c r="C36" s="451"/>
      <c r="D36" s="451"/>
      <c r="F36" s="113">
        <f t="shared" si="0"/>
        <v>0</v>
      </c>
    </row>
    <row r="37" spans="1:6" ht="14.1" customHeight="1">
      <c r="A37" s="9" t="s">
        <v>27</v>
      </c>
      <c r="B37" s="6"/>
      <c r="C37" s="451">
        <f>'LT Loan 8'!C9</f>
        <v>1385129.9</v>
      </c>
      <c r="D37" s="451"/>
      <c r="F37" s="113">
        <f t="shared" si="0"/>
        <v>1385129.9</v>
      </c>
    </row>
    <row r="38" spans="1:6" ht="14.1" customHeight="1">
      <c r="A38" s="9" t="s">
        <v>28</v>
      </c>
      <c r="B38" s="6"/>
      <c r="C38" s="451"/>
      <c r="D38" s="451"/>
      <c r="F38" s="113">
        <f t="shared" si="0"/>
        <v>0</v>
      </c>
    </row>
    <row r="39" spans="1:6" ht="14.1" customHeight="1" thickBot="1">
      <c r="A39" s="9" t="s">
        <v>29</v>
      </c>
      <c r="B39" s="6"/>
      <c r="C39" s="451"/>
      <c r="D39" s="451"/>
      <c r="F39" s="113">
        <f t="shared" si="0"/>
        <v>0</v>
      </c>
    </row>
    <row r="40" spans="1:6" ht="14.1" customHeight="1" thickBot="1">
      <c r="A40" s="2" t="s">
        <v>30</v>
      </c>
      <c r="B40" s="6"/>
      <c r="C40" s="453">
        <f>SUM(C37:C39)</f>
        <v>1385129.9</v>
      </c>
      <c r="D40" s="453">
        <v>0</v>
      </c>
      <c r="F40" s="113">
        <f t="shared" si="0"/>
        <v>1385129.9</v>
      </c>
    </row>
    <row r="41" spans="1:6" ht="14.1" customHeight="1" thickBot="1">
      <c r="A41" s="2" t="s">
        <v>31</v>
      </c>
      <c r="B41" s="6"/>
      <c r="C41" s="460">
        <f>C34+C40</f>
        <v>65506083.509999998</v>
      </c>
      <c r="D41" s="460">
        <v>22941909.757999994</v>
      </c>
      <c r="F41" s="113">
        <f t="shared" si="0"/>
        <v>42564173.752000004</v>
      </c>
    </row>
    <row r="42" spans="1:6" ht="14.1" customHeight="1">
      <c r="A42" s="2"/>
      <c r="B42" s="6"/>
      <c r="C42" s="454"/>
      <c r="D42" s="451"/>
      <c r="F42" s="113">
        <f t="shared" si="0"/>
        <v>0</v>
      </c>
    </row>
    <row r="43" spans="1:6" ht="14.1" customHeight="1">
      <c r="A43" s="2" t="s">
        <v>32</v>
      </c>
      <c r="B43" s="6"/>
      <c r="C43" s="454"/>
      <c r="D43" s="451"/>
      <c r="F43" s="113">
        <f t="shared" si="0"/>
        <v>0</v>
      </c>
    </row>
    <row r="44" spans="1:6" ht="14.1" customHeight="1">
      <c r="A44" s="9" t="s">
        <v>33</v>
      </c>
      <c r="B44" s="96"/>
      <c r="C44" s="451">
        <f>Capital!C15</f>
        <v>100000</v>
      </c>
      <c r="D44" s="451">
        <v>100000</v>
      </c>
      <c r="F44" s="113">
        <f t="shared" si="0"/>
        <v>0</v>
      </c>
    </row>
    <row r="45" spans="1:6" ht="14.1" customHeight="1">
      <c r="A45" s="9" t="s">
        <v>34</v>
      </c>
      <c r="B45" s="6"/>
      <c r="C45" s="454"/>
      <c r="D45" s="451"/>
      <c r="F45" s="113">
        <f t="shared" si="0"/>
        <v>0</v>
      </c>
    </row>
    <row r="46" spans="1:6" ht="14.1" customHeight="1" thickBot="1">
      <c r="A46" s="9" t="s">
        <v>35</v>
      </c>
      <c r="B46" s="96"/>
      <c r="C46" s="451">
        <f>PL!C25+D46</f>
        <v>12524332.423333328</v>
      </c>
      <c r="D46" s="451">
        <v>4662271</v>
      </c>
      <c r="F46" s="113">
        <f t="shared" si="0"/>
        <v>7862061.4233333282</v>
      </c>
    </row>
    <row r="47" spans="1:6" ht="14.1" customHeight="1" thickBot="1">
      <c r="A47" s="2" t="s">
        <v>36</v>
      </c>
      <c r="B47" s="6"/>
      <c r="C47" s="453">
        <f>SUM(C44:C46)</f>
        <v>12624332.423333328</v>
      </c>
      <c r="D47" s="453">
        <v>4762271</v>
      </c>
      <c r="F47" s="113">
        <f t="shared" si="0"/>
        <v>7862061.4233333282</v>
      </c>
    </row>
    <row r="48" spans="1:6" ht="14.1" customHeight="1" thickBot="1">
      <c r="A48" s="2"/>
      <c r="B48" s="6"/>
      <c r="C48" s="461"/>
      <c r="D48" s="455"/>
      <c r="F48" s="113">
        <f t="shared" si="0"/>
        <v>0</v>
      </c>
    </row>
    <row r="49" spans="1:6" ht="14.1" customHeight="1" thickBot="1">
      <c r="A49" s="2" t="s">
        <v>37</v>
      </c>
      <c r="B49" s="6"/>
      <c r="C49" s="456">
        <f>C47+C41-1</f>
        <v>78130414.933333322</v>
      </c>
      <c r="D49" s="456">
        <f>D47+D41-1</f>
        <v>27704179.757999994</v>
      </c>
      <c r="F49" s="113">
        <f t="shared" si="0"/>
        <v>50426235.175333329</v>
      </c>
    </row>
    <row r="50" spans="1:6" ht="12" customHeight="1" thickTop="1">
      <c r="C50" s="462"/>
      <c r="D50" s="463"/>
      <c r="F50" s="113">
        <f t="shared" si="0"/>
        <v>0</v>
      </c>
    </row>
    <row r="51" spans="1:6" ht="12" customHeight="1">
      <c r="F51" s="113"/>
    </row>
    <row r="52" spans="1:6">
      <c r="C52" s="464"/>
      <c r="D52" s="561"/>
      <c r="F52" s="113"/>
    </row>
    <row r="53" spans="1:6">
      <c r="C53" s="465"/>
      <c r="F53" s="113"/>
    </row>
    <row r="54" spans="1:6">
      <c r="C54" s="464"/>
      <c r="F54" s="113"/>
    </row>
    <row r="55" spans="1:6">
      <c r="D55" s="463"/>
    </row>
  </sheetData>
  <hyperlinks>
    <hyperlink ref="B8" location="Banka!A1" display="Banka!A1"/>
    <hyperlink ref="B9" location="Receivables!A1" display="Receivables!A1"/>
    <hyperlink ref="B10" location="Inventory!A1" display="Inventory!A1"/>
    <hyperlink ref="B11" location="Receivables!A1" display="Receivables!A1"/>
    <hyperlink ref="B18" location="Assets!A1" display="Assets!A1"/>
    <hyperlink ref="B30" location="'Payables 16'!A1" display="'Payables 16'!A1"/>
    <hyperlink ref="B13" location="Receivables!A1" display="Receivables!A1"/>
    <hyperlink ref="B29" location="'Payables 16'!A1" display="'Payables 16'!A1"/>
    <hyperlink ref="B31" location="'Loan 15'!A1" display="'Loan 15'!A1"/>
    <hyperlink ref="B33" location="'Payables 16'!A1" display="'Payables 16'!A1"/>
  </hyperlinks>
  <pageMargins left="0.7" right="0.7" top="0.75" bottom="0.75" header="0.3" footer="0.3"/>
  <pageSetup orientation="portrait" horizontalDpi="300" verticalDpi="300" r:id="rId1"/>
  <headerFooter>
    <oddHeader>&amp;LAEE shpk</oddHeader>
    <oddFooter>&amp;RPg.1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84"/>
  <sheetViews>
    <sheetView workbookViewId="0">
      <selection sqref="A1:XFD1048576"/>
    </sheetView>
  </sheetViews>
  <sheetFormatPr defaultRowHeight="12.75"/>
  <cols>
    <col min="1" max="10" width="9.140625" style="147"/>
    <col min="11" max="11" width="14.28515625" style="147" customWidth="1"/>
    <col min="12" max="16384" width="9.140625" style="147"/>
  </cols>
  <sheetData>
    <row r="1" spans="1:12" ht="18">
      <c r="A1" s="156"/>
    </row>
    <row r="2" spans="1:12" ht="15.75">
      <c r="A2" s="155"/>
    </row>
    <row r="3" spans="1:12">
      <c r="A3" s="149"/>
      <c r="B3" s="149"/>
      <c r="K3" s="149"/>
      <c r="L3" s="149"/>
    </row>
    <row r="4" spans="1:12">
      <c r="G4" s="153"/>
    </row>
    <row r="5" spans="1:12">
      <c r="A5" s="148"/>
      <c r="C5" s="148"/>
      <c r="G5" s="148"/>
      <c r="I5" s="148"/>
      <c r="K5" s="148"/>
    </row>
    <row r="6" spans="1:12">
      <c r="C6" s="154"/>
    </row>
    <row r="7" spans="1:12">
      <c r="A7" s="148"/>
      <c r="C7" s="148"/>
      <c r="I7" s="152"/>
      <c r="K7" s="148"/>
    </row>
    <row r="8" spans="1:12">
      <c r="A8" s="148"/>
      <c r="C8" s="148"/>
      <c r="I8" s="152"/>
      <c r="K8" s="148"/>
    </row>
    <row r="9" spans="1:12">
      <c r="A9" s="148"/>
      <c r="C9" s="148"/>
      <c r="I9" s="152"/>
      <c r="K9" s="148"/>
    </row>
    <row r="10" spans="1:12">
      <c r="A10" s="148"/>
      <c r="C10" s="148"/>
      <c r="I10" s="152"/>
      <c r="K10" s="148"/>
    </row>
    <row r="11" spans="1:12">
      <c r="A11" s="148"/>
      <c r="C11" s="148"/>
      <c r="I11" s="152"/>
      <c r="K11" s="148"/>
    </row>
    <row r="12" spans="1:12">
      <c r="A12" s="148"/>
      <c r="C12" s="148"/>
      <c r="I12" s="152"/>
      <c r="K12" s="148"/>
    </row>
    <row r="13" spans="1:12">
      <c r="A13" s="148"/>
      <c r="C13" s="148"/>
      <c r="I13" s="152"/>
      <c r="K13" s="148"/>
    </row>
    <row r="14" spans="1:12">
      <c r="A14" s="148"/>
      <c r="C14" s="148"/>
      <c r="I14" s="152"/>
      <c r="K14" s="148"/>
    </row>
    <row r="15" spans="1:12">
      <c r="A15" s="148"/>
      <c r="C15" s="148"/>
      <c r="I15" s="152"/>
      <c r="K15" s="148"/>
    </row>
    <row r="16" spans="1:12">
      <c r="A16" s="148"/>
      <c r="C16" s="148"/>
      <c r="I16" s="152"/>
      <c r="K16" s="148"/>
    </row>
    <row r="17" spans="1:11">
      <c r="A17" s="148"/>
      <c r="C17" s="148"/>
      <c r="I17" s="152"/>
      <c r="K17" s="148"/>
    </row>
    <row r="18" spans="1:11">
      <c r="A18" s="148"/>
      <c r="C18" s="148"/>
      <c r="I18" s="152"/>
      <c r="K18" s="148"/>
    </row>
    <row r="19" spans="1:11">
      <c r="A19" s="148"/>
      <c r="C19" s="148"/>
      <c r="I19" s="152"/>
      <c r="K19" s="148"/>
    </row>
    <row r="20" spans="1:11">
      <c r="A20" s="148"/>
      <c r="C20" s="148"/>
      <c r="I20" s="152"/>
      <c r="K20" s="148"/>
    </row>
    <row r="21" spans="1:11">
      <c r="A21" s="148"/>
      <c r="C21" s="148"/>
      <c r="I21" s="152"/>
      <c r="K21" s="148"/>
    </row>
    <row r="22" spans="1:11">
      <c r="A22" s="148"/>
      <c r="C22" s="148"/>
      <c r="I22" s="152"/>
      <c r="K22" s="148"/>
    </row>
    <row r="23" spans="1:11">
      <c r="A23" s="148"/>
      <c r="C23" s="148"/>
      <c r="I23" s="152"/>
      <c r="K23" s="148"/>
    </row>
    <row r="24" spans="1:11">
      <c r="A24" s="148"/>
      <c r="C24" s="148"/>
      <c r="I24" s="152"/>
      <c r="K24" s="148"/>
    </row>
    <row r="25" spans="1:11">
      <c r="A25" s="148"/>
      <c r="C25" s="148"/>
      <c r="I25" s="152"/>
      <c r="K25" s="148"/>
    </row>
    <row r="26" spans="1:11">
      <c r="A26" s="148"/>
      <c r="C26" s="148"/>
      <c r="G26" s="152"/>
      <c r="I26" s="148"/>
    </row>
    <row r="27" spans="1:11">
      <c r="A27" s="148"/>
      <c r="C27" s="148"/>
      <c r="I27" s="152"/>
      <c r="K27" s="148"/>
    </row>
    <row r="28" spans="1:11">
      <c r="A28" s="148"/>
      <c r="C28" s="148"/>
      <c r="I28" s="152"/>
      <c r="K28" s="148"/>
    </row>
    <row r="29" spans="1:11">
      <c r="A29" s="148"/>
      <c r="C29" s="148"/>
      <c r="I29" s="152"/>
      <c r="K29" s="148"/>
    </row>
    <row r="30" spans="1:11">
      <c r="A30" s="148"/>
      <c r="C30" s="148"/>
      <c r="G30" s="152"/>
      <c r="I30" s="148"/>
    </row>
    <row r="31" spans="1:11">
      <c r="A31" s="148"/>
      <c r="C31" s="148"/>
      <c r="I31" s="152"/>
      <c r="K31" s="148"/>
    </row>
    <row r="32" spans="1:11">
      <c r="A32" s="148"/>
      <c r="C32" s="148"/>
      <c r="I32" s="152"/>
      <c r="K32" s="148"/>
    </row>
    <row r="33" spans="1:11">
      <c r="A33" s="148"/>
      <c r="C33" s="148"/>
      <c r="I33" s="152"/>
      <c r="K33" s="148"/>
    </row>
    <row r="34" spans="1:11">
      <c r="A34" s="148"/>
      <c r="C34" s="148"/>
      <c r="I34" s="152"/>
      <c r="K34" s="148"/>
    </row>
    <row r="35" spans="1:11">
      <c r="A35" s="148"/>
      <c r="C35" s="148"/>
      <c r="I35" s="152"/>
      <c r="K35" s="148"/>
    </row>
    <row r="36" spans="1:11">
      <c r="A36" s="148"/>
      <c r="C36" s="148"/>
      <c r="I36" s="152"/>
      <c r="K36" s="148"/>
    </row>
    <row r="37" spans="1:11">
      <c r="A37" s="148"/>
      <c r="C37" s="148"/>
      <c r="G37" s="152"/>
      <c r="I37" s="148"/>
    </row>
    <row r="38" spans="1:11">
      <c r="A38" s="148"/>
      <c r="C38" s="148"/>
      <c r="I38" s="152"/>
      <c r="K38" s="148"/>
    </row>
    <row r="39" spans="1:11">
      <c r="A39" s="148"/>
      <c r="C39" s="148"/>
      <c r="I39" s="152"/>
      <c r="K39" s="148"/>
    </row>
    <row r="40" spans="1:11">
      <c r="A40" s="148"/>
      <c r="C40" s="148"/>
      <c r="I40" s="152"/>
      <c r="K40" s="148"/>
    </row>
    <row r="41" spans="1:11">
      <c r="A41" s="148"/>
      <c r="C41" s="148"/>
      <c r="I41" s="152"/>
      <c r="K41" s="148"/>
    </row>
    <row r="42" spans="1:11">
      <c r="A42" s="148"/>
      <c r="C42" s="148"/>
      <c r="I42" s="152"/>
      <c r="K42" s="148"/>
    </row>
    <row r="43" spans="1:11">
      <c r="A43" s="148"/>
      <c r="C43" s="148"/>
      <c r="I43" s="152"/>
      <c r="K43" s="148"/>
    </row>
    <row r="44" spans="1:11">
      <c r="A44" s="148"/>
      <c r="C44" s="148"/>
      <c r="I44" s="152"/>
      <c r="K44" s="148"/>
    </row>
    <row r="45" spans="1:11">
      <c r="A45" s="148"/>
      <c r="C45" s="148"/>
      <c r="I45" s="152"/>
      <c r="K45" s="148"/>
    </row>
    <row r="46" spans="1:11">
      <c r="A46" s="148"/>
      <c r="C46" s="148"/>
      <c r="I46" s="152"/>
      <c r="K46" s="148"/>
    </row>
    <row r="47" spans="1:11">
      <c r="A47" s="148"/>
      <c r="C47" s="148"/>
      <c r="I47" s="152"/>
      <c r="K47" s="148"/>
    </row>
    <row r="48" spans="1:11">
      <c r="A48" s="148"/>
      <c r="C48" s="148"/>
      <c r="I48" s="152"/>
      <c r="K48" s="148"/>
    </row>
    <row r="49" spans="1:12">
      <c r="A49" s="148"/>
      <c r="C49" s="148"/>
      <c r="G49" s="152"/>
      <c r="I49" s="148"/>
    </row>
    <row r="50" spans="1:12">
      <c r="A50" s="148"/>
      <c r="C50" s="148"/>
      <c r="I50" s="152"/>
      <c r="K50" s="148"/>
    </row>
    <row r="51" spans="1:12">
      <c r="A51" s="148"/>
      <c r="C51" s="148"/>
      <c r="G51" s="152"/>
      <c r="I51" s="148"/>
    </row>
    <row r="52" spans="1:12">
      <c r="A52" s="148"/>
      <c r="C52" s="148"/>
      <c r="I52" s="152"/>
      <c r="K52" s="148"/>
    </row>
    <row r="53" spans="1:12">
      <c r="A53" s="148"/>
      <c r="C53" s="148"/>
      <c r="I53" s="152"/>
      <c r="K53" s="148"/>
    </row>
    <row r="54" spans="1:12">
      <c r="A54" s="148"/>
      <c r="C54" s="148"/>
      <c r="I54" s="152"/>
      <c r="K54" s="148"/>
    </row>
    <row r="55" spans="1:12">
      <c r="A55" s="148"/>
      <c r="C55" s="148"/>
      <c r="G55" s="152"/>
      <c r="I55" s="148"/>
    </row>
    <row r="56" spans="1:12">
      <c r="A56" s="148"/>
      <c r="C56" s="148"/>
      <c r="I56" s="152"/>
      <c r="K56" s="148"/>
    </row>
    <row r="57" spans="1:12">
      <c r="G57" s="151"/>
      <c r="I57" s="151"/>
      <c r="K57" s="150"/>
    </row>
    <row r="58" spans="1:12">
      <c r="A58" s="154"/>
      <c r="C58" s="154"/>
    </row>
    <row r="59" spans="1:12">
      <c r="A59" s="148"/>
      <c r="C59" s="148"/>
      <c r="G59" s="152"/>
      <c r="I59" s="148"/>
      <c r="K59" s="150"/>
    </row>
    <row r="60" spans="1:12" ht="18">
      <c r="A60" s="156"/>
    </row>
    <row r="61" spans="1:12" ht="15.75">
      <c r="A61" s="155"/>
    </row>
    <row r="62" spans="1:12">
      <c r="A62" s="149"/>
      <c r="B62" s="149"/>
      <c r="K62" s="149"/>
      <c r="L62" s="149"/>
    </row>
    <row r="63" spans="1:12">
      <c r="G63" s="153"/>
    </row>
    <row r="64" spans="1:12">
      <c r="A64" s="148"/>
      <c r="C64" s="148"/>
      <c r="G64" s="148"/>
      <c r="I64" s="148"/>
      <c r="K64" s="148"/>
    </row>
    <row r="65" spans="1:11">
      <c r="A65" s="148"/>
      <c r="C65" s="148"/>
      <c r="G65" s="152"/>
      <c r="I65" s="148"/>
      <c r="K65" s="150"/>
    </row>
    <row r="66" spans="1:11">
      <c r="A66" s="148"/>
      <c r="C66" s="148"/>
      <c r="G66" s="152"/>
      <c r="I66" s="148"/>
      <c r="K66" s="150"/>
    </row>
    <row r="67" spans="1:11">
      <c r="A67" s="148"/>
      <c r="C67" s="148"/>
      <c r="K67" s="150"/>
    </row>
    <row r="68" spans="1:11">
      <c r="A68" s="148"/>
      <c r="C68" s="148"/>
      <c r="I68" s="152"/>
      <c r="K68" s="148"/>
    </row>
    <row r="69" spans="1:11">
      <c r="A69" s="148"/>
      <c r="C69" s="148"/>
      <c r="G69" s="152"/>
      <c r="I69" s="148"/>
      <c r="K69" s="150"/>
    </row>
    <row r="70" spans="1:11">
      <c r="A70" s="148"/>
      <c r="C70" s="148"/>
      <c r="K70" s="150"/>
    </row>
    <row r="71" spans="1:11">
      <c r="A71" s="148"/>
      <c r="C71" s="148"/>
      <c r="K71" s="150"/>
    </row>
    <row r="72" spans="1:11">
      <c r="A72" s="148"/>
      <c r="C72" s="148"/>
      <c r="K72" s="150"/>
    </row>
    <row r="73" spans="1:11">
      <c r="A73" s="148"/>
      <c r="C73" s="148"/>
      <c r="G73" s="152"/>
      <c r="I73" s="148"/>
      <c r="K73" s="150"/>
    </row>
    <row r="74" spans="1:11">
      <c r="A74" s="148"/>
      <c r="C74" s="148"/>
      <c r="I74" s="152"/>
      <c r="K74" s="148"/>
    </row>
    <row r="75" spans="1:11">
      <c r="A75" s="148"/>
      <c r="C75" s="148"/>
      <c r="G75" s="152"/>
      <c r="I75" s="148"/>
      <c r="K75" s="150"/>
    </row>
    <row r="76" spans="1:11">
      <c r="F76" s="153"/>
      <c r="G76" s="151"/>
      <c r="I76" s="151"/>
      <c r="K76" s="150"/>
    </row>
    <row r="77" spans="1:11">
      <c r="A77" s="154"/>
      <c r="C77" s="154"/>
    </row>
    <row r="78" spans="1:11">
      <c r="A78" s="148"/>
      <c r="C78" s="148"/>
      <c r="K78" s="150"/>
    </row>
    <row r="79" spans="1:11">
      <c r="F79" s="153"/>
      <c r="G79" s="151"/>
      <c r="I79" s="151"/>
      <c r="K79" s="150"/>
    </row>
    <row r="80" spans="1:11">
      <c r="A80" s="154"/>
      <c r="C80" s="154"/>
    </row>
    <row r="81" spans="1:11">
      <c r="A81" s="148"/>
      <c r="C81" s="148"/>
      <c r="G81" s="152"/>
      <c r="I81" s="148"/>
      <c r="K81" s="150"/>
    </row>
    <row r="82" spans="1:11">
      <c r="A82" s="148"/>
      <c r="C82" s="148"/>
      <c r="I82" s="152"/>
      <c r="K82" s="148"/>
    </row>
    <row r="83" spans="1:11">
      <c r="F83" s="153"/>
      <c r="G83" s="151"/>
      <c r="I83" s="151"/>
      <c r="K83" s="150"/>
    </row>
    <row r="84" spans="1:11">
      <c r="K84" s="150"/>
    </row>
  </sheetData>
  <pageMargins left="0.75" right="0.75" top="1" bottom="1" header="0.5" footer="0.5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1"/>
  <sheetViews>
    <sheetView zoomScale="85" zoomScaleNormal="85" workbookViewId="0">
      <selection activeCell="M57" sqref="M57"/>
    </sheetView>
  </sheetViews>
  <sheetFormatPr defaultRowHeight="15"/>
  <cols>
    <col min="1" max="1" width="52.28515625" customWidth="1"/>
    <col min="2" max="2" width="9" customWidth="1"/>
    <col min="3" max="3" width="18.85546875" customWidth="1"/>
    <col min="4" max="4" width="20.140625" customWidth="1"/>
    <col min="7" max="7" width="16" customWidth="1"/>
  </cols>
  <sheetData>
    <row r="1" spans="1:4" ht="15" customHeight="1" thickBot="1">
      <c r="A1" s="218" t="s">
        <v>405</v>
      </c>
      <c r="B1" s="220"/>
      <c r="C1" s="220"/>
      <c r="D1" s="220"/>
    </row>
    <row r="2" spans="1:4" ht="15" customHeight="1" thickTop="1">
      <c r="A2" s="221"/>
      <c r="B2" s="116"/>
      <c r="C2" s="116"/>
      <c r="D2" s="116"/>
    </row>
    <row r="3" spans="1:4" ht="15" customHeight="1">
      <c r="A3" s="3"/>
      <c r="B3" s="3" t="s">
        <v>0</v>
      </c>
      <c r="C3" s="4" t="s">
        <v>403</v>
      </c>
      <c r="D3" s="4" t="s">
        <v>38</v>
      </c>
    </row>
    <row r="4" spans="1:4" ht="15" customHeight="1">
      <c r="A4" s="9" t="s">
        <v>44</v>
      </c>
      <c r="B4" s="96">
        <v>10</v>
      </c>
      <c r="C4" s="11">
        <f>'Revenues 10'!C7+'Revenues 10'!C8</f>
        <v>186621976.78</v>
      </c>
      <c r="D4" s="11">
        <v>42903631.5</v>
      </c>
    </row>
    <row r="5" spans="1:4" ht="15" customHeight="1" thickBot="1">
      <c r="A5" s="9" t="s">
        <v>45</v>
      </c>
      <c r="B5" s="96">
        <v>11</v>
      </c>
      <c r="C5" s="105">
        <f>-'COGS 11'!C13</f>
        <v>-175896405.68000001</v>
      </c>
      <c r="D5" s="105">
        <v>-31844705.639999997</v>
      </c>
    </row>
    <row r="6" spans="1:4" ht="15" customHeight="1" thickBot="1">
      <c r="A6" s="2" t="s">
        <v>46</v>
      </c>
      <c r="B6" s="3"/>
      <c r="C6" s="14">
        <f>SUM(C4:C5)</f>
        <v>10725571.099999994</v>
      </c>
      <c r="D6" s="14">
        <v>11058925.860000003</v>
      </c>
    </row>
    <row r="7" spans="1:4" ht="15" customHeight="1">
      <c r="A7" s="9"/>
      <c r="B7" s="6"/>
      <c r="C7" s="8"/>
      <c r="D7" s="8"/>
    </row>
    <row r="8" spans="1:4" ht="15" customHeight="1">
      <c r="A8" s="9" t="s">
        <v>47</v>
      </c>
      <c r="B8" s="96"/>
      <c r="C8" s="11"/>
    </row>
    <row r="9" spans="1:4" ht="15" customHeight="1">
      <c r="A9" s="9" t="s">
        <v>48</v>
      </c>
      <c r="B9" s="96">
        <v>12</v>
      </c>
      <c r="C9" s="106">
        <f>-'COGS 11'!C16</f>
        <v>-487032.50999999995</v>
      </c>
      <c r="D9" s="106">
        <v>-1713878.65</v>
      </c>
    </row>
    <row r="10" spans="1:4" ht="15" customHeight="1">
      <c r="A10" s="9" t="s">
        <v>49</v>
      </c>
      <c r="B10" s="6"/>
      <c r="C10" s="106">
        <f>-'Assets 7'!K18</f>
        <v>-383467.88333333336</v>
      </c>
      <c r="D10" s="8">
        <v>-73595</v>
      </c>
    </row>
    <row r="11" spans="1:4" ht="15" customHeight="1" thickBot="1">
      <c r="A11" s="9" t="s">
        <v>50</v>
      </c>
      <c r="B11" s="96">
        <v>11</v>
      </c>
      <c r="C11" s="105">
        <f>-('COGS 11'!C17+'COGS 11'!C18)</f>
        <v>-819129.33</v>
      </c>
      <c r="D11" s="105">
        <v>-4241802.5</v>
      </c>
    </row>
    <row r="12" spans="1:4" ht="15" customHeight="1" thickBot="1">
      <c r="A12" s="2" t="s">
        <v>51</v>
      </c>
      <c r="B12" s="3"/>
      <c r="C12" s="14">
        <f>SUM(C6:C11)</f>
        <v>9035941.3766666614</v>
      </c>
      <c r="D12" s="14">
        <v>5029649.7100000028</v>
      </c>
    </row>
    <row r="13" spans="1:4" ht="15" customHeight="1">
      <c r="A13" s="13"/>
      <c r="B13" s="6"/>
      <c r="C13" s="8"/>
      <c r="D13" s="8"/>
    </row>
    <row r="14" spans="1:4" ht="15" customHeight="1">
      <c r="A14" s="9" t="s">
        <v>52</v>
      </c>
      <c r="B14" s="6"/>
      <c r="C14" s="8"/>
      <c r="D14" s="8"/>
    </row>
    <row r="15" spans="1:4" ht="15" customHeight="1">
      <c r="A15" s="9" t="s">
        <v>53</v>
      </c>
      <c r="B15" s="6"/>
      <c r="C15" s="8"/>
      <c r="D15" s="8"/>
    </row>
    <row r="16" spans="1:4" ht="15" customHeight="1">
      <c r="A16" s="9" t="s">
        <v>54</v>
      </c>
      <c r="B16" s="6"/>
      <c r="C16" s="8"/>
      <c r="D16" s="8"/>
    </row>
    <row r="17" spans="1:4" ht="15" customHeight="1">
      <c r="A17" s="28" t="s">
        <v>55</v>
      </c>
      <c r="B17" s="6"/>
      <c r="C17" s="8"/>
      <c r="D17" s="8"/>
    </row>
    <row r="18" spans="1:4" ht="15" customHeight="1">
      <c r="A18" s="28" t="s">
        <v>56</v>
      </c>
      <c r="B18" s="96">
        <v>11</v>
      </c>
      <c r="C18" s="106">
        <f>-'COGS 11'!C19</f>
        <v>-1922641.9100000001</v>
      </c>
      <c r="D18" s="106">
        <v>-484086.53</v>
      </c>
    </row>
    <row r="19" spans="1:4" ht="15" customHeight="1">
      <c r="A19" s="28" t="s">
        <v>57</v>
      </c>
      <c r="B19" s="6"/>
      <c r="C19" s="11"/>
      <c r="D19" s="8"/>
    </row>
    <row r="20" spans="1:4" ht="15" customHeight="1" thickBot="1">
      <c r="A20" s="28" t="s">
        <v>58</v>
      </c>
      <c r="B20" s="96">
        <v>10</v>
      </c>
      <c r="C20" s="11">
        <f>'Revenues 10'!C9</f>
        <v>789.1</v>
      </c>
      <c r="D20" s="8">
        <v>2346.6</v>
      </c>
    </row>
    <row r="21" spans="1:4" ht="27" customHeight="1" thickBot="1">
      <c r="A21" s="30" t="s">
        <v>59</v>
      </c>
      <c r="B21" s="6"/>
      <c r="C21" s="14">
        <f>SUM(C12:C20)</f>
        <v>7114088.5666666608</v>
      </c>
      <c r="D21" s="14">
        <v>4547909.7800000021</v>
      </c>
    </row>
    <row r="22" spans="1:4" ht="15" customHeight="1">
      <c r="A22" s="31"/>
      <c r="B22" s="6"/>
      <c r="C22" s="8"/>
      <c r="D22" s="8"/>
    </row>
    <row r="23" spans="1:4" ht="15" customHeight="1">
      <c r="A23" s="2" t="s">
        <v>60</v>
      </c>
      <c r="B23" s="3"/>
      <c r="C23" s="27"/>
    </row>
    <row r="24" spans="1:4" ht="15" customHeight="1" thickBot="1">
      <c r="A24" s="9" t="s">
        <v>61</v>
      </c>
      <c r="B24" s="96">
        <v>13</v>
      </c>
      <c r="C24" s="106">
        <f>'Fdp tatim 11'!J28</f>
        <v>747972.85666666634</v>
      </c>
      <c r="D24" s="106">
        <v>-454790.97800000024</v>
      </c>
    </row>
    <row r="25" spans="1:4" ht="15" customHeight="1" thickBot="1">
      <c r="A25" s="2" t="s">
        <v>62</v>
      </c>
      <c r="B25" s="32"/>
      <c r="C25" s="14">
        <f>SUM(C21:C24)</f>
        <v>7862061.4233333273</v>
      </c>
      <c r="D25" s="14">
        <v>4093118.802000002</v>
      </c>
    </row>
    <row r="28" spans="1:4">
      <c r="C28" s="61"/>
      <c r="D28" s="560"/>
    </row>
    <row r="29" spans="1:4">
      <c r="C29" s="61"/>
      <c r="D29" s="225"/>
    </row>
    <row r="30" spans="1:4">
      <c r="C30" s="444"/>
    </row>
    <row r="31" spans="1:4">
      <c r="C31" s="135"/>
    </row>
  </sheetData>
  <hyperlinks>
    <hyperlink ref="B4" location="Revenues!A1" display="Revenues!A1"/>
    <hyperlink ref="B5" location="Expenses!A1" display="Expenses!A1"/>
    <hyperlink ref="B9" location="Expenses!A1" display="Expenses!A1"/>
    <hyperlink ref="B11" location="Expenses!A1" display="Expenses!A1"/>
    <hyperlink ref="B18" location="Expenses!A1" display="Expenses!A1"/>
    <hyperlink ref="B20" location="Revenues!A1" display="Revenues!A1"/>
    <hyperlink ref="B24" location="'Tatim Fitimi'!A1" display="'Tatim Fitimi'!A1"/>
  </hyperlinks>
  <pageMargins left="0.7" right="0.7" top="0.75" bottom="0.75" header="0.3" footer="0.3"/>
  <pageSetup paperSize="9" scale="87" orientation="portrait" r:id="rId1"/>
  <headerFooter>
    <oddHeader>&amp;LAEE shpk</oddHeader>
    <oddFooter>&amp;RPg. 2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45"/>
  <sheetViews>
    <sheetView topLeftCell="A25" zoomScale="85" zoomScaleNormal="85" workbookViewId="0">
      <selection activeCell="M57" sqref="M57"/>
    </sheetView>
  </sheetViews>
  <sheetFormatPr defaultRowHeight="15"/>
  <cols>
    <col min="1" max="1" width="2.140625" customWidth="1"/>
    <col min="2" max="2" width="52.42578125" customWidth="1"/>
    <col min="3" max="3" width="9.7109375" customWidth="1"/>
    <col min="4" max="4" width="15" customWidth="1"/>
    <col min="5" max="5" width="15.85546875" customWidth="1"/>
  </cols>
  <sheetData>
    <row r="1" spans="1:8" ht="15.75" thickBot="1">
      <c r="A1" s="220"/>
      <c r="B1" s="218" t="s">
        <v>364</v>
      </c>
      <c r="C1" s="220"/>
      <c r="D1" s="220"/>
      <c r="E1" s="220"/>
    </row>
    <row r="2" spans="1:8" ht="16.5" thickTop="1" thickBot="1"/>
    <row r="3" spans="1:8" ht="19.5" customHeight="1" thickTop="1" thickBot="1">
      <c r="B3" s="3" t="s">
        <v>155</v>
      </c>
      <c r="C3" s="3" t="s">
        <v>0</v>
      </c>
      <c r="D3" s="19" t="s">
        <v>403</v>
      </c>
      <c r="E3" s="19" t="s">
        <v>38</v>
      </c>
    </row>
    <row r="4" spans="1:8" ht="19.5" customHeight="1">
      <c r="A4" s="44" t="s">
        <v>73</v>
      </c>
      <c r="C4" s="45"/>
      <c r="D4" s="33"/>
      <c r="E4" s="33"/>
    </row>
    <row r="5" spans="1:8" ht="19.5" customHeight="1">
      <c r="A5" s="115" t="s">
        <v>153</v>
      </c>
      <c r="C5" s="445">
        <v>13</v>
      </c>
      <c r="D5" s="41">
        <f>PL!C21</f>
        <v>7114088.5666666608</v>
      </c>
      <c r="E5" s="41">
        <v>4547909.7800000021</v>
      </c>
    </row>
    <row r="6" spans="1:8" ht="19.5" customHeight="1">
      <c r="A6" s="44" t="s">
        <v>74</v>
      </c>
      <c r="C6" s="47"/>
      <c r="D6" s="41"/>
      <c r="E6" s="41"/>
    </row>
    <row r="7" spans="1:8" ht="19.5" customHeight="1">
      <c r="B7" s="183" t="s">
        <v>75</v>
      </c>
      <c r="C7" s="445">
        <v>7</v>
      </c>
      <c r="D7" s="41">
        <f>-PL!C10</f>
        <v>383467.88333333336</v>
      </c>
      <c r="E7" s="41">
        <v>73595</v>
      </c>
      <c r="H7" s="46"/>
    </row>
    <row r="8" spans="1:8" ht="19.5" customHeight="1">
      <c r="B8" s="183" t="s">
        <v>76</v>
      </c>
      <c r="C8" s="47"/>
      <c r="D8" s="114">
        <f>'Tatim Fitimi 13'!C15</f>
        <v>783819</v>
      </c>
      <c r="E8" s="114"/>
    </row>
    <row r="9" spans="1:8" ht="19.5" customHeight="1">
      <c r="B9" s="183" t="s">
        <v>77</v>
      </c>
      <c r="C9" s="47"/>
      <c r="D9" s="41">
        <v>-20728</v>
      </c>
      <c r="E9" s="114">
        <v>-2346.6</v>
      </c>
    </row>
    <row r="10" spans="1:8" ht="19.5" customHeight="1" thickBot="1">
      <c r="B10" s="183" t="s">
        <v>78</v>
      </c>
      <c r="C10" s="445">
        <v>11</v>
      </c>
      <c r="D10" s="38">
        <f>-PL!C18</f>
        <v>1922641.9100000001</v>
      </c>
      <c r="E10" s="112">
        <v>484086.53</v>
      </c>
    </row>
    <row r="11" spans="1:8" ht="19.5" customHeight="1">
      <c r="B11" s="183" t="s">
        <v>79</v>
      </c>
      <c r="C11" s="96">
        <v>5</v>
      </c>
      <c r="D11" s="41">
        <f>-BS!F9</f>
        <v>-28697631.649999976</v>
      </c>
      <c r="E11" s="41">
        <v>-3073095</v>
      </c>
      <c r="G11" s="113"/>
    </row>
    <row r="12" spans="1:8" ht="19.5" customHeight="1">
      <c r="B12" s="183" t="s">
        <v>80</v>
      </c>
      <c r="C12" s="48">
        <v>8</v>
      </c>
      <c r="D12" s="41">
        <f>-'Assets 7'!K11</f>
        <v>-5081354.1500000004</v>
      </c>
      <c r="E12" s="41">
        <v>-202781</v>
      </c>
    </row>
    <row r="13" spans="1:8" ht="19.5" customHeight="1">
      <c r="B13" s="183" t="s">
        <v>81</v>
      </c>
      <c r="C13" s="47">
        <v>10</v>
      </c>
      <c r="D13" s="41">
        <f>-'COGS 11'!C12</f>
        <v>-4081354.6000000089</v>
      </c>
      <c r="E13" s="41">
        <v>-9880652.6100000031</v>
      </c>
    </row>
    <row r="14" spans="1:8" ht="19.5" customHeight="1">
      <c r="B14" s="183" t="s">
        <v>371</v>
      </c>
      <c r="C14" s="47" t="s">
        <v>402</v>
      </c>
      <c r="D14" s="41"/>
      <c r="E14" s="41">
        <v>-156716</v>
      </c>
    </row>
    <row r="15" spans="1:8" ht="19.5" customHeight="1">
      <c r="B15" s="183" t="s">
        <v>82</v>
      </c>
      <c r="C15" s="47"/>
      <c r="D15" s="41"/>
      <c r="E15" s="41"/>
    </row>
    <row r="16" spans="1:8" ht="19.5" customHeight="1">
      <c r="B16" s="183" t="s">
        <v>365</v>
      </c>
      <c r="C16" s="47">
        <v>8</v>
      </c>
      <c r="D16" s="41">
        <f>'Payables 9'!G12</f>
        <v>50160016.782000005</v>
      </c>
      <c r="E16" s="41">
        <v>7333018</v>
      </c>
    </row>
    <row r="17" spans="1:5" ht="19.5" customHeight="1" thickBot="1">
      <c r="B17" s="183" t="s">
        <v>366</v>
      </c>
      <c r="C17" s="47"/>
      <c r="D17" s="38"/>
      <c r="E17" s="38"/>
    </row>
    <row r="18" spans="1:5" ht="19.5" customHeight="1">
      <c r="A18" s="44" t="s">
        <v>83</v>
      </c>
      <c r="C18" s="47"/>
      <c r="D18" s="40">
        <f>SUM(D5:D17)</f>
        <v>22482965.742000014</v>
      </c>
      <c r="E18" s="40">
        <f>SUM(E5:E17)</f>
        <v>-876981.90000000037</v>
      </c>
    </row>
    <row r="19" spans="1:5" ht="19.5" customHeight="1">
      <c r="B19" s="183" t="s">
        <v>84</v>
      </c>
      <c r="C19" s="47"/>
      <c r="D19" s="41"/>
      <c r="E19" s="29"/>
    </row>
    <row r="20" spans="1:5" ht="19.5" customHeight="1" thickBot="1">
      <c r="B20" s="183" t="s">
        <v>85</v>
      </c>
      <c r="C20" s="47">
        <v>13</v>
      </c>
      <c r="D20" s="41">
        <f>-'Tatim Fitimi 13'!C15</f>
        <v>-783819</v>
      </c>
      <c r="E20" s="41">
        <v>-476761</v>
      </c>
    </row>
    <row r="21" spans="1:5" ht="19.5" customHeight="1" thickBot="1">
      <c r="A21" s="44" t="s">
        <v>86</v>
      </c>
      <c r="C21" s="47"/>
      <c r="D21" s="42">
        <f>SUM(D18:D20)</f>
        <v>21699146.742000014</v>
      </c>
      <c r="E21" s="42">
        <f>SUM(E18:E20)</f>
        <v>-1353742.9000000004</v>
      </c>
    </row>
    <row r="22" spans="1:5" ht="19.5" customHeight="1">
      <c r="B22" s="13" t="s">
        <v>87</v>
      </c>
      <c r="C22" s="47"/>
      <c r="D22" s="29"/>
      <c r="E22" s="29"/>
    </row>
    <row r="23" spans="1:5" ht="19.5" customHeight="1">
      <c r="A23" s="44" t="s">
        <v>88</v>
      </c>
      <c r="C23" s="45"/>
      <c r="D23" s="33"/>
      <c r="E23" s="33"/>
    </row>
    <row r="24" spans="1:5" ht="19.5" customHeight="1">
      <c r="B24" s="183" t="s">
        <v>372</v>
      </c>
      <c r="C24" s="45"/>
      <c r="D24" s="41"/>
      <c r="E24" s="29"/>
    </row>
    <row r="25" spans="1:5" ht="19.5" customHeight="1">
      <c r="B25" s="183" t="s">
        <v>373</v>
      </c>
      <c r="C25" s="47"/>
      <c r="D25" s="41"/>
      <c r="E25" s="41"/>
    </row>
    <row r="26" spans="1:5" ht="19.5" customHeight="1">
      <c r="B26" s="183" t="s">
        <v>374</v>
      </c>
      <c r="C26" s="47"/>
      <c r="D26" s="41">
        <f>-BS!C19</f>
        <v>-7395510</v>
      </c>
      <c r="E26" s="41"/>
    </row>
    <row r="27" spans="1:5" ht="19.5" customHeight="1">
      <c r="B27" s="183" t="s">
        <v>375</v>
      </c>
      <c r="C27" s="47"/>
      <c r="D27" s="29"/>
      <c r="E27" s="41"/>
    </row>
    <row r="28" spans="1:5" ht="19.5" customHeight="1">
      <c r="B28" s="183" t="s">
        <v>376</v>
      </c>
      <c r="C28" s="47"/>
      <c r="D28" s="41"/>
      <c r="E28" s="41"/>
    </row>
    <row r="29" spans="1:5" ht="19.5" customHeight="1" thickBot="1">
      <c r="B29" s="183" t="s">
        <v>377</v>
      </c>
      <c r="C29" s="47"/>
      <c r="D29" s="41"/>
      <c r="E29" s="29"/>
    </row>
    <row r="30" spans="1:5" ht="19.5" customHeight="1" thickBot="1">
      <c r="A30" s="44" t="s">
        <v>89</v>
      </c>
      <c r="C30" s="47"/>
      <c r="D30" s="42">
        <f>SUM(D24:D29)</f>
        <v>-7395510</v>
      </c>
      <c r="E30" s="567">
        <v>0</v>
      </c>
    </row>
    <row r="31" spans="1:5" ht="19.5" customHeight="1">
      <c r="B31" s="13"/>
      <c r="C31" s="47"/>
      <c r="D31" s="29"/>
      <c r="E31" s="29"/>
    </row>
    <row r="32" spans="1:5" ht="19.5" customHeight="1">
      <c r="A32" s="44" t="s">
        <v>90</v>
      </c>
      <c r="C32" s="45"/>
      <c r="D32" s="33"/>
      <c r="E32" s="33"/>
    </row>
    <row r="33" spans="1:6" ht="19.5" customHeight="1">
      <c r="B33" s="13" t="s">
        <v>367</v>
      </c>
      <c r="C33" s="47"/>
      <c r="D33" s="41"/>
      <c r="E33" s="41"/>
    </row>
    <row r="34" spans="1:6" ht="19.5" customHeight="1">
      <c r="B34" s="13" t="s">
        <v>368</v>
      </c>
      <c r="C34" s="47"/>
      <c r="D34" s="41"/>
      <c r="E34" s="102">
        <v>100000</v>
      </c>
    </row>
    <row r="35" spans="1:6" ht="19.5" customHeight="1">
      <c r="B35" s="13" t="s">
        <v>369</v>
      </c>
      <c r="C35" s="47">
        <v>7</v>
      </c>
      <c r="D35" s="41">
        <f>'LT Loan 8'!H10</f>
        <v>-775556.71</v>
      </c>
      <c r="E35" s="102">
        <v>3385200</v>
      </c>
    </row>
    <row r="36" spans="1:6" ht="19.5" customHeight="1" thickBot="1">
      <c r="B36" s="13" t="s">
        <v>370</v>
      </c>
      <c r="C36" s="47"/>
      <c r="D36" s="41"/>
      <c r="E36" s="102"/>
    </row>
    <row r="37" spans="1:6" ht="19.5" customHeight="1" thickBot="1">
      <c r="A37" s="44" t="s">
        <v>91</v>
      </c>
      <c r="C37" s="47"/>
      <c r="D37" s="42">
        <f>SUM(D33:D36)</f>
        <v>-775556.71</v>
      </c>
      <c r="E37" s="42">
        <f>SUM(E33:E36)</f>
        <v>3485200</v>
      </c>
    </row>
    <row r="38" spans="1:6" ht="19.5" customHeight="1">
      <c r="A38" s="13"/>
      <c r="C38" s="47"/>
      <c r="D38" s="29"/>
      <c r="E38" s="29"/>
    </row>
    <row r="39" spans="1:6" ht="19.5" customHeight="1">
      <c r="A39" s="44" t="s">
        <v>92</v>
      </c>
      <c r="C39" s="47"/>
      <c r="D39" s="40">
        <f>D37+D30+D21</f>
        <v>13528080.032000013</v>
      </c>
      <c r="E39" s="40">
        <f>E37+E30+E21</f>
        <v>2131457.0999999996</v>
      </c>
      <c r="F39" s="10"/>
    </row>
    <row r="40" spans="1:6" ht="19.5" customHeight="1">
      <c r="A40" s="44" t="s">
        <v>93</v>
      </c>
      <c r="C40" s="47">
        <v>4</v>
      </c>
      <c r="D40" s="51">
        <f>E41</f>
        <v>1570022.0999999996</v>
      </c>
      <c r="E40" s="40">
        <v>561435</v>
      </c>
    </row>
    <row r="41" spans="1:6" ht="19.5" customHeight="1">
      <c r="A41" s="44" t="s">
        <v>94</v>
      </c>
      <c r="C41" s="47">
        <v>4</v>
      </c>
      <c r="D41" s="51">
        <f>D39+D40</f>
        <v>15098102.132000012</v>
      </c>
      <c r="E41" s="51">
        <f>E39-E40</f>
        <v>1570022.0999999996</v>
      </c>
    </row>
    <row r="43" spans="1:6">
      <c r="D43" s="61"/>
      <c r="E43" s="562"/>
    </row>
    <row r="44" spans="1:6">
      <c r="D44" s="10"/>
    </row>
    <row r="45" spans="1:6">
      <c r="D45" s="113"/>
    </row>
  </sheetData>
  <hyperlinks>
    <hyperlink ref="C5" location="PL!A1" display="PL!A1"/>
    <hyperlink ref="C7" location="PL!A1" display="PL!A1"/>
    <hyperlink ref="C10" location="PL!A1" display="PL!A1"/>
    <hyperlink ref="C11" location="BS!A1" display="BS!A1"/>
  </hyperlinks>
  <pageMargins left="0.7" right="0.7" top="0.75" bottom="0.75" header="0.3" footer="0.3"/>
  <pageSetup paperSize="9" scale="91" orientation="portrait" r:id="rId1"/>
  <headerFooter>
    <oddHeader>&amp;LAEE shpk</oddHeader>
    <oddFooter>&amp;RPg. 3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B1:H25"/>
  <sheetViews>
    <sheetView topLeftCell="B1" workbookViewId="0">
      <selection activeCell="H17" sqref="H17"/>
    </sheetView>
  </sheetViews>
  <sheetFormatPr defaultRowHeight="15"/>
  <cols>
    <col min="1" max="1" width="0" hidden="1" customWidth="1"/>
    <col min="2" max="2" width="33.42578125" customWidth="1"/>
    <col min="3" max="3" width="19.42578125" customWidth="1"/>
    <col min="4" max="4" width="18.140625" customWidth="1"/>
    <col min="5" max="5" width="16.140625" customWidth="1"/>
    <col min="6" max="6" width="19.85546875" customWidth="1"/>
    <col min="7" max="7" width="18.42578125" customWidth="1"/>
    <col min="8" max="8" width="17.28515625" customWidth="1"/>
  </cols>
  <sheetData>
    <row r="1" spans="2:8" ht="15.75" thickBot="1">
      <c r="B1" s="220" t="s">
        <v>1335</v>
      </c>
      <c r="C1" s="220"/>
    </row>
    <row r="2" spans="2:8" ht="15.75" thickTop="1"/>
    <row r="3" spans="2:8" s="63" customFormat="1" ht="31.5" customHeight="1">
      <c r="B3" s="62"/>
      <c r="C3" s="62" t="s">
        <v>63</v>
      </c>
      <c r="D3" s="62" t="s">
        <v>64</v>
      </c>
      <c r="E3" s="62" t="s">
        <v>65</v>
      </c>
      <c r="F3" s="62" t="s">
        <v>66</v>
      </c>
      <c r="G3" s="62" t="s">
        <v>67</v>
      </c>
      <c r="H3" s="62" t="s">
        <v>68</v>
      </c>
    </row>
    <row r="4" spans="2:8" ht="15" customHeight="1" thickBot="1">
      <c r="B4" s="13"/>
      <c r="C4" s="34"/>
      <c r="D4" s="34"/>
      <c r="E4" s="34"/>
      <c r="F4" s="34"/>
      <c r="G4" s="34"/>
      <c r="H4" s="35"/>
    </row>
    <row r="5" spans="2:8" ht="15" customHeight="1" thickBot="1">
      <c r="B5" s="36" t="s">
        <v>406</v>
      </c>
      <c r="C5" s="37"/>
      <c r="D5" s="34"/>
      <c r="E5" s="34"/>
      <c r="F5" s="34"/>
      <c r="G5" s="38"/>
      <c r="H5" s="39"/>
    </row>
    <row r="6" spans="2:8" ht="15" customHeight="1">
      <c r="B6" s="20" t="s">
        <v>69</v>
      </c>
      <c r="C6" s="12">
        <v>100000</v>
      </c>
      <c r="D6" s="29"/>
      <c r="E6" s="29"/>
      <c r="F6" s="29"/>
      <c r="G6" s="29"/>
      <c r="H6" s="40">
        <f>C6</f>
        <v>100000</v>
      </c>
    </row>
    <row r="7" spans="2:8" ht="15" customHeight="1">
      <c r="B7" s="20" t="s">
        <v>70</v>
      </c>
      <c r="C7" s="29"/>
      <c r="D7" s="29"/>
      <c r="E7" s="29"/>
      <c r="F7" s="29"/>
      <c r="G7" s="41">
        <v>4093118.802000002</v>
      </c>
      <c r="H7" s="40">
        <f>G7</f>
        <v>4093118.802000002</v>
      </c>
    </row>
    <row r="8" spans="2:8" ht="15" customHeight="1">
      <c r="B8" s="20" t="s">
        <v>71</v>
      </c>
      <c r="C8" s="29"/>
      <c r="D8" s="29"/>
      <c r="E8" s="29"/>
      <c r="F8" s="29"/>
      <c r="G8" s="29"/>
      <c r="H8" s="33"/>
    </row>
    <row r="9" spans="2:8" ht="15" customHeight="1" thickBot="1">
      <c r="B9" s="20" t="s">
        <v>72</v>
      </c>
      <c r="C9" s="34"/>
      <c r="D9" s="34"/>
      <c r="E9" s="34"/>
      <c r="F9" s="34"/>
      <c r="G9" s="34"/>
      <c r="H9" s="35"/>
    </row>
    <row r="10" spans="2:8" ht="15" customHeight="1" thickBot="1">
      <c r="B10" s="36" t="s">
        <v>102</v>
      </c>
      <c r="C10" s="39">
        <v>100000</v>
      </c>
      <c r="D10" s="35"/>
      <c r="E10" s="35"/>
      <c r="F10" s="35"/>
      <c r="G10" s="39">
        <f>G7</f>
        <v>4093118.802000002</v>
      </c>
      <c r="H10" s="39">
        <f>SUM(H6:H9)</f>
        <v>4193118.802000002</v>
      </c>
    </row>
    <row r="11" spans="2:8" ht="15" customHeight="1">
      <c r="B11" s="20" t="s">
        <v>69</v>
      </c>
      <c r="C11" s="41"/>
      <c r="D11" s="29"/>
      <c r="E11" s="29"/>
      <c r="F11" s="29"/>
      <c r="G11" s="29"/>
      <c r="H11" s="40"/>
    </row>
    <row r="12" spans="2:8" ht="15" customHeight="1">
      <c r="B12" s="20" t="s">
        <v>70</v>
      </c>
      <c r="C12" s="29"/>
      <c r="D12" s="29"/>
      <c r="E12" s="29"/>
      <c r="F12" s="29"/>
      <c r="G12" s="41">
        <f>PL!C25</f>
        <v>7862061.4233333273</v>
      </c>
      <c r="H12" s="40">
        <f>G12</f>
        <v>7862061.4233333273</v>
      </c>
    </row>
    <row r="13" spans="2:8" ht="15" customHeight="1">
      <c r="B13" s="20" t="s">
        <v>71</v>
      </c>
      <c r="C13" s="29"/>
      <c r="D13" s="29"/>
      <c r="E13" s="29"/>
      <c r="F13" s="29"/>
      <c r="G13" s="29"/>
      <c r="H13" s="33"/>
    </row>
    <row r="14" spans="2:8" ht="15" customHeight="1" thickBot="1">
      <c r="B14" s="20" t="s">
        <v>72</v>
      </c>
      <c r="C14" s="29"/>
      <c r="D14" s="29"/>
      <c r="E14" s="29"/>
      <c r="F14" s="29"/>
      <c r="G14" s="29"/>
      <c r="H14" s="33"/>
    </row>
    <row r="15" spans="2:8" ht="15" customHeight="1" thickBot="1">
      <c r="B15" s="36" t="s">
        <v>407</v>
      </c>
      <c r="C15" s="42">
        <v>100000</v>
      </c>
      <c r="D15" s="43"/>
      <c r="E15" s="43"/>
      <c r="F15" s="43"/>
      <c r="G15" s="42">
        <f>G10+G12</f>
        <v>11955180.225333329</v>
      </c>
      <c r="H15" s="42">
        <f>H10+H12</f>
        <v>12055180.225333329</v>
      </c>
    </row>
    <row r="16" spans="2:8" ht="15" customHeight="1"/>
    <row r="17" spans="8:8" ht="15" customHeight="1">
      <c r="H17" s="560"/>
    </row>
    <row r="18" spans="8:8" ht="15" customHeight="1"/>
    <row r="19" spans="8:8" ht="15" customHeight="1"/>
    <row r="20" spans="8:8" ht="15" customHeight="1"/>
    <row r="21" spans="8:8" ht="15" customHeight="1"/>
    <row r="22" spans="8:8" ht="15" customHeight="1"/>
    <row r="23" spans="8:8" ht="15" customHeight="1"/>
    <row r="24" spans="8:8" ht="15" customHeight="1"/>
    <row r="25" spans="8:8" ht="15" customHeight="1"/>
  </sheetData>
  <pageMargins left="0.7" right="0.7" top="0.75" bottom="0.75" header="0.3" footer="0.3"/>
  <pageSetup paperSize="9" scale="61" orientation="portrait" r:id="rId1"/>
  <headerFooter>
    <oddHeader>&amp;LAEE shpk</oddHeader>
    <oddFooter>&amp;RPg. 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>
    <tabColor rgb="FFFFC000"/>
  </sheetPr>
  <dimension ref="A1:N55"/>
  <sheetViews>
    <sheetView workbookViewId="0">
      <selection activeCell="G55" sqref="G55"/>
    </sheetView>
  </sheetViews>
  <sheetFormatPr defaultRowHeight="12.75"/>
  <cols>
    <col min="1" max="1" width="5.140625" style="289" customWidth="1"/>
    <col min="2" max="2" width="21.140625" style="289" customWidth="1"/>
    <col min="3" max="3" width="9.42578125" style="289" customWidth="1"/>
    <col min="4" max="4" width="11.5703125" style="289" customWidth="1"/>
    <col min="5" max="5" width="11" style="289" customWidth="1"/>
    <col min="6" max="6" width="12" style="289" customWidth="1"/>
    <col min="7" max="7" width="13.42578125" style="289" customWidth="1"/>
    <col min="8" max="8" width="9.140625" style="289"/>
    <col min="9" max="10" width="10.140625" style="289" bestFit="1" customWidth="1"/>
    <col min="11" max="12" width="9.140625" style="289"/>
    <col min="13" max="13" width="12.28515625" style="289" customWidth="1"/>
    <col min="14" max="256" width="9.140625" style="289"/>
    <col min="257" max="257" width="5.140625" style="289" customWidth="1"/>
    <col min="258" max="258" width="21.140625" style="289" customWidth="1"/>
    <col min="259" max="259" width="9.42578125" style="289" customWidth="1"/>
    <col min="260" max="260" width="11.5703125" style="289" customWidth="1"/>
    <col min="261" max="261" width="11" style="289" customWidth="1"/>
    <col min="262" max="262" width="12" style="289" customWidth="1"/>
    <col min="263" max="263" width="13.42578125" style="289" customWidth="1"/>
    <col min="264" max="264" width="9.140625" style="289"/>
    <col min="265" max="266" width="10.140625" style="289" bestFit="1" customWidth="1"/>
    <col min="267" max="268" width="9.140625" style="289"/>
    <col min="269" max="269" width="12.28515625" style="289" customWidth="1"/>
    <col min="270" max="512" width="9.140625" style="289"/>
    <col min="513" max="513" width="5.140625" style="289" customWidth="1"/>
    <col min="514" max="514" width="21.140625" style="289" customWidth="1"/>
    <col min="515" max="515" width="9.42578125" style="289" customWidth="1"/>
    <col min="516" max="516" width="11.5703125" style="289" customWidth="1"/>
    <col min="517" max="517" width="11" style="289" customWidth="1"/>
    <col min="518" max="518" width="12" style="289" customWidth="1"/>
    <col min="519" max="519" width="13.42578125" style="289" customWidth="1"/>
    <col min="520" max="520" width="9.140625" style="289"/>
    <col min="521" max="522" width="10.140625" style="289" bestFit="1" customWidth="1"/>
    <col min="523" max="524" width="9.140625" style="289"/>
    <col min="525" max="525" width="12.28515625" style="289" customWidth="1"/>
    <col min="526" max="768" width="9.140625" style="289"/>
    <col min="769" max="769" width="5.140625" style="289" customWidth="1"/>
    <col min="770" max="770" width="21.140625" style="289" customWidth="1"/>
    <col min="771" max="771" width="9.42578125" style="289" customWidth="1"/>
    <col min="772" max="772" width="11.5703125" style="289" customWidth="1"/>
    <col min="773" max="773" width="11" style="289" customWidth="1"/>
    <col min="774" max="774" width="12" style="289" customWidth="1"/>
    <col min="775" max="775" width="13.42578125" style="289" customWidth="1"/>
    <col min="776" max="776" width="9.140625" style="289"/>
    <col min="777" max="778" width="10.140625" style="289" bestFit="1" customWidth="1"/>
    <col min="779" max="780" width="9.140625" style="289"/>
    <col min="781" max="781" width="12.28515625" style="289" customWidth="1"/>
    <col min="782" max="1024" width="9.140625" style="289"/>
    <col min="1025" max="1025" width="5.140625" style="289" customWidth="1"/>
    <col min="1026" max="1026" width="21.140625" style="289" customWidth="1"/>
    <col min="1027" max="1027" width="9.42578125" style="289" customWidth="1"/>
    <col min="1028" max="1028" width="11.5703125" style="289" customWidth="1"/>
    <col min="1029" max="1029" width="11" style="289" customWidth="1"/>
    <col min="1030" max="1030" width="12" style="289" customWidth="1"/>
    <col min="1031" max="1031" width="13.42578125" style="289" customWidth="1"/>
    <col min="1032" max="1032" width="9.140625" style="289"/>
    <col min="1033" max="1034" width="10.140625" style="289" bestFit="1" customWidth="1"/>
    <col min="1035" max="1036" width="9.140625" style="289"/>
    <col min="1037" max="1037" width="12.28515625" style="289" customWidth="1"/>
    <col min="1038" max="1280" width="9.140625" style="289"/>
    <col min="1281" max="1281" width="5.140625" style="289" customWidth="1"/>
    <col min="1282" max="1282" width="21.140625" style="289" customWidth="1"/>
    <col min="1283" max="1283" width="9.42578125" style="289" customWidth="1"/>
    <col min="1284" max="1284" width="11.5703125" style="289" customWidth="1"/>
    <col min="1285" max="1285" width="11" style="289" customWidth="1"/>
    <col min="1286" max="1286" width="12" style="289" customWidth="1"/>
    <col min="1287" max="1287" width="13.42578125" style="289" customWidth="1"/>
    <col min="1288" max="1288" width="9.140625" style="289"/>
    <col min="1289" max="1290" width="10.140625" style="289" bestFit="1" customWidth="1"/>
    <col min="1291" max="1292" width="9.140625" style="289"/>
    <col min="1293" max="1293" width="12.28515625" style="289" customWidth="1"/>
    <col min="1294" max="1536" width="9.140625" style="289"/>
    <col min="1537" max="1537" width="5.140625" style="289" customWidth="1"/>
    <col min="1538" max="1538" width="21.140625" style="289" customWidth="1"/>
    <col min="1539" max="1539" width="9.42578125" style="289" customWidth="1"/>
    <col min="1540" max="1540" width="11.5703125" style="289" customWidth="1"/>
    <col min="1541" max="1541" width="11" style="289" customWidth="1"/>
    <col min="1542" max="1542" width="12" style="289" customWidth="1"/>
    <col min="1543" max="1543" width="13.42578125" style="289" customWidth="1"/>
    <col min="1544" max="1544" width="9.140625" style="289"/>
    <col min="1545" max="1546" width="10.140625" style="289" bestFit="1" customWidth="1"/>
    <col min="1547" max="1548" width="9.140625" style="289"/>
    <col min="1549" max="1549" width="12.28515625" style="289" customWidth="1"/>
    <col min="1550" max="1792" width="9.140625" style="289"/>
    <col min="1793" max="1793" width="5.140625" style="289" customWidth="1"/>
    <col min="1794" max="1794" width="21.140625" style="289" customWidth="1"/>
    <col min="1795" max="1795" width="9.42578125" style="289" customWidth="1"/>
    <col min="1796" max="1796" width="11.5703125" style="289" customWidth="1"/>
    <col min="1797" max="1797" width="11" style="289" customWidth="1"/>
    <col min="1798" max="1798" width="12" style="289" customWidth="1"/>
    <col min="1799" max="1799" width="13.42578125" style="289" customWidth="1"/>
    <col min="1800" max="1800" width="9.140625" style="289"/>
    <col min="1801" max="1802" width="10.140625" style="289" bestFit="1" customWidth="1"/>
    <col min="1803" max="1804" width="9.140625" style="289"/>
    <col min="1805" max="1805" width="12.28515625" style="289" customWidth="1"/>
    <col min="1806" max="2048" width="9.140625" style="289"/>
    <col min="2049" max="2049" width="5.140625" style="289" customWidth="1"/>
    <col min="2050" max="2050" width="21.140625" style="289" customWidth="1"/>
    <col min="2051" max="2051" width="9.42578125" style="289" customWidth="1"/>
    <col min="2052" max="2052" width="11.5703125" style="289" customWidth="1"/>
    <col min="2053" max="2053" width="11" style="289" customWidth="1"/>
    <col min="2054" max="2054" width="12" style="289" customWidth="1"/>
    <col min="2055" max="2055" width="13.42578125" style="289" customWidth="1"/>
    <col min="2056" max="2056" width="9.140625" style="289"/>
    <col min="2057" max="2058" width="10.140625" style="289" bestFit="1" customWidth="1"/>
    <col min="2059" max="2060" width="9.140625" style="289"/>
    <col min="2061" max="2061" width="12.28515625" style="289" customWidth="1"/>
    <col min="2062" max="2304" width="9.140625" style="289"/>
    <col min="2305" max="2305" width="5.140625" style="289" customWidth="1"/>
    <col min="2306" max="2306" width="21.140625" style="289" customWidth="1"/>
    <col min="2307" max="2307" width="9.42578125" style="289" customWidth="1"/>
    <col min="2308" max="2308" width="11.5703125" style="289" customWidth="1"/>
    <col min="2309" max="2309" width="11" style="289" customWidth="1"/>
    <col min="2310" max="2310" width="12" style="289" customWidth="1"/>
    <col min="2311" max="2311" width="13.42578125" style="289" customWidth="1"/>
    <col min="2312" max="2312" width="9.140625" style="289"/>
    <col min="2313" max="2314" width="10.140625" style="289" bestFit="1" customWidth="1"/>
    <col min="2315" max="2316" width="9.140625" style="289"/>
    <col min="2317" max="2317" width="12.28515625" style="289" customWidth="1"/>
    <col min="2318" max="2560" width="9.140625" style="289"/>
    <col min="2561" max="2561" width="5.140625" style="289" customWidth="1"/>
    <col min="2562" max="2562" width="21.140625" style="289" customWidth="1"/>
    <col min="2563" max="2563" width="9.42578125" style="289" customWidth="1"/>
    <col min="2564" max="2564" width="11.5703125" style="289" customWidth="1"/>
    <col min="2565" max="2565" width="11" style="289" customWidth="1"/>
    <col min="2566" max="2566" width="12" style="289" customWidth="1"/>
    <col min="2567" max="2567" width="13.42578125" style="289" customWidth="1"/>
    <col min="2568" max="2568" width="9.140625" style="289"/>
    <col min="2569" max="2570" width="10.140625" style="289" bestFit="1" customWidth="1"/>
    <col min="2571" max="2572" width="9.140625" style="289"/>
    <col min="2573" max="2573" width="12.28515625" style="289" customWidth="1"/>
    <col min="2574" max="2816" width="9.140625" style="289"/>
    <col min="2817" max="2817" width="5.140625" style="289" customWidth="1"/>
    <col min="2818" max="2818" width="21.140625" style="289" customWidth="1"/>
    <col min="2819" max="2819" width="9.42578125" style="289" customWidth="1"/>
    <col min="2820" max="2820" width="11.5703125" style="289" customWidth="1"/>
    <col min="2821" max="2821" width="11" style="289" customWidth="1"/>
    <col min="2822" max="2822" width="12" style="289" customWidth="1"/>
    <col min="2823" max="2823" width="13.42578125" style="289" customWidth="1"/>
    <col min="2824" max="2824" width="9.140625" style="289"/>
    <col min="2825" max="2826" width="10.140625" style="289" bestFit="1" customWidth="1"/>
    <col min="2827" max="2828" width="9.140625" style="289"/>
    <col min="2829" max="2829" width="12.28515625" style="289" customWidth="1"/>
    <col min="2830" max="3072" width="9.140625" style="289"/>
    <col min="3073" max="3073" width="5.140625" style="289" customWidth="1"/>
    <col min="3074" max="3074" width="21.140625" style="289" customWidth="1"/>
    <col min="3075" max="3075" width="9.42578125" style="289" customWidth="1"/>
    <col min="3076" max="3076" width="11.5703125" style="289" customWidth="1"/>
    <col min="3077" max="3077" width="11" style="289" customWidth="1"/>
    <col min="3078" max="3078" width="12" style="289" customWidth="1"/>
    <col min="3079" max="3079" width="13.42578125" style="289" customWidth="1"/>
    <col min="3080" max="3080" width="9.140625" style="289"/>
    <col min="3081" max="3082" width="10.140625" style="289" bestFit="1" customWidth="1"/>
    <col min="3083" max="3084" width="9.140625" style="289"/>
    <col min="3085" max="3085" width="12.28515625" style="289" customWidth="1"/>
    <col min="3086" max="3328" width="9.140625" style="289"/>
    <col min="3329" max="3329" width="5.140625" style="289" customWidth="1"/>
    <col min="3330" max="3330" width="21.140625" style="289" customWidth="1"/>
    <col min="3331" max="3331" width="9.42578125" style="289" customWidth="1"/>
    <col min="3332" max="3332" width="11.5703125" style="289" customWidth="1"/>
    <col min="3333" max="3333" width="11" style="289" customWidth="1"/>
    <col min="3334" max="3334" width="12" style="289" customWidth="1"/>
    <col min="3335" max="3335" width="13.42578125" style="289" customWidth="1"/>
    <col min="3336" max="3336" width="9.140625" style="289"/>
    <col min="3337" max="3338" width="10.140625" style="289" bestFit="1" customWidth="1"/>
    <col min="3339" max="3340" width="9.140625" style="289"/>
    <col min="3341" max="3341" width="12.28515625" style="289" customWidth="1"/>
    <col min="3342" max="3584" width="9.140625" style="289"/>
    <col min="3585" max="3585" width="5.140625" style="289" customWidth="1"/>
    <col min="3586" max="3586" width="21.140625" style="289" customWidth="1"/>
    <col min="3587" max="3587" width="9.42578125" style="289" customWidth="1"/>
    <col min="3588" max="3588" width="11.5703125" style="289" customWidth="1"/>
    <col min="3589" max="3589" width="11" style="289" customWidth="1"/>
    <col min="3590" max="3590" width="12" style="289" customWidth="1"/>
    <col min="3591" max="3591" width="13.42578125" style="289" customWidth="1"/>
    <col min="3592" max="3592" width="9.140625" style="289"/>
    <col min="3593" max="3594" width="10.140625" style="289" bestFit="1" customWidth="1"/>
    <col min="3595" max="3596" width="9.140625" style="289"/>
    <col min="3597" max="3597" width="12.28515625" style="289" customWidth="1"/>
    <col min="3598" max="3840" width="9.140625" style="289"/>
    <col min="3841" max="3841" width="5.140625" style="289" customWidth="1"/>
    <col min="3842" max="3842" width="21.140625" style="289" customWidth="1"/>
    <col min="3843" max="3843" width="9.42578125" style="289" customWidth="1"/>
    <col min="3844" max="3844" width="11.5703125" style="289" customWidth="1"/>
    <col min="3845" max="3845" width="11" style="289" customWidth="1"/>
    <col min="3846" max="3846" width="12" style="289" customWidth="1"/>
    <col min="3847" max="3847" width="13.42578125" style="289" customWidth="1"/>
    <col min="3848" max="3848" width="9.140625" style="289"/>
    <col min="3849" max="3850" width="10.140625" style="289" bestFit="1" customWidth="1"/>
    <col min="3851" max="3852" width="9.140625" style="289"/>
    <col min="3853" max="3853" width="12.28515625" style="289" customWidth="1"/>
    <col min="3854" max="4096" width="9.140625" style="289"/>
    <col min="4097" max="4097" width="5.140625" style="289" customWidth="1"/>
    <col min="4098" max="4098" width="21.140625" style="289" customWidth="1"/>
    <col min="4099" max="4099" width="9.42578125" style="289" customWidth="1"/>
    <col min="4100" max="4100" width="11.5703125" style="289" customWidth="1"/>
    <col min="4101" max="4101" width="11" style="289" customWidth="1"/>
    <col min="4102" max="4102" width="12" style="289" customWidth="1"/>
    <col min="4103" max="4103" width="13.42578125" style="289" customWidth="1"/>
    <col min="4104" max="4104" width="9.140625" style="289"/>
    <col min="4105" max="4106" width="10.140625" style="289" bestFit="1" customWidth="1"/>
    <col min="4107" max="4108" width="9.140625" style="289"/>
    <col min="4109" max="4109" width="12.28515625" style="289" customWidth="1"/>
    <col min="4110" max="4352" width="9.140625" style="289"/>
    <col min="4353" max="4353" width="5.140625" style="289" customWidth="1"/>
    <col min="4354" max="4354" width="21.140625" style="289" customWidth="1"/>
    <col min="4355" max="4355" width="9.42578125" style="289" customWidth="1"/>
    <col min="4356" max="4356" width="11.5703125" style="289" customWidth="1"/>
    <col min="4357" max="4357" width="11" style="289" customWidth="1"/>
    <col min="4358" max="4358" width="12" style="289" customWidth="1"/>
    <col min="4359" max="4359" width="13.42578125" style="289" customWidth="1"/>
    <col min="4360" max="4360" width="9.140625" style="289"/>
    <col min="4361" max="4362" width="10.140625" style="289" bestFit="1" customWidth="1"/>
    <col min="4363" max="4364" width="9.140625" style="289"/>
    <col min="4365" max="4365" width="12.28515625" style="289" customWidth="1"/>
    <col min="4366" max="4608" width="9.140625" style="289"/>
    <col min="4609" max="4609" width="5.140625" style="289" customWidth="1"/>
    <col min="4610" max="4610" width="21.140625" style="289" customWidth="1"/>
    <col min="4611" max="4611" width="9.42578125" style="289" customWidth="1"/>
    <col min="4612" max="4612" width="11.5703125" style="289" customWidth="1"/>
    <col min="4613" max="4613" width="11" style="289" customWidth="1"/>
    <col min="4614" max="4614" width="12" style="289" customWidth="1"/>
    <col min="4615" max="4615" width="13.42578125" style="289" customWidth="1"/>
    <col min="4616" max="4616" width="9.140625" style="289"/>
    <col min="4617" max="4618" width="10.140625" style="289" bestFit="1" customWidth="1"/>
    <col min="4619" max="4620" width="9.140625" style="289"/>
    <col min="4621" max="4621" width="12.28515625" style="289" customWidth="1"/>
    <col min="4622" max="4864" width="9.140625" style="289"/>
    <col min="4865" max="4865" width="5.140625" style="289" customWidth="1"/>
    <col min="4866" max="4866" width="21.140625" style="289" customWidth="1"/>
    <col min="4867" max="4867" width="9.42578125" style="289" customWidth="1"/>
    <col min="4868" max="4868" width="11.5703125" style="289" customWidth="1"/>
    <col min="4869" max="4869" width="11" style="289" customWidth="1"/>
    <col min="4870" max="4870" width="12" style="289" customWidth="1"/>
    <col min="4871" max="4871" width="13.42578125" style="289" customWidth="1"/>
    <col min="4872" max="4872" width="9.140625" style="289"/>
    <col min="4873" max="4874" width="10.140625" style="289" bestFit="1" customWidth="1"/>
    <col min="4875" max="4876" width="9.140625" style="289"/>
    <col min="4877" max="4877" width="12.28515625" style="289" customWidth="1"/>
    <col min="4878" max="5120" width="9.140625" style="289"/>
    <col min="5121" max="5121" width="5.140625" style="289" customWidth="1"/>
    <col min="5122" max="5122" width="21.140625" style="289" customWidth="1"/>
    <col min="5123" max="5123" width="9.42578125" style="289" customWidth="1"/>
    <col min="5124" max="5124" width="11.5703125" style="289" customWidth="1"/>
    <col min="5125" max="5125" width="11" style="289" customWidth="1"/>
    <col min="5126" max="5126" width="12" style="289" customWidth="1"/>
    <col min="5127" max="5127" width="13.42578125" style="289" customWidth="1"/>
    <col min="5128" max="5128" width="9.140625" style="289"/>
    <col min="5129" max="5130" width="10.140625" style="289" bestFit="1" customWidth="1"/>
    <col min="5131" max="5132" width="9.140625" style="289"/>
    <col min="5133" max="5133" width="12.28515625" style="289" customWidth="1"/>
    <col min="5134" max="5376" width="9.140625" style="289"/>
    <col min="5377" max="5377" width="5.140625" style="289" customWidth="1"/>
    <col min="5378" max="5378" width="21.140625" style="289" customWidth="1"/>
    <col min="5379" max="5379" width="9.42578125" style="289" customWidth="1"/>
    <col min="5380" max="5380" width="11.5703125" style="289" customWidth="1"/>
    <col min="5381" max="5381" width="11" style="289" customWidth="1"/>
    <col min="5382" max="5382" width="12" style="289" customWidth="1"/>
    <col min="5383" max="5383" width="13.42578125" style="289" customWidth="1"/>
    <col min="5384" max="5384" width="9.140625" style="289"/>
    <col min="5385" max="5386" width="10.140625" style="289" bestFit="1" customWidth="1"/>
    <col min="5387" max="5388" width="9.140625" style="289"/>
    <col min="5389" max="5389" width="12.28515625" style="289" customWidth="1"/>
    <col min="5390" max="5632" width="9.140625" style="289"/>
    <col min="5633" max="5633" width="5.140625" style="289" customWidth="1"/>
    <col min="5634" max="5634" width="21.140625" style="289" customWidth="1"/>
    <col min="5635" max="5635" width="9.42578125" style="289" customWidth="1"/>
    <col min="5636" max="5636" width="11.5703125" style="289" customWidth="1"/>
    <col min="5637" max="5637" width="11" style="289" customWidth="1"/>
    <col min="5638" max="5638" width="12" style="289" customWidth="1"/>
    <col min="5639" max="5639" width="13.42578125" style="289" customWidth="1"/>
    <col min="5640" max="5640" width="9.140625" style="289"/>
    <col min="5641" max="5642" width="10.140625" style="289" bestFit="1" customWidth="1"/>
    <col min="5643" max="5644" width="9.140625" style="289"/>
    <col min="5645" max="5645" width="12.28515625" style="289" customWidth="1"/>
    <col min="5646" max="5888" width="9.140625" style="289"/>
    <col min="5889" max="5889" width="5.140625" style="289" customWidth="1"/>
    <col min="5890" max="5890" width="21.140625" style="289" customWidth="1"/>
    <col min="5891" max="5891" width="9.42578125" style="289" customWidth="1"/>
    <col min="5892" max="5892" width="11.5703125" style="289" customWidth="1"/>
    <col min="5893" max="5893" width="11" style="289" customWidth="1"/>
    <col min="5894" max="5894" width="12" style="289" customWidth="1"/>
    <col min="5895" max="5895" width="13.42578125" style="289" customWidth="1"/>
    <col min="5896" max="5896" width="9.140625" style="289"/>
    <col min="5897" max="5898" width="10.140625" style="289" bestFit="1" customWidth="1"/>
    <col min="5899" max="5900" width="9.140625" style="289"/>
    <col min="5901" max="5901" width="12.28515625" style="289" customWidth="1"/>
    <col min="5902" max="6144" width="9.140625" style="289"/>
    <col min="6145" max="6145" width="5.140625" style="289" customWidth="1"/>
    <col min="6146" max="6146" width="21.140625" style="289" customWidth="1"/>
    <col min="6147" max="6147" width="9.42578125" style="289" customWidth="1"/>
    <col min="6148" max="6148" width="11.5703125" style="289" customWidth="1"/>
    <col min="6149" max="6149" width="11" style="289" customWidth="1"/>
    <col min="6150" max="6150" width="12" style="289" customWidth="1"/>
    <col min="6151" max="6151" width="13.42578125" style="289" customWidth="1"/>
    <col min="6152" max="6152" width="9.140625" style="289"/>
    <col min="6153" max="6154" width="10.140625" style="289" bestFit="1" customWidth="1"/>
    <col min="6155" max="6156" width="9.140625" style="289"/>
    <col min="6157" max="6157" width="12.28515625" style="289" customWidth="1"/>
    <col min="6158" max="6400" width="9.140625" style="289"/>
    <col min="6401" max="6401" width="5.140625" style="289" customWidth="1"/>
    <col min="6402" max="6402" width="21.140625" style="289" customWidth="1"/>
    <col min="6403" max="6403" width="9.42578125" style="289" customWidth="1"/>
    <col min="6404" max="6404" width="11.5703125" style="289" customWidth="1"/>
    <col min="6405" max="6405" width="11" style="289" customWidth="1"/>
    <col min="6406" max="6406" width="12" style="289" customWidth="1"/>
    <col min="6407" max="6407" width="13.42578125" style="289" customWidth="1"/>
    <col min="6408" max="6408" width="9.140625" style="289"/>
    <col min="6409" max="6410" width="10.140625" style="289" bestFit="1" customWidth="1"/>
    <col min="6411" max="6412" width="9.140625" style="289"/>
    <col min="6413" max="6413" width="12.28515625" style="289" customWidth="1"/>
    <col min="6414" max="6656" width="9.140625" style="289"/>
    <col min="6657" max="6657" width="5.140625" style="289" customWidth="1"/>
    <col min="6658" max="6658" width="21.140625" style="289" customWidth="1"/>
    <col min="6659" max="6659" width="9.42578125" style="289" customWidth="1"/>
    <col min="6660" max="6660" width="11.5703125" style="289" customWidth="1"/>
    <col min="6661" max="6661" width="11" style="289" customWidth="1"/>
    <col min="6662" max="6662" width="12" style="289" customWidth="1"/>
    <col min="6663" max="6663" width="13.42578125" style="289" customWidth="1"/>
    <col min="6664" max="6664" width="9.140625" style="289"/>
    <col min="6665" max="6666" width="10.140625" style="289" bestFit="1" customWidth="1"/>
    <col min="6667" max="6668" width="9.140625" style="289"/>
    <col min="6669" max="6669" width="12.28515625" style="289" customWidth="1"/>
    <col min="6670" max="6912" width="9.140625" style="289"/>
    <col min="6913" max="6913" width="5.140625" style="289" customWidth="1"/>
    <col min="6914" max="6914" width="21.140625" style="289" customWidth="1"/>
    <col min="6915" max="6915" width="9.42578125" style="289" customWidth="1"/>
    <col min="6916" max="6916" width="11.5703125" style="289" customWidth="1"/>
    <col min="6917" max="6917" width="11" style="289" customWidth="1"/>
    <col min="6918" max="6918" width="12" style="289" customWidth="1"/>
    <col min="6919" max="6919" width="13.42578125" style="289" customWidth="1"/>
    <col min="6920" max="6920" width="9.140625" style="289"/>
    <col min="6921" max="6922" width="10.140625" style="289" bestFit="1" customWidth="1"/>
    <col min="6923" max="6924" width="9.140625" style="289"/>
    <col min="6925" max="6925" width="12.28515625" style="289" customWidth="1"/>
    <col min="6926" max="7168" width="9.140625" style="289"/>
    <col min="7169" max="7169" width="5.140625" style="289" customWidth="1"/>
    <col min="7170" max="7170" width="21.140625" style="289" customWidth="1"/>
    <col min="7171" max="7171" width="9.42578125" style="289" customWidth="1"/>
    <col min="7172" max="7172" width="11.5703125" style="289" customWidth="1"/>
    <col min="7173" max="7173" width="11" style="289" customWidth="1"/>
    <col min="7174" max="7174" width="12" style="289" customWidth="1"/>
    <col min="7175" max="7175" width="13.42578125" style="289" customWidth="1"/>
    <col min="7176" max="7176" width="9.140625" style="289"/>
    <col min="7177" max="7178" width="10.140625" style="289" bestFit="1" customWidth="1"/>
    <col min="7179" max="7180" width="9.140625" style="289"/>
    <col min="7181" max="7181" width="12.28515625" style="289" customWidth="1"/>
    <col min="7182" max="7424" width="9.140625" style="289"/>
    <col min="7425" max="7425" width="5.140625" style="289" customWidth="1"/>
    <col min="7426" max="7426" width="21.140625" style="289" customWidth="1"/>
    <col min="7427" max="7427" width="9.42578125" style="289" customWidth="1"/>
    <col min="7428" max="7428" width="11.5703125" style="289" customWidth="1"/>
    <col min="7429" max="7429" width="11" style="289" customWidth="1"/>
    <col min="7430" max="7430" width="12" style="289" customWidth="1"/>
    <col min="7431" max="7431" width="13.42578125" style="289" customWidth="1"/>
    <col min="7432" max="7432" width="9.140625" style="289"/>
    <col min="7433" max="7434" width="10.140625" style="289" bestFit="1" customWidth="1"/>
    <col min="7435" max="7436" width="9.140625" style="289"/>
    <col min="7437" max="7437" width="12.28515625" style="289" customWidth="1"/>
    <col min="7438" max="7680" width="9.140625" style="289"/>
    <col min="7681" max="7681" width="5.140625" style="289" customWidth="1"/>
    <col min="7682" max="7682" width="21.140625" style="289" customWidth="1"/>
    <col min="7683" max="7683" width="9.42578125" style="289" customWidth="1"/>
    <col min="7684" max="7684" width="11.5703125" style="289" customWidth="1"/>
    <col min="7685" max="7685" width="11" style="289" customWidth="1"/>
    <col min="7686" max="7686" width="12" style="289" customWidth="1"/>
    <col min="7687" max="7687" width="13.42578125" style="289" customWidth="1"/>
    <col min="7688" max="7688" width="9.140625" style="289"/>
    <col min="7689" max="7690" width="10.140625" style="289" bestFit="1" customWidth="1"/>
    <col min="7691" max="7692" width="9.140625" style="289"/>
    <col min="7693" max="7693" width="12.28515625" style="289" customWidth="1"/>
    <col min="7694" max="7936" width="9.140625" style="289"/>
    <col min="7937" max="7937" width="5.140625" style="289" customWidth="1"/>
    <col min="7938" max="7938" width="21.140625" style="289" customWidth="1"/>
    <col min="7939" max="7939" width="9.42578125" style="289" customWidth="1"/>
    <col min="7940" max="7940" width="11.5703125" style="289" customWidth="1"/>
    <col min="7941" max="7941" width="11" style="289" customWidth="1"/>
    <col min="7942" max="7942" width="12" style="289" customWidth="1"/>
    <col min="7943" max="7943" width="13.42578125" style="289" customWidth="1"/>
    <col min="7944" max="7944" width="9.140625" style="289"/>
    <col min="7945" max="7946" width="10.140625" style="289" bestFit="1" customWidth="1"/>
    <col min="7947" max="7948" width="9.140625" style="289"/>
    <col min="7949" max="7949" width="12.28515625" style="289" customWidth="1"/>
    <col min="7950" max="8192" width="9.140625" style="289"/>
    <col min="8193" max="8193" width="5.140625" style="289" customWidth="1"/>
    <col min="8194" max="8194" width="21.140625" style="289" customWidth="1"/>
    <col min="8195" max="8195" width="9.42578125" style="289" customWidth="1"/>
    <col min="8196" max="8196" width="11.5703125" style="289" customWidth="1"/>
    <col min="8197" max="8197" width="11" style="289" customWidth="1"/>
    <col min="8198" max="8198" width="12" style="289" customWidth="1"/>
    <col min="8199" max="8199" width="13.42578125" style="289" customWidth="1"/>
    <col min="8200" max="8200" width="9.140625" style="289"/>
    <col min="8201" max="8202" width="10.140625" style="289" bestFit="1" customWidth="1"/>
    <col min="8203" max="8204" width="9.140625" style="289"/>
    <col min="8205" max="8205" width="12.28515625" style="289" customWidth="1"/>
    <col min="8206" max="8448" width="9.140625" style="289"/>
    <col min="8449" max="8449" width="5.140625" style="289" customWidth="1"/>
    <col min="8450" max="8450" width="21.140625" style="289" customWidth="1"/>
    <col min="8451" max="8451" width="9.42578125" style="289" customWidth="1"/>
    <col min="8452" max="8452" width="11.5703125" style="289" customWidth="1"/>
    <col min="8453" max="8453" width="11" style="289" customWidth="1"/>
    <col min="8454" max="8454" width="12" style="289" customWidth="1"/>
    <col min="8455" max="8455" width="13.42578125" style="289" customWidth="1"/>
    <col min="8456" max="8456" width="9.140625" style="289"/>
    <col min="8457" max="8458" width="10.140625" style="289" bestFit="1" customWidth="1"/>
    <col min="8459" max="8460" width="9.140625" style="289"/>
    <col min="8461" max="8461" width="12.28515625" style="289" customWidth="1"/>
    <col min="8462" max="8704" width="9.140625" style="289"/>
    <col min="8705" max="8705" width="5.140625" style="289" customWidth="1"/>
    <col min="8706" max="8706" width="21.140625" style="289" customWidth="1"/>
    <col min="8707" max="8707" width="9.42578125" style="289" customWidth="1"/>
    <col min="8708" max="8708" width="11.5703125" style="289" customWidth="1"/>
    <col min="8709" max="8709" width="11" style="289" customWidth="1"/>
    <col min="8710" max="8710" width="12" style="289" customWidth="1"/>
    <col min="8711" max="8711" width="13.42578125" style="289" customWidth="1"/>
    <col min="8712" max="8712" width="9.140625" style="289"/>
    <col min="8713" max="8714" width="10.140625" style="289" bestFit="1" customWidth="1"/>
    <col min="8715" max="8716" width="9.140625" style="289"/>
    <col min="8717" max="8717" width="12.28515625" style="289" customWidth="1"/>
    <col min="8718" max="8960" width="9.140625" style="289"/>
    <col min="8961" max="8961" width="5.140625" style="289" customWidth="1"/>
    <col min="8962" max="8962" width="21.140625" style="289" customWidth="1"/>
    <col min="8963" max="8963" width="9.42578125" style="289" customWidth="1"/>
    <col min="8964" max="8964" width="11.5703125" style="289" customWidth="1"/>
    <col min="8965" max="8965" width="11" style="289" customWidth="1"/>
    <col min="8966" max="8966" width="12" style="289" customWidth="1"/>
    <col min="8967" max="8967" width="13.42578125" style="289" customWidth="1"/>
    <col min="8968" max="8968" width="9.140625" style="289"/>
    <col min="8969" max="8970" width="10.140625" style="289" bestFit="1" customWidth="1"/>
    <col min="8971" max="8972" width="9.140625" style="289"/>
    <col min="8973" max="8973" width="12.28515625" style="289" customWidth="1"/>
    <col min="8974" max="9216" width="9.140625" style="289"/>
    <col min="9217" max="9217" width="5.140625" style="289" customWidth="1"/>
    <col min="9218" max="9218" width="21.140625" style="289" customWidth="1"/>
    <col min="9219" max="9219" width="9.42578125" style="289" customWidth="1"/>
    <col min="9220" max="9220" width="11.5703125" style="289" customWidth="1"/>
    <col min="9221" max="9221" width="11" style="289" customWidth="1"/>
    <col min="9222" max="9222" width="12" style="289" customWidth="1"/>
    <col min="9223" max="9223" width="13.42578125" style="289" customWidth="1"/>
    <col min="9224" max="9224" width="9.140625" style="289"/>
    <col min="9225" max="9226" width="10.140625" style="289" bestFit="1" customWidth="1"/>
    <col min="9227" max="9228" width="9.140625" style="289"/>
    <col min="9229" max="9229" width="12.28515625" style="289" customWidth="1"/>
    <col min="9230" max="9472" width="9.140625" style="289"/>
    <col min="9473" max="9473" width="5.140625" style="289" customWidth="1"/>
    <col min="9474" max="9474" width="21.140625" style="289" customWidth="1"/>
    <col min="9475" max="9475" width="9.42578125" style="289" customWidth="1"/>
    <col min="9476" max="9476" width="11.5703125" style="289" customWidth="1"/>
    <col min="9477" max="9477" width="11" style="289" customWidth="1"/>
    <col min="9478" max="9478" width="12" style="289" customWidth="1"/>
    <col min="9479" max="9479" width="13.42578125" style="289" customWidth="1"/>
    <col min="9480" max="9480" width="9.140625" style="289"/>
    <col min="9481" max="9482" width="10.140625" style="289" bestFit="1" customWidth="1"/>
    <col min="9483" max="9484" width="9.140625" style="289"/>
    <col min="9485" max="9485" width="12.28515625" style="289" customWidth="1"/>
    <col min="9486" max="9728" width="9.140625" style="289"/>
    <col min="9729" max="9729" width="5.140625" style="289" customWidth="1"/>
    <col min="9730" max="9730" width="21.140625" style="289" customWidth="1"/>
    <col min="9731" max="9731" width="9.42578125" style="289" customWidth="1"/>
    <col min="9732" max="9732" width="11.5703125" style="289" customWidth="1"/>
    <col min="9733" max="9733" width="11" style="289" customWidth="1"/>
    <col min="9734" max="9734" width="12" style="289" customWidth="1"/>
    <col min="9735" max="9735" width="13.42578125" style="289" customWidth="1"/>
    <col min="9736" max="9736" width="9.140625" style="289"/>
    <col min="9737" max="9738" width="10.140625" style="289" bestFit="1" customWidth="1"/>
    <col min="9739" max="9740" width="9.140625" style="289"/>
    <col min="9741" max="9741" width="12.28515625" style="289" customWidth="1"/>
    <col min="9742" max="9984" width="9.140625" style="289"/>
    <col min="9985" max="9985" width="5.140625" style="289" customWidth="1"/>
    <col min="9986" max="9986" width="21.140625" style="289" customWidth="1"/>
    <col min="9987" max="9987" width="9.42578125" style="289" customWidth="1"/>
    <col min="9988" max="9988" width="11.5703125" style="289" customWidth="1"/>
    <col min="9989" max="9989" width="11" style="289" customWidth="1"/>
    <col min="9990" max="9990" width="12" style="289" customWidth="1"/>
    <col min="9991" max="9991" width="13.42578125" style="289" customWidth="1"/>
    <col min="9992" max="9992" width="9.140625" style="289"/>
    <col min="9993" max="9994" width="10.140625" style="289" bestFit="1" customWidth="1"/>
    <col min="9995" max="9996" width="9.140625" style="289"/>
    <col min="9997" max="9997" width="12.28515625" style="289" customWidth="1"/>
    <col min="9998" max="10240" width="9.140625" style="289"/>
    <col min="10241" max="10241" width="5.140625" style="289" customWidth="1"/>
    <col min="10242" max="10242" width="21.140625" style="289" customWidth="1"/>
    <col min="10243" max="10243" width="9.42578125" style="289" customWidth="1"/>
    <col min="10244" max="10244" width="11.5703125" style="289" customWidth="1"/>
    <col min="10245" max="10245" width="11" style="289" customWidth="1"/>
    <col min="10246" max="10246" width="12" style="289" customWidth="1"/>
    <col min="10247" max="10247" width="13.42578125" style="289" customWidth="1"/>
    <col min="10248" max="10248" width="9.140625" style="289"/>
    <col min="10249" max="10250" width="10.140625" style="289" bestFit="1" customWidth="1"/>
    <col min="10251" max="10252" width="9.140625" style="289"/>
    <col min="10253" max="10253" width="12.28515625" style="289" customWidth="1"/>
    <col min="10254" max="10496" width="9.140625" style="289"/>
    <col min="10497" max="10497" width="5.140625" style="289" customWidth="1"/>
    <col min="10498" max="10498" width="21.140625" style="289" customWidth="1"/>
    <col min="10499" max="10499" width="9.42578125" style="289" customWidth="1"/>
    <col min="10500" max="10500" width="11.5703125" style="289" customWidth="1"/>
    <col min="10501" max="10501" width="11" style="289" customWidth="1"/>
    <col min="10502" max="10502" width="12" style="289" customWidth="1"/>
    <col min="10503" max="10503" width="13.42578125" style="289" customWidth="1"/>
    <col min="10504" max="10504" width="9.140625" style="289"/>
    <col min="10505" max="10506" width="10.140625" style="289" bestFit="1" customWidth="1"/>
    <col min="10507" max="10508" width="9.140625" style="289"/>
    <col min="10509" max="10509" width="12.28515625" style="289" customWidth="1"/>
    <col min="10510" max="10752" width="9.140625" style="289"/>
    <col min="10753" max="10753" width="5.140625" style="289" customWidth="1"/>
    <col min="10754" max="10754" width="21.140625" style="289" customWidth="1"/>
    <col min="10755" max="10755" width="9.42578125" style="289" customWidth="1"/>
    <col min="10756" max="10756" width="11.5703125" style="289" customWidth="1"/>
    <col min="10757" max="10757" width="11" style="289" customWidth="1"/>
    <col min="10758" max="10758" width="12" style="289" customWidth="1"/>
    <col min="10759" max="10759" width="13.42578125" style="289" customWidth="1"/>
    <col min="10760" max="10760" width="9.140625" style="289"/>
    <col min="10761" max="10762" width="10.140625" style="289" bestFit="1" customWidth="1"/>
    <col min="10763" max="10764" width="9.140625" style="289"/>
    <col min="10765" max="10765" width="12.28515625" style="289" customWidth="1"/>
    <col min="10766" max="11008" width="9.140625" style="289"/>
    <col min="11009" max="11009" width="5.140625" style="289" customWidth="1"/>
    <col min="11010" max="11010" width="21.140625" style="289" customWidth="1"/>
    <col min="11011" max="11011" width="9.42578125" style="289" customWidth="1"/>
    <col min="11012" max="11012" width="11.5703125" style="289" customWidth="1"/>
    <col min="11013" max="11013" width="11" style="289" customWidth="1"/>
    <col min="11014" max="11014" width="12" style="289" customWidth="1"/>
    <col min="11015" max="11015" width="13.42578125" style="289" customWidth="1"/>
    <col min="11016" max="11016" width="9.140625" style="289"/>
    <col min="11017" max="11018" width="10.140625" style="289" bestFit="1" customWidth="1"/>
    <col min="11019" max="11020" width="9.140625" style="289"/>
    <col min="11021" max="11021" width="12.28515625" style="289" customWidth="1"/>
    <col min="11022" max="11264" width="9.140625" style="289"/>
    <col min="11265" max="11265" width="5.140625" style="289" customWidth="1"/>
    <col min="11266" max="11266" width="21.140625" style="289" customWidth="1"/>
    <col min="11267" max="11267" width="9.42578125" style="289" customWidth="1"/>
    <col min="11268" max="11268" width="11.5703125" style="289" customWidth="1"/>
    <col min="11269" max="11269" width="11" style="289" customWidth="1"/>
    <col min="11270" max="11270" width="12" style="289" customWidth="1"/>
    <col min="11271" max="11271" width="13.42578125" style="289" customWidth="1"/>
    <col min="11272" max="11272" width="9.140625" style="289"/>
    <col min="11273" max="11274" width="10.140625" style="289" bestFit="1" customWidth="1"/>
    <col min="11275" max="11276" width="9.140625" style="289"/>
    <col min="11277" max="11277" width="12.28515625" style="289" customWidth="1"/>
    <col min="11278" max="11520" width="9.140625" style="289"/>
    <col min="11521" max="11521" width="5.140625" style="289" customWidth="1"/>
    <col min="11522" max="11522" width="21.140625" style="289" customWidth="1"/>
    <col min="11523" max="11523" width="9.42578125" style="289" customWidth="1"/>
    <col min="11524" max="11524" width="11.5703125" style="289" customWidth="1"/>
    <col min="11525" max="11525" width="11" style="289" customWidth="1"/>
    <col min="11526" max="11526" width="12" style="289" customWidth="1"/>
    <col min="11527" max="11527" width="13.42578125" style="289" customWidth="1"/>
    <col min="11528" max="11528" width="9.140625" style="289"/>
    <col min="11529" max="11530" width="10.140625" style="289" bestFit="1" customWidth="1"/>
    <col min="11531" max="11532" width="9.140625" style="289"/>
    <col min="11533" max="11533" width="12.28515625" style="289" customWidth="1"/>
    <col min="11534" max="11776" width="9.140625" style="289"/>
    <col min="11777" max="11777" width="5.140625" style="289" customWidth="1"/>
    <col min="11778" max="11778" width="21.140625" style="289" customWidth="1"/>
    <col min="11779" max="11779" width="9.42578125" style="289" customWidth="1"/>
    <col min="11780" max="11780" width="11.5703125" style="289" customWidth="1"/>
    <col min="11781" max="11781" width="11" style="289" customWidth="1"/>
    <col min="11782" max="11782" width="12" style="289" customWidth="1"/>
    <col min="11783" max="11783" width="13.42578125" style="289" customWidth="1"/>
    <col min="11784" max="11784" width="9.140625" style="289"/>
    <col min="11785" max="11786" width="10.140625" style="289" bestFit="1" customWidth="1"/>
    <col min="11787" max="11788" width="9.140625" style="289"/>
    <col min="11789" max="11789" width="12.28515625" style="289" customWidth="1"/>
    <col min="11790" max="12032" width="9.140625" style="289"/>
    <col min="12033" max="12033" width="5.140625" style="289" customWidth="1"/>
    <col min="12034" max="12034" width="21.140625" style="289" customWidth="1"/>
    <col min="12035" max="12035" width="9.42578125" style="289" customWidth="1"/>
    <col min="12036" max="12036" width="11.5703125" style="289" customWidth="1"/>
    <col min="12037" max="12037" width="11" style="289" customWidth="1"/>
    <col min="12038" max="12038" width="12" style="289" customWidth="1"/>
    <col min="12039" max="12039" width="13.42578125" style="289" customWidth="1"/>
    <col min="12040" max="12040" width="9.140625" style="289"/>
    <col min="12041" max="12042" width="10.140625" style="289" bestFit="1" customWidth="1"/>
    <col min="12043" max="12044" width="9.140625" style="289"/>
    <col min="12045" max="12045" width="12.28515625" style="289" customWidth="1"/>
    <col min="12046" max="12288" width="9.140625" style="289"/>
    <col min="12289" max="12289" width="5.140625" style="289" customWidth="1"/>
    <col min="12290" max="12290" width="21.140625" style="289" customWidth="1"/>
    <col min="12291" max="12291" width="9.42578125" style="289" customWidth="1"/>
    <col min="12292" max="12292" width="11.5703125" style="289" customWidth="1"/>
    <col min="12293" max="12293" width="11" style="289" customWidth="1"/>
    <col min="12294" max="12294" width="12" style="289" customWidth="1"/>
    <col min="12295" max="12295" width="13.42578125" style="289" customWidth="1"/>
    <col min="12296" max="12296" width="9.140625" style="289"/>
    <col min="12297" max="12298" width="10.140625" style="289" bestFit="1" customWidth="1"/>
    <col min="12299" max="12300" width="9.140625" style="289"/>
    <col min="12301" max="12301" width="12.28515625" style="289" customWidth="1"/>
    <col min="12302" max="12544" width="9.140625" style="289"/>
    <col min="12545" max="12545" width="5.140625" style="289" customWidth="1"/>
    <col min="12546" max="12546" width="21.140625" style="289" customWidth="1"/>
    <col min="12547" max="12547" width="9.42578125" style="289" customWidth="1"/>
    <col min="12548" max="12548" width="11.5703125" style="289" customWidth="1"/>
    <col min="12549" max="12549" width="11" style="289" customWidth="1"/>
    <col min="12550" max="12550" width="12" style="289" customWidth="1"/>
    <col min="12551" max="12551" width="13.42578125" style="289" customWidth="1"/>
    <col min="12552" max="12552" width="9.140625" style="289"/>
    <col min="12553" max="12554" width="10.140625" style="289" bestFit="1" customWidth="1"/>
    <col min="12555" max="12556" width="9.140625" style="289"/>
    <col min="12557" max="12557" width="12.28515625" style="289" customWidth="1"/>
    <col min="12558" max="12800" width="9.140625" style="289"/>
    <col min="12801" max="12801" width="5.140625" style="289" customWidth="1"/>
    <col min="12802" max="12802" width="21.140625" style="289" customWidth="1"/>
    <col min="12803" max="12803" width="9.42578125" style="289" customWidth="1"/>
    <col min="12804" max="12804" width="11.5703125" style="289" customWidth="1"/>
    <col min="12805" max="12805" width="11" style="289" customWidth="1"/>
    <col min="12806" max="12806" width="12" style="289" customWidth="1"/>
    <col min="12807" max="12807" width="13.42578125" style="289" customWidth="1"/>
    <col min="12808" max="12808" width="9.140625" style="289"/>
    <col min="12809" max="12810" width="10.140625" style="289" bestFit="1" customWidth="1"/>
    <col min="12811" max="12812" width="9.140625" style="289"/>
    <col min="12813" max="12813" width="12.28515625" style="289" customWidth="1"/>
    <col min="12814" max="13056" width="9.140625" style="289"/>
    <col min="13057" max="13057" width="5.140625" style="289" customWidth="1"/>
    <col min="13058" max="13058" width="21.140625" style="289" customWidth="1"/>
    <col min="13059" max="13059" width="9.42578125" style="289" customWidth="1"/>
    <col min="13060" max="13060" width="11.5703125" style="289" customWidth="1"/>
    <col min="13061" max="13061" width="11" style="289" customWidth="1"/>
    <col min="13062" max="13062" width="12" style="289" customWidth="1"/>
    <col min="13063" max="13063" width="13.42578125" style="289" customWidth="1"/>
    <col min="13064" max="13064" width="9.140625" style="289"/>
    <col min="13065" max="13066" width="10.140625" style="289" bestFit="1" customWidth="1"/>
    <col min="13067" max="13068" width="9.140625" style="289"/>
    <col min="13069" max="13069" width="12.28515625" style="289" customWidth="1"/>
    <col min="13070" max="13312" width="9.140625" style="289"/>
    <col min="13313" max="13313" width="5.140625" style="289" customWidth="1"/>
    <col min="13314" max="13314" width="21.140625" style="289" customWidth="1"/>
    <col min="13315" max="13315" width="9.42578125" style="289" customWidth="1"/>
    <col min="13316" max="13316" width="11.5703125" style="289" customWidth="1"/>
    <col min="13317" max="13317" width="11" style="289" customWidth="1"/>
    <col min="13318" max="13318" width="12" style="289" customWidth="1"/>
    <col min="13319" max="13319" width="13.42578125" style="289" customWidth="1"/>
    <col min="13320" max="13320" width="9.140625" style="289"/>
    <col min="13321" max="13322" width="10.140625" style="289" bestFit="1" customWidth="1"/>
    <col min="13323" max="13324" width="9.140625" style="289"/>
    <col min="13325" max="13325" width="12.28515625" style="289" customWidth="1"/>
    <col min="13326" max="13568" width="9.140625" style="289"/>
    <col min="13569" max="13569" width="5.140625" style="289" customWidth="1"/>
    <col min="13570" max="13570" width="21.140625" style="289" customWidth="1"/>
    <col min="13571" max="13571" width="9.42578125" style="289" customWidth="1"/>
    <col min="13572" max="13572" width="11.5703125" style="289" customWidth="1"/>
    <col min="13573" max="13573" width="11" style="289" customWidth="1"/>
    <col min="13574" max="13574" width="12" style="289" customWidth="1"/>
    <col min="13575" max="13575" width="13.42578125" style="289" customWidth="1"/>
    <col min="13576" max="13576" width="9.140625" style="289"/>
    <col min="13577" max="13578" width="10.140625" style="289" bestFit="1" customWidth="1"/>
    <col min="13579" max="13580" width="9.140625" style="289"/>
    <col min="13581" max="13581" width="12.28515625" style="289" customWidth="1"/>
    <col min="13582" max="13824" width="9.140625" style="289"/>
    <col min="13825" max="13825" width="5.140625" style="289" customWidth="1"/>
    <col min="13826" max="13826" width="21.140625" style="289" customWidth="1"/>
    <col min="13827" max="13827" width="9.42578125" style="289" customWidth="1"/>
    <col min="13828" max="13828" width="11.5703125" style="289" customWidth="1"/>
    <col min="13829" max="13829" width="11" style="289" customWidth="1"/>
    <col min="13830" max="13830" width="12" style="289" customWidth="1"/>
    <col min="13831" max="13831" width="13.42578125" style="289" customWidth="1"/>
    <col min="13832" max="13832" width="9.140625" style="289"/>
    <col min="13833" max="13834" width="10.140625" style="289" bestFit="1" customWidth="1"/>
    <col min="13835" max="13836" width="9.140625" style="289"/>
    <col min="13837" max="13837" width="12.28515625" style="289" customWidth="1"/>
    <col min="13838" max="14080" width="9.140625" style="289"/>
    <col min="14081" max="14081" width="5.140625" style="289" customWidth="1"/>
    <col min="14082" max="14082" width="21.140625" style="289" customWidth="1"/>
    <col min="14083" max="14083" width="9.42578125" style="289" customWidth="1"/>
    <col min="14084" max="14084" width="11.5703125" style="289" customWidth="1"/>
    <col min="14085" max="14085" width="11" style="289" customWidth="1"/>
    <col min="14086" max="14086" width="12" style="289" customWidth="1"/>
    <col min="14087" max="14087" width="13.42578125" style="289" customWidth="1"/>
    <col min="14088" max="14088" width="9.140625" style="289"/>
    <col min="14089" max="14090" width="10.140625" style="289" bestFit="1" customWidth="1"/>
    <col min="14091" max="14092" width="9.140625" style="289"/>
    <col min="14093" max="14093" width="12.28515625" style="289" customWidth="1"/>
    <col min="14094" max="14336" width="9.140625" style="289"/>
    <col min="14337" max="14337" width="5.140625" style="289" customWidth="1"/>
    <col min="14338" max="14338" width="21.140625" style="289" customWidth="1"/>
    <col min="14339" max="14339" width="9.42578125" style="289" customWidth="1"/>
    <col min="14340" max="14340" width="11.5703125" style="289" customWidth="1"/>
    <col min="14341" max="14341" width="11" style="289" customWidth="1"/>
    <col min="14342" max="14342" width="12" style="289" customWidth="1"/>
    <col min="14343" max="14343" width="13.42578125" style="289" customWidth="1"/>
    <col min="14344" max="14344" width="9.140625" style="289"/>
    <col min="14345" max="14346" width="10.140625" style="289" bestFit="1" customWidth="1"/>
    <col min="14347" max="14348" width="9.140625" style="289"/>
    <col min="14349" max="14349" width="12.28515625" style="289" customWidth="1"/>
    <col min="14350" max="14592" width="9.140625" style="289"/>
    <col min="14593" max="14593" width="5.140625" style="289" customWidth="1"/>
    <col min="14594" max="14594" width="21.140625" style="289" customWidth="1"/>
    <col min="14595" max="14595" width="9.42578125" style="289" customWidth="1"/>
    <col min="14596" max="14596" width="11.5703125" style="289" customWidth="1"/>
    <col min="14597" max="14597" width="11" style="289" customWidth="1"/>
    <col min="14598" max="14598" width="12" style="289" customWidth="1"/>
    <col min="14599" max="14599" width="13.42578125" style="289" customWidth="1"/>
    <col min="14600" max="14600" width="9.140625" style="289"/>
    <col min="14601" max="14602" width="10.140625" style="289" bestFit="1" customWidth="1"/>
    <col min="14603" max="14604" width="9.140625" style="289"/>
    <col min="14605" max="14605" width="12.28515625" style="289" customWidth="1"/>
    <col min="14606" max="14848" width="9.140625" style="289"/>
    <col min="14849" max="14849" width="5.140625" style="289" customWidth="1"/>
    <col min="14850" max="14850" width="21.140625" style="289" customWidth="1"/>
    <col min="14851" max="14851" width="9.42578125" style="289" customWidth="1"/>
    <col min="14852" max="14852" width="11.5703125" style="289" customWidth="1"/>
    <col min="14853" max="14853" width="11" style="289" customWidth="1"/>
    <col min="14854" max="14854" width="12" style="289" customWidth="1"/>
    <col min="14855" max="14855" width="13.42578125" style="289" customWidth="1"/>
    <col min="14856" max="14856" width="9.140625" style="289"/>
    <col min="14857" max="14858" width="10.140625" style="289" bestFit="1" customWidth="1"/>
    <col min="14859" max="14860" width="9.140625" style="289"/>
    <col min="14861" max="14861" width="12.28515625" style="289" customWidth="1"/>
    <col min="14862" max="15104" width="9.140625" style="289"/>
    <col min="15105" max="15105" width="5.140625" style="289" customWidth="1"/>
    <col min="15106" max="15106" width="21.140625" style="289" customWidth="1"/>
    <col min="15107" max="15107" width="9.42578125" style="289" customWidth="1"/>
    <col min="15108" max="15108" width="11.5703125" style="289" customWidth="1"/>
    <col min="15109" max="15109" width="11" style="289" customWidth="1"/>
    <col min="15110" max="15110" width="12" style="289" customWidth="1"/>
    <col min="15111" max="15111" width="13.42578125" style="289" customWidth="1"/>
    <col min="15112" max="15112" width="9.140625" style="289"/>
    <col min="15113" max="15114" width="10.140625" style="289" bestFit="1" customWidth="1"/>
    <col min="15115" max="15116" width="9.140625" style="289"/>
    <col min="15117" max="15117" width="12.28515625" style="289" customWidth="1"/>
    <col min="15118" max="15360" width="9.140625" style="289"/>
    <col min="15361" max="15361" width="5.140625" style="289" customWidth="1"/>
    <col min="15362" max="15362" width="21.140625" style="289" customWidth="1"/>
    <col min="15363" max="15363" width="9.42578125" style="289" customWidth="1"/>
    <col min="15364" max="15364" width="11.5703125" style="289" customWidth="1"/>
    <col min="15365" max="15365" width="11" style="289" customWidth="1"/>
    <col min="15366" max="15366" width="12" style="289" customWidth="1"/>
    <col min="15367" max="15367" width="13.42578125" style="289" customWidth="1"/>
    <col min="15368" max="15368" width="9.140625" style="289"/>
    <col min="15369" max="15370" width="10.140625" style="289" bestFit="1" customWidth="1"/>
    <col min="15371" max="15372" width="9.140625" style="289"/>
    <col min="15373" max="15373" width="12.28515625" style="289" customWidth="1"/>
    <col min="15374" max="15616" width="9.140625" style="289"/>
    <col min="15617" max="15617" width="5.140625" style="289" customWidth="1"/>
    <col min="15618" max="15618" width="21.140625" style="289" customWidth="1"/>
    <col min="15619" max="15619" width="9.42578125" style="289" customWidth="1"/>
    <col min="15620" max="15620" width="11.5703125" style="289" customWidth="1"/>
    <col min="15621" max="15621" width="11" style="289" customWidth="1"/>
    <col min="15622" max="15622" width="12" style="289" customWidth="1"/>
    <col min="15623" max="15623" width="13.42578125" style="289" customWidth="1"/>
    <col min="15624" max="15624" width="9.140625" style="289"/>
    <col min="15625" max="15626" width="10.140625" style="289" bestFit="1" customWidth="1"/>
    <col min="15627" max="15628" width="9.140625" style="289"/>
    <col min="15629" max="15629" width="12.28515625" style="289" customWidth="1"/>
    <col min="15630" max="15872" width="9.140625" style="289"/>
    <col min="15873" max="15873" width="5.140625" style="289" customWidth="1"/>
    <col min="15874" max="15874" width="21.140625" style="289" customWidth="1"/>
    <col min="15875" max="15875" width="9.42578125" style="289" customWidth="1"/>
    <col min="15876" max="15876" width="11.5703125" style="289" customWidth="1"/>
    <col min="15877" max="15877" width="11" style="289" customWidth="1"/>
    <col min="15878" max="15878" width="12" style="289" customWidth="1"/>
    <col min="15879" max="15879" width="13.42578125" style="289" customWidth="1"/>
    <col min="15880" max="15880" width="9.140625" style="289"/>
    <col min="15881" max="15882" width="10.140625" style="289" bestFit="1" customWidth="1"/>
    <col min="15883" max="15884" width="9.140625" style="289"/>
    <col min="15885" max="15885" width="12.28515625" style="289" customWidth="1"/>
    <col min="15886" max="16128" width="9.140625" style="289"/>
    <col min="16129" max="16129" width="5.140625" style="289" customWidth="1"/>
    <col min="16130" max="16130" width="21.140625" style="289" customWidth="1"/>
    <col min="16131" max="16131" width="9.42578125" style="289" customWidth="1"/>
    <col min="16132" max="16132" width="11.5703125" style="289" customWidth="1"/>
    <col min="16133" max="16133" width="11" style="289" customWidth="1"/>
    <col min="16134" max="16134" width="12" style="289" customWidth="1"/>
    <col min="16135" max="16135" width="13.42578125" style="289" customWidth="1"/>
    <col min="16136" max="16136" width="9.140625" style="289"/>
    <col min="16137" max="16138" width="10.140625" style="289" bestFit="1" customWidth="1"/>
    <col min="16139" max="16140" width="9.140625" style="289"/>
    <col min="16141" max="16141" width="12.28515625" style="289" customWidth="1"/>
    <col min="16142" max="16384" width="9.140625" style="289"/>
  </cols>
  <sheetData>
    <row r="1" spans="1:9">
      <c r="B1" s="287" t="s">
        <v>1336</v>
      </c>
    </row>
    <row r="2" spans="1:9">
      <c r="B2" s="287" t="s">
        <v>1065</v>
      </c>
      <c r="C2" s="289" t="str">
        <f>Cover!E18</f>
        <v>K81414038D</v>
      </c>
    </row>
    <row r="3" spans="1:9">
      <c r="B3" s="287"/>
    </row>
    <row r="4" spans="1:9" ht="15.75">
      <c r="B4" s="572" t="s">
        <v>1048</v>
      </c>
      <c r="C4" s="572"/>
      <c r="D4" s="572"/>
      <c r="E4" s="572"/>
      <c r="F4" s="572"/>
      <c r="G4" s="572"/>
    </row>
    <row r="6" spans="1:9">
      <c r="A6" s="573" t="s">
        <v>1049</v>
      </c>
      <c r="B6" s="575" t="s">
        <v>1050</v>
      </c>
      <c r="C6" s="573" t="s">
        <v>1051</v>
      </c>
      <c r="D6" s="308" t="s">
        <v>330</v>
      </c>
      <c r="E6" s="573" t="s">
        <v>113</v>
      </c>
      <c r="F6" s="573" t="s">
        <v>1052</v>
      </c>
      <c r="G6" s="308" t="s">
        <v>330</v>
      </c>
    </row>
    <row r="7" spans="1:9">
      <c r="A7" s="574"/>
      <c r="B7" s="576"/>
      <c r="C7" s="574"/>
      <c r="D7" s="309">
        <v>40179</v>
      </c>
      <c r="E7" s="574"/>
      <c r="F7" s="574"/>
      <c r="G7" s="309">
        <v>40543</v>
      </c>
      <c r="H7" s="294"/>
      <c r="I7" s="294"/>
    </row>
    <row r="8" spans="1:9">
      <c r="A8" s="310">
        <v>1</v>
      </c>
      <c r="B8" s="304" t="s">
        <v>104</v>
      </c>
      <c r="C8" s="310"/>
      <c r="D8" s="468"/>
      <c r="E8" s="468"/>
      <c r="F8" s="468"/>
      <c r="G8" s="468">
        <f t="shared" ref="G8:G16" si="0">D8+E8-F8</f>
        <v>0</v>
      </c>
      <c r="H8" s="294"/>
      <c r="I8" s="294"/>
    </row>
    <row r="9" spans="1:9">
      <c r="A9" s="310">
        <v>2</v>
      </c>
      <c r="B9" s="304" t="s">
        <v>1053</v>
      </c>
      <c r="C9" s="310"/>
      <c r="D9" s="468"/>
      <c r="E9" s="468"/>
      <c r="F9" s="468"/>
      <c r="G9" s="468">
        <f t="shared" si="0"/>
        <v>0</v>
      </c>
      <c r="H9" s="312"/>
      <c r="I9" s="313"/>
    </row>
    <row r="10" spans="1:9">
      <c r="A10" s="310">
        <v>3</v>
      </c>
      <c r="B10" s="314" t="s">
        <v>1054</v>
      </c>
      <c r="C10" s="310"/>
      <c r="D10" s="468">
        <f>'Assets 7'!D10</f>
        <v>355737</v>
      </c>
      <c r="E10" s="468"/>
      <c r="F10" s="468"/>
      <c r="G10" s="468">
        <f t="shared" si="0"/>
        <v>355737</v>
      </c>
      <c r="H10" s="312"/>
      <c r="I10" s="313"/>
    </row>
    <row r="11" spans="1:9">
      <c r="A11" s="310">
        <v>4</v>
      </c>
      <c r="B11" s="314" t="s">
        <v>1055</v>
      </c>
      <c r="C11" s="310">
        <v>5</v>
      </c>
      <c r="D11" s="468"/>
      <c r="E11" s="468">
        <f>'Assets 7'!E11</f>
        <v>4735860.5</v>
      </c>
      <c r="F11" s="468"/>
      <c r="G11" s="468">
        <f t="shared" si="0"/>
        <v>4735860.5</v>
      </c>
      <c r="H11" s="312"/>
      <c r="I11" s="313"/>
    </row>
    <row r="12" spans="1:9">
      <c r="A12" s="310">
        <v>5</v>
      </c>
      <c r="B12" s="314" t="s">
        <v>1056</v>
      </c>
      <c r="C12" s="310">
        <v>2</v>
      </c>
      <c r="D12" s="468"/>
      <c r="E12" s="468">
        <f>'Assets 7'!I11</f>
        <v>345493.65</v>
      </c>
      <c r="F12" s="468"/>
      <c r="G12" s="468">
        <f t="shared" si="0"/>
        <v>345493.65</v>
      </c>
      <c r="H12" s="312"/>
      <c r="I12" s="313"/>
    </row>
    <row r="13" spans="1:9">
      <c r="A13" s="310">
        <v>1</v>
      </c>
      <c r="B13" s="314" t="s">
        <v>1057</v>
      </c>
      <c r="C13" s="310"/>
      <c r="D13" s="468"/>
      <c r="E13" s="468"/>
      <c r="F13" s="468"/>
      <c r="G13" s="468">
        <f t="shared" si="0"/>
        <v>0</v>
      </c>
      <c r="H13" s="312"/>
      <c r="I13" s="313"/>
    </row>
    <row r="14" spans="1:9">
      <c r="A14" s="310">
        <v>2</v>
      </c>
      <c r="B14" s="315"/>
      <c r="C14" s="310"/>
      <c r="D14" s="468"/>
      <c r="E14" s="468"/>
      <c r="F14" s="468"/>
      <c r="G14" s="468">
        <f t="shared" si="0"/>
        <v>0</v>
      </c>
      <c r="H14" s="294"/>
      <c r="I14" s="294"/>
    </row>
    <row r="15" spans="1:9">
      <c r="A15" s="310">
        <v>3</v>
      </c>
      <c r="B15" s="315"/>
      <c r="C15" s="310"/>
      <c r="D15" s="311"/>
      <c r="E15" s="311"/>
      <c r="F15" s="311"/>
      <c r="G15" s="468">
        <f t="shared" si="0"/>
        <v>0</v>
      </c>
      <c r="H15" s="294"/>
      <c r="I15" s="294"/>
    </row>
    <row r="16" spans="1:9" ht="13.5" thickBot="1">
      <c r="A16" s="316">
        <v>4</v>
      </c>
      <c r="B16" s="317"/>
      <c r="C16" s="316"/>
      <c r="D16" s="318"/>
      <c r="E16" s="318"/>
      <c r="F16" s="318"/>
      <c r="G16" s="565">
        <f t="shared" si="0"/>
        <v>0</v>
      </c>
      <c r="H16" s="294"/>
      <c r="I16" s="294"/>
    </row>
    <row r="17" spans="1:9" ht="13.5" thickBot="1">
      <c r="A17" s="319"/>
      <c r="B17" s="320" t="s">
        <v>1058</v>
      </c>
      <c r="C17" s="321"/>
      <c r="D17" s="322">
        <f>SUM(D8:D16)</f>
        <v>355737</v>
      </c>
      <c r="E17" s="322">
        <f>SUM(E8:E16)</f>
        <v>5081354.1500000004</v>
      </c>
      <c r="F17" s="566">
        <f>SUM(F8:F16)</f>
        <v>0</v>
      </c>
      <c r="G17" s="323">
        <f>SUM(G8:G16)</f>
        <v>5437091.1500000004</v>
      </c>
      <c r="I17" s="324"/>
    </row>
    <row r="20" spans="1:9" ht="15.75">
      <c r="B20" s="572" t="s">
        <v>1059</v>
      </c>
      <c r="C20" s="572"/>
      <c r="D20" s="572"/>
      <c r="E20" s="572"/>
      <c r="F20" s="572"/>
      <c r="G20" s="572"/>
      <c r="I20" s="324"/>
    </row>
    <row r="22" spans="1:9">
      <c r="A22" s="573" t="s">
        <v>1049</v>
      </c>
      <c r="B22" s="575" t="s">
        <v>1050</v>
      </c>
      <c r="C22" s="573" t="s">
        <v>1051</v>
      </c>
      <c r="D22" s="308" t="s">
        <v>330</v>
      </c>
      <c r="E22" s="573" t="s">
        <v>113</v>
      </c>
      <c r="F22" s="573" t="s">
        <v>1052</v>
      </c>
      <c r="G22" s="308" t="s">
        <v>330</v>
      </c>
    </row>
    <row r="23" spans="1:9">
      <c r="A23" s="574"/>
      <c r="B23" s="576"/>
      <c r="C23" s="574"/>
      <c r="D23" s="309">
        <v>40179</v>
      </c>
      <c r="E23" s="574"/>
      <c r="F23" s="574"/>
      <c r="G23" s="309">
        <v>40543</v>
      </c>
    </row>
    <row r="24" spans="1:9">
      <c r="A24" s="310">
        <v>1</v>
      </c>
      <c r="B24" s="304" t="s">
        <v>104</v>
      </c>
      <c r="C24" s="563"/>
      <c r="D24" s="468">
        <v>0</v>
      </c>
      <c r="E24" s="468">
        <v>0</v>
      </c>
      <c r="F24" s="468"/>
      <c r="G24" s="468">
        <f>D24+E24</f>
        <v>0</v>
      </c>
    </row>
    <row r="25" spans="1:9">
      <c r="A25" s="310">
        <v>2</v>
      </c>
      <c r="B25" s="304" t="s">
        <v>1053</v>
      </c>
      <c r="C25" s="563"/>
      <c r="D25" s="468"/>
      <c r="E25" s="468"/>
      <c r="F25" s="468"/>
      <c r="G25" s="468">
        <f>D25+E25</f>
        <v>0</v>
      </c>
    </row>
    <row r="26" spans="1:9">
      <c r="A26" s="310">
        <v>3</v>
      </c>
      <c r="B26" s="314" t="s">
        <v>1060</v>
      </c>
      <c r="C26" s="563"/>
      <c r="D26" s="468">
        <f>'Assets 7'!D17</f>
        <v>73595</v>
      </c>
      <c r="E26" s="468"/>
      <c r="F26" s="468"/>
      <c r="G26" s="468">
        <f>D26+E26</f>
        <v>73595</v>
      </c>
    </row>
    <row r="27" spans="1:9">
      <c r="A27" s="310">
        <v>4</v>
      </c>
      <c r="B27" s="314" t="s">
        <v>1055</v>
      </c>
      <c r="C27" s="563"/>
      <c r="D27" s="468"/>
      <c r="E27" s="468">
        <f>'Assets 7'!E18</f>
        <v>353700.88333333336</v>
      </c>
      <c r="F27" s="468"/>
      <c r="G27" s="468">
        <f>D27+E27</f>
        <v>353700.88333333336</v>
      </c>
    </row>
    <row r="28" spans="1:9">
      <c r="A28" s="310">
        <v>5</v>
      </c>
      <c r="B28" s="314" t="s">
        <v>1056</v>
      </c>
      <c r="C28" s="563"/>
      <c r="D28" s="468"/>
      <c r="E28" s="468">
        <f>'Assets 7'!I18</f>
        <v>29767</v>
      </c>
      <c r="F28" s="468"/>
      <c r="G28" s="468">
        <f>D28+E28</f>
        <v>29767</v>
      </c>
    </row>
    <row r="29" spans="1:9">
      <c r="A29" s="310">
        <v>1</v>
      </c>
      <c r="B29" s="314" t="s">
        <v>1057</v>
      </c>
      <c r="C29" s="563"/>
      <c r="D29" s="468"/>
      <c r="E29" s="468"/>
      <c r="F29" s="468"/>
      <c r="G29" s="468"/>
    </row>
    <row r="30" spans="1:9">
      <c r="A30" s="310">
        <v>2</v>
      </c>
      <c r="B30" s="315"/>
      <c r="C30" s="563"/>
      <c r="D30" s="468"/>
      <c r="E30" s="468"/>
      <c r="F30" s="468"/>
      <c r="G30" s="468">
        <f>D30+E30-F30</f>
        <v>0</v>
      </c>
    </row>
    <row r="31" spans="1:9">
      <c r="A31" s="310">
        <v>3</v>
      </c>
      <c r="B31" s="315"/>
      <c r="C31" s="563"/>
      <c r="D31" s="468"/>
      <c r="E31" s="468"/>
      <c r="F31" s="468"/>
      <c r="G31" s="468">
        <f>D31+E31-F31</f>
        <v>0</v>
      </c>
    </row>
    <row r="32" spans="1:9" ht="13.5" thickBot="1">
      <c r="A32" s="316">
        <v>4</v>
      </c>
      <c r="B32" s="317"/>
      <c r="C32" s="564"/>
      <c r="D32" s="565"/>
      <c r="E32" s="565"/>
      <c r="F32" s="565"/>
      <c r="G32" s="565">
        <f>D32+E32-F32</f>
        <v>0</v>
      </c>
    </row>
    <row r="33" spans="1:14" ht="13.5" thickBot="1">
      <c r="A33" s="319"/>
      <c r="B33" s="320" t="s">
        <v>1058</v>
      </c>
      <c r="C33" s="321"/>
      <c r="D33" s="322">
        <f>SUM(D24:D32)</f>
        <v>73595</v>
      </c>
      <c r="E33" s="322">
        <f>SUM(E24:E32)</f>
        <v>383467.88333333336</v>
      </c>
      <c r="F33" s="322">
        <f>SUM(F24:F32)</f>
        <v>0</v>
      </c>
      <c r="G33" s="323">
        <f>SUM(G24:G32)</f>
        <v>457062.88333333336</v>
      </c>
      <c r="H33" s="325"/>
      <c r="I33" s="324"/>
      <c r="J33" s="324"/>
    </row>
    <row r="34" spans="1:14">
      <c r="G34" s="325"/>
    </row>
    <row r="36" spans="1:14" ht="15.75">
      <c r="B36" s="572" t="s">
        <v>1061</v>
      </c>
      <c r="C36" s="572"/>
      <c r="D36" s="572"/>
      <c r="E36" s="572"/>
      <c r="F36" s="572"/>
      <c r="G36" s="572"/>
    </row>
    <row r="38" spans="1:14">
      <c r="A38" s="573" t="s">
        <v>1049</v>
      </c>
      <c r="B38" s="575" t="s">
        <v>1050</v>
      </c>
      <c r="C38" s="573" t="s">
        <v>1051</v>
      </c>
      <c r="D38" s="308" t="s">
        <v>330</v>
      </c>
      <c r="E38" s="573" t="s">
        <v>113</v>
      </c>
      <c r="F38" s="573" t="s">
        <v>1052</v>
      </c>
      <c r="G38" s="308" t="s">
        <v>330</v>
      </c>
    </row>
    <row r="39" spans="1:14">
      <c r="A39" s="574"/>
      <c r="B39" s="576"/>
      <c r="C39" s="574"/>
      <c r="D39" s="309">
        <v>40179</v>
      </c>
      <c r="E39" s="574"/>
      <c r="F39" s="574"/>
      <c r="G39" s="309">
        <v>40543</v>
      </c>
    </row>
    <row r="40" spans="1:14">
      <c r="A40" s="310">
        <v>1</v>
      </c>
      <c r="B40" s="304" t="s">
        <v>104</v>
      </c>
      <c r="C40" s="310"/>
      <c r="D40" s="468">
        <f>D8-D24</f>
        <v>0</v>
      </c>
      <c r="E40" s="468">
        <f t="shared" ref="E40:F40" si="1">E8-E24</f>
        <v>0</v>
      </c>
      <c r="F40" s="468">
        <f t="shared" si="1"/>
        <v>0</v>
      </c>
      <c r="G40" s="468">
        <f t="shared" ref="G40:G48" si="2">D40+E40-F40</f>
        <v>0</v>
      </c>
    </row>
    <row r="41" spans="1:14">
      <c r="A41" s="310">
        <v>2</v>
      </c>
      <c r="B41" s="314" t="s">
        <v>1053</v>
      </c>
      <c r="C41" s="310"/>
      <c r="D41" s="468">
        <f t="shared" ref="D41:F41" si="3">D9-D25</f>
        <v>0</v>
      </c>
      <c r="E41" s="468">
        <f t="shared" si="3"/>
        <v>0</v>
      </c>
      <c r="F41" s="468">
        <f t="shared" si="3"/>
        <v>0</v>
      </c>
      <c r="G41" s="468">
        <f t="shared" si="2"/>
        <v>0</v>
      </c>
      <c r="M41" s="294"/>
      <c r="N41" s="294"/>
    </row>
    <row r="42" spans="1:14">
      <c r="A42" s="310">
        <v>3</v>
      </c>
      <c r="B42" s="314" t="s">
        <v>1060</v>
      </c>
      <c r="C42" s="310"/>
      <c r="D42" s="468">
        <f t="shared" ref="D42:F42" si="4">D10-D26</f>
        <v>282142</v>
      </c>
      <c r="E42" s="468">
        <f t="shared" si="4"/>
        <v>0</v>
      </c>
      <c r="F42" s="468">
        <f t="shared" si="4"/>
        <v>0</v>
      </c>
      <c r="G42" s="468">
        <f t="shared" si="2"/>
        <v>282142</v>
      </c>
      <c r="M42" s="294"/>
      <c r="N42" s="294"/>
    </row>
    <row r="43" spans="1:14">
      <c r="A43" s="310">
        <v>4</v>
      </c>
      <c r="B43" s="314" t="s">
        <v>1055</v>
      </c>
      <c r="C43" s="310"/>
      <c r="D43" s="468">
        <f t="shared" ref="D43:F43" si="5">D11-D27</f>
        <v>0</v>
      </c>
      <c r="E43" s="468">
        <f t="shared" si="5"/>
        <v>4382159.6166666662</v>
      </c>
      <c r="F43" s="468">
        <f t="shared" si="5"/>
        <v>0</v>
      </c>
      <c r="G43" s="468">
        <f t="shared" si="2"/>
        <v>4382159.6166666662</v>
      </c>
      <c r="M43" s="294"/>
      <c r="N43" s="294"/>
    </row>
    <row r="44" spans="1:14">
      <c r="A44" s="310">
        <v>5</v>
      </c>
      <c r="B44" s="314" t="s">
        <v>1056</v>
      </c>
      <c r="C44" s="310"/>
      <c r="D44" s="468">
        <f t="shared" ref="D44:F44" si="6">D12-D28</f>
        <v>0</v>
      </c>
      <c r="E44" s="468">
        <f t="shared" si="6"/>
        <v>315726.65000000002</v>
      </c>
      <c r="F44" s="468">
        <f t="shared" si="6"/>
        <v>0</v>
      </c>
      <c r="G44" s="468">
        <f t="shared" si="2"/>
        <v>315726.65000000002</v>
      </c>
      <c r="M44" s="294"/>
      <c r="N44" s="294"/>
    </row>
    <row r="45" spans="1:14">
      <c r="A45" s="310">
        <v>1</v>
      </c>
      <c r="B45" s="314" t="s">
        <v>1057</v>
      </c>
      <c r="C45" s="310"/>
      <c r="D45" s="468">
        <f t="shared" ref="D45:F45" si="7">D13-D29</f>
        <v>0</v>
      </c>
      <c r="E45" s="468">
        <f t="shared" si="7"/>
        <v>0</v>
      </c>
      <c r="F45" s="468">
        <f t="shared" si="7"/>
        <v>0</v>
      </c>
      <c r="G45" s="468">
        <f t="shared" si="2"/>
        <v>0</v>
      </c>
      <c r="M45" s="294"/>
      <c r="N45" s="294"/>
    </row>
    <row r="46" spans="1:14">
      <c r="A46" s="310">
        <v>2</v>
      </c>
      <c r="B46" s="314"/>
      <c r="C46" s="310"/>
      <c r="D46" s="468"/>
      <c r="E46" s="468"/>
      <c r="F46" s="468"/>
      <c r="G46" s="468">
        <f t="shared" si="2"/>
        <v>0</v>
      </c>
      <c r="M46" s="294"/>
      <c r="N46" s="294"/>
    </row>
    <row r="47" spans="1:14">
      <c r="A47" s="310">
        <v>3</v>
      </c>
      <c r="B47" s="315"/>
      <c r="C47" s="310"/>
      <c r="D47" s="468"/>
      <c r="E47" s="468"/>
      <c r="F47" s="468"/>
      <c r="G47" s="468">
        <f t="shared" si="2"/>
        <v>0</v>
      </c>
      <c r="M47" s="294"/>
      <c r="N47" s="294"/>
    </row>
    <row r="48" spans="1:14" ht="13.5" thickBot="1">
      <c r="A48" s="316">
        <v>4</v>
      </c>
      <c r="B48" s="317"/>
      <c r="C48" s="316"/>
      <c r="D48" s="565"/>
      <c r="E48" s="565"/>
      <c r="F48" s="565"/>
      <c r="G48" s="565">
        <f t="shared" si="2"/>
        <v>0</v>
      </c>
      <c r="M48" s="294"/>
      <c r="N48" s="294"/>
    </row>
    <row r="49" spans="1:14" ht="13.5" thickBot="1">
      <c r="A49" s="319"/>
      <c r="B49" s="320" t="s">
        <v>1058</v>
      </c>
      <c r="C49" s="321"/>
      <c r="D49" s="322">
        <f>SUM(D40:D48)</f>
        <v>282142</v>
      </c>
      <c r="E49" s="322">
        <f>SUM(E40:E48)</f>
        <v>4697886.2666666666</v>
      </c>
      <c r="F49" s="566">
        <f>SUM(F40:F48)</f>
        <v>0</v>
      </c>
      <c r="G49" s="323">
        <f>SUM(G40:G48)</f>
        <v>4980028.2666666666</v>
      </c>
      <c r="I49" s="325"/>
      <c r="J49" s="324"/>
      <c r="M49" s="326"/>
      <c r="N49" s="294"/>
    </row>
    <row r="50" spans="1:14" s="294" customFormat="1">
      <c r="F50" s="313"/>
      <c r="G50" s="327"/>
      <c r="J50" s="313"/>
    </row>
    <row r="51" spans="1:14" ht="15.75">
      <c r="D51" s="324"/>
      <c r="E51" s="577" t="s">
        <v>986</v>
      </c>
      <c r="F51" s="577"/>
      <c r="G51" s="577"/>
      <c r="I51" s="325"/>
      <c r="M51" s="294"/>
      <c r="N51" s="294"/>
    </row>
    <row r="52" spans="1:14">
      <c r="D52" s="324"/>
      <c r="G52" s="324"/>
      <c r="I52" s="324"/>
      <c r="M52" s="294"/>
      <c r="N52" s="294"/>
    </row>
    <row r="53" spans="1:14">
      <c r="F53" s="289" t="s">
        <v>1322</v>
      </c>
      <c r="M53" s="294"/>
      <c r="N53" s="294"/>
    </row>
    <row r="54" spans="1:14">
      <c r="E54" s="578"/>
      <c r="F54" s="578"/>
      <c r="G54" s="578"/>
    </row>
    <row r="55" spans="1:14" ht="15">
      <c r="G55" s="560"/>
    </row>
  </sheetData>
  <mergeCells count="20">
    <mergeCell ref="E51:G51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55000000000000004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>
    <tabColor rgb="FFFFC000"/>
  </sheetPr>
  <dimension ref="A1:O65"/>
  <sheetViews>
    <sheetView topLeftCell="H1" workbookViewId="0">
      <selection activeCell="V36" sqref="V36:V37"/>
    </sheetView>
  </sheetViews>
  <sheetFormatPr defaultRowHeight="12.75"/>
  <cols>
    <col min="1" max="1" width="0" style="289" hidden="1" customWidth="1"/>
    <col min="2" max="2" width="32.5703125" style="289" hidden="1" customWidth="1"/>
    <col min="3" max="3" width="17" style="289" hidden="1" customWidth="1"/>
    <col min="4" max="7" width="0" style="289" hidden="1" customWidth="1"/>
    <col min="8" max="8" width="3.7109375" style="289" customWidth="1"/>
    <col min="9" max="9" width="10.85546875" style="289" customWidth="1"/>
    <col min="10" max="10" width="33.85546875" style="289" customWidth="1"/>
    <col min="11" max="11" width="23.85546875" style="289" customWidth="1"/>
    <col min="12" max="256" width="9.140625" style="289"/>
    <col min="257" max="263" width="0" style="289" hidden="1" customWidth="1"/>
    <col min="264" max="264" width="3.7109375" style="289" customWidth="1"/>
    <col min="265" max="265" width="10.85546875" style="289" customWidth="1"/>
    <col min="266" max="266" width="33.85546875" style="289" customWidth="1"/>
    <col min="267" max="267" width="23.85546875" style="289" customWidth="1"/>
    <col min="268" max="512" width="9.140625" style="289"/>
    <col min="513" max="519" width="0" style="289" hidden="1" customWidth="1"/>
    <col min="520" max="520" width="3.7109375" style="289" customWidth="1"/>
    <col min="521" max="521" width="10.85546875" style="289" customWidth="1"/>
    <col min="522" max="522" width="33.85546875" style="289" customWidth="1"/>
    <col min="523" max="523" width="23.85546875" style="289" customWidth="1"/>
    <col min="524" max="768" width="9.140625" style="289"/>
    <col min="769" max="775" width="0" style="289" hidden="1" customWidth="1"/>
    <col min="776" max="776" width="3.7109375" style="289" customWidth="1"/>
    <col min="777" max="777" width="10.85546875" style="289" customWidth="1"/>
    <col min="778" max="778" width="33.85546875" style="289" customWidth="1"/>
    <col min="779" max="779" width="23.85546875" style="289" customWidth="1"/>
    <col min="780" max="1024" width="9.140625" style="289"/>
    <col min="1025" max="1031" width="0" style="289" hidden="1" customWidth="1"/>
    <col min="1032" max="1032" width="3.7109375" style="289" customWidth="1"/>
    <col min="1033" max="1033" width="10.85546875" style="289" customWidth="1"/>
    <col min="1034" max="1034" width="33.85546875" style="289" customWidth="1"/>
    <col min="1035" max="1035" width="23.85546875" style="289" customWidth="1"/>
    <col min="1036" max="1280" width="9.140625" style="289"/>
    <col min="1281" max="1287" width="0" style="289" hidden="1" customWidth="1"/>
    <col min="1288" max="1288" width="3.7109375" style="289" customWidth="1"/>
    <col min="1289" max="1289" width="10.85546875" style="289" customWidth="1"/>
    <col min="1290" max="1290" width="33.85546875" style="289" customWidth="1"/>
    <col min="1291" max="1291" width="23.85546875" style="289" customWidth="1"/>
    <col min="1292" max="1536" width="9.140625" style="289"/>
    <col min="1537" max="1543" width="0" style="289" hidden="1" customWidth="1"/>
    <col min="1544" max="1544" width="3.7109375" style="289" customWidth="1"/>
    <col min="1545" max="1545" width="10.85546875" style="289" customWidth="1"/>
    <col min="1546" max="1546" width="33.85546875" style="289" customWidth="1"/>
    <col min="1547" max="1547" width="23.85546875" style="289" customWidth="1"/>
    <col min="1548" max="1792" width="9.140625" style="289"/>
    <col min="1793" max="1799" width="0" style="289" hidden="1" customWidth="1"/>
    <col min="1800" max="1800" width="3.7109375" style="289" customWidth="1"/>
    <col min="1801" max="1801" width="10.85546875" style="289" customWidth="1"/>
    <col min="1802" max="1802" width="33.85546875" style="289" customWidth="1"/>
    <col min="1803" max="1803" width="23.85546875" style="289" customWidth="1"/>
    <col min="1804" max="2048" width="9.140625" style="289"/>
    <col min="2049" max="2055" width="0" style="289" hidden="1" customWidth="1"/>
    <col min="2056" max="2056" width="3.7109375" style="289" customWidth="1"/>
    <col min="2057" max="2057" width="10.85546875" style="289" customWidth="1"/>
    <col min="2058" max="2058" width="33.85546875" style="289" customWidth="1"/>
    <col min="2059" max="2059" width="23.85546875" style="289" customWidth="1"/>
    <col min="2060" max="2304" width="9.140625" style="289"/>
    <col min="2305" max="2311" width="0" style="289" hidden="1" customWidth="1"/>
    <col min="2312" max="2312" width="3.7109375" style="289" customWidth="1"/>
    <col min="2313" max="2313" width="10.85546875" style="289" customWidth="1"/>
    <col min="2314" max="2314" width="33.85546875" style="289" customWidth="1"/>
    <col min="2315" max="2315" width="23.85546875" style="289" customWidth="1"/>
    <col min="2316" max="2560" width="9.140625" style="289"/>
    <col min="2561" max="2567" width="0" style="289" hidden="1" customWidth="1"/>
    <col min="2568" max="2568" width="3.7109375" style="289" customWidth="1"/>
    <col min="2569" max="2569" width="10.85546875" style="289" customWidth="1"/>
    <col min="2570" max="2570" width="33.85546875" style="289" customWidth="1"/>
    <col min="2571" max="2571" width="23.85546875" style="289" customWidth="1"/>
    <col min="2572" max="2816" width="9.140625" style="289"/>
    <col min="2817" max="2823" width="0" style="289" hidden="1" customWidth="1"/>
    <col min="2824" max="2824" width="3.7109375" style="289" customWidth="1"/>
    <col min="2825" max="2825" width="10.85546875" style="289" customWidth="1"/>
    <col min="2826" max="2826" width="33.85546875" style="289" customWidth="1"/>
    <col min="2827" max="2827" width="23.85546875" style="289" customWidth="1"/>
    <col min="2828" max="3072" width="9.140625" style="289"/>
    <col min="3073" max="3079" width="0" style="289" hidden="1" customWidth="1"/>
    <col min="3080" max="3080" width="3.7109375" style="289" customWidth="1"/>
    <col min="3081" max="3081" width="10.85546875" style="289" customWidth="1"/>
    <col min="3082" max="3082" width="33.85546875" style="289" customWidth="1"/>
    <col min="3083" max="3083" width="23.85546875" style="289" customWidth="1"/>
    <col min="3084" max="3328" width="9.140625" style="289"/>
    <col min="3329" max="3335" width="0" style="289" hidden="1" customWidth="1"/>
    <col min="3336" max="3336" width="3.7109375" style="289" customWidth="1"/>
    <col min="3337" max="3337" width="10.85546875" style="289" customWidth="1"/>
    <col min="3338" max="3338" width="33.85546875" style="289" customWidth="1"/>
    <col min="3339" max="3339" width="23.85546875" style="289" customWidth="1"/>
    <col min="3340" max="3584" width="9.140625" style="289"/>
    <col min="3585" max="3591" width="0" style="289" hidden="1" customWidth="1"/>
    <col min="3592" max="3592" width="3.7109375" style="289" customWidth="1"/>
    <col min="3593" max="3593" width="10.85546875" style="289" customWidth="1"/>
    <col min="3594" max="3594" width="33.85546875" style="289" customWidth="1"/>
    <col min="3595" max="3595" width="23.85546875" style="289" customWidth="1"/>
    <col min="3596" max="3840" width="9.140625" style="289"/>
    <col min="3841" max="3847" width="0" style="289" hidden="1" customWidth="1"/>
    <col min="3848" max="3848" width="3.7109375" style="289" customWidth="1"/>
    <col min="3849" max="3849" width="10.85546875" style="289" customWidth="1"/>
    <col min="3850" max="3850" width="33.85546875" style="289" customWidth="1"/>
    <col min="3851" max="3851" width="23.85546875" style="289" customWidth="1"/>
    <col min="3852" max="4096" width="9.140625" style="289"/>
    <col min="4097" max="4103" width="0" style="289" hidden="1" customWidth="1"/>
    <col min="4104" max="4104" width="3.7109375" style="289" customWidth="1"/>
    <col min="4105" max="4105" width="10.85546875" style="289" customWidth="1"/>
    <col min="4106" max="4106" width="33.85546875" style="289" customWidth="1"/>
    <col min="4107" max="4107" width="23.85546875" style="289" customWidth="1"/>
    <col min="4108" max="4352" width="9.140625" style="289"/>
    <col min="4353" max="4359" width="0" style="289" hidden="1" customWidth="1"/>
    <col min="4360" max="4360" width="3.7109375" style="289" customWidth="1"/>
    <col min="4361" max="4361" width="10.85546875" style="289" customWidth="1"/>
    <col min="4362" max="4362" width="33.85546875" style="289" customWidth="1"/>
    <col min="4363" max="4363" width="23.85546875" style="289" customWidth="1"/>
    <col min="4364" max="4608" width="9.140625" style="289"/>
    <col min="4609" max="4615" width="0" style="289" hidden="1" customWidth="1"/>
    <col min="4616" max="4616" width="3.7109375" style="289" customWidth="1"/>
    <col min="4617" max="4617" width="10.85546875" style="289" customWidth="1"/>
    <col min="4618" max="4618" width="33.85546875" style="289" customWidth="1"/>
    <col min="4619" max="4619" width="23.85546875" style="289" customWidth="1"/>
    <col min="4620" max="4864" width="9.140625" style="289"/>
    <col min="4865" max="4871" width="0" style="289" hidden="1" customWidth="1"/>
    <col min="4872" max="4872" width="3.7109375" style="289" customWidth="1"/>
    <col min="4873" max="4873" width="10.85546875" style="289" customWidth="1"/>
    <col min="4874" max="4874" width="33.85546875" style="289" customWidth="1"/>
    <col min="4875" max="4875" width="23.85546875" style="289" customWidth="1"/>
    <col min="4876" max="5120" width="9.140625" style="289"/>
    <col min="5121" max="5127" width="0" style="289" hidden="1" customWidth="1"/>
    <col min="5128" max="5128" width="3.7109375" style="289" customWidth="1"/>
    <col min="5129" max="5129" width="10.85546875" style="289" customWidth="1"/>
    <col min="5130" max="5130" width="33.85546875" style="289" customWidth="1"/>
    <col min="5131" max="5131" width="23.85546875" style="289" customWidth="1"/>
    <col min="5132" max="5376" width="9.140625" style="289"/>
    <col min="5377" max="5383" width="0" style="289" hidden="1" customWidth="1"/>
    <col min="5384" max="5384" width="3.7109375" style="289" customWidth="1"/>
    <col min="5385" max="5385" width="10.85546875" style="289" customWidth="1"/>
    <col min="5386" max="5386" width="33.85546875" style="289" customWidth="1"/>
    <col min="5387" max="5387" width="23.85546875" style="289" customWidth="1"/>
    <col min="5388" max="5632" width="9.140625" style="289"/>
    <col min="5633" max="5639" width="0" style="289" hidden="1" customWidth="1"/>
    <col min="5640" max="5640" width="3.7109375" style="289" customWidth="1"/>
    <col min="5641" max="5641" width="10.85546875" style="289" customWidth="1"/>
    <col min="5642" max="5642" width="33.85546875" style="289" customWidth="1"/>
    <col min="5643" max="5643" width="23.85546875" style="289" customWidth="1"/>
    <col min="5644" max="5888" width="9.140625" style="289"/>
    <col min="5889" max="5895" width="0" style="289" hidden="1" customWidth="1"/>
    <col min="5896" max="5896" width="3.7109375" style="289" customWidth="1"/>
    <col min="5897" max="5897" width="10.85546875" style="289" customWidth="1"/>
    <col min="5898" max="5898" width="33.85546875" style="289" customWidth="1"/>
    <col min="5899" max="5899" width="23.85546875" style="289" customWidth="1"/>
    <col min="5900" max="6144" width="9.140625" style="289"/>
    <col min="6145" max="6151" width="0" style="289" hidden="1" customWidth="1"/>
    <col min="6152" max="6152" width="3.7109375" style="289" customWidth="1"/>
    <col min="6153" max="6153" width="10.85546875" style="289" customWidth="1"/>
    <col min="6154" max="6154" width="33.85546875" style="289" customWidth="1"/>
    <col min="6155" max="6155" width="23.85546875" style="289" customWidth="1"/>
    <col min="6156" max="6400" width="9.140625" style="289"/>
    <col min="6401" max="6407" width="0" style="289" hidden="1" customWidth="1"/>
    <col min="6408" max="6408" width="3.7109375" style="289" customWidth="1"/>
    <col min="6409" max="6409" width="10.85546875" style="289" customWidth="1"/>
    <col min="6410" max="6410" width="33.85546875" style="289" customWidth="1"/>
    <col min="6411" max="6411" width="23.85546875" style="289" customWidth="1"/>
    <col min="6412" max="6656" width="9.140625" style="289"/>
    <col min="6657" max="6663" width="0" style="289" hidden="1" customWidth="1"/>
    <col min="6664" max="6664" width="3.7109375" style="289" customWidth="1"/>
    <col min="6665" max="6665" width="10.85546875" style="289" customWidth="1"/>
    <col min="6666" max="6666" width="33.85546875" style="289" customWidth="1"/>
    <col min="6667" max="6667" width="23.85546875" style="289" customWidth="1"/>
    <col min="6668" max="6912" width="9.140625" style="289"/>
    <col min="6913" max="6919" width="0" style="289" hidden="1" customWidth="1"/>
    <col min="6920" max="6920" width="3.7109375" style="289" customWidth="1"/>
    <col min="6921" max="6921" width="10.85546875" style="289" customWidth="1"/>
    <col min="6922" max="6922" width="33.85546875" style="289" customWidth="1"/>
    <col min="6923" max="6923" width="23.85546875" style="289" customWidth="1"/>
    <col min="6924" max="7168" width="9.140625" style="289"/>
    <col min="7169" max="7175" width="0" style="289" hidden="1" customWidth="1"/>
    <col min="7176" max="7176" width="3.7109375" style="289" customWidth="1"/>
    <col min="7177" max="7177" width="10.85546875" style="289" customWidth="1"/>
    <col min="7178" max="7178" width="33.85546875" style="289" customWidth="1"/>
    <col min="7179" max="7179" width="23.85546875" style="289" customWidth="1"/>
    <col min="7180" max="7424" width="9.140625" style="289"/>
    <col min="7425" max="7431" width="0" style="289" hidden="1" customWidth="1"/>
    <col min="7432" max="7432" width="3.7109375" style="289" customWidth="1"/>
    <col min="7433" max="7433" width="10.85546875" style="289" customWidth="1"/>
    <col min="7434" max="7434" width="33.85546875" style="289" customWidth="1"/>
    <col min="7435" max="7435" width="23.85546875" style="289" customWidth="1"/>
    <col min="7436" max="7680" width="9.140625" style="289"/>
    <col min="7681" max="7687" width="0" style="289" hidden="1" customWidth="1"/>
    <col min="7688" max="7688" width="3.7109375" style="289" customWidth="1"/>
    <col min="7689" max="7689" width="10.85546875" style="289" customWidth="1"/>
    <col min="7690" max="7690" width="33.85546875" style="289" customWidth="1"/>
    <col min="7691" max="7691" width="23.85546875" style="289" customWidth="1"/>
    <col min="7692" max="7936" width="9.140625" style="289"/>
    <col min="7937" max="7943" width="0" style="289" hidden="1" customWidth="1"/>
    <col min="7944" max="7944" width="3.7109375" style="289" customWidth="1"/>
    <col min="7945" max="7945" width="10.85546875" style="289" customWidth="1"/>
    <col min="7946" max="7946" width="33.85546875" style="289" customWidth="1"/>
    <col min="7947" max="7947" width="23.85546875" style="289" customWidth="1"/>
    <col min="7948" max="8192" width="9.140625" style="289"/>
    <col min="8193" max="8199" width="0" style="289" hidden="1" customWidth="1"/>
    <col min="8200" max="8200" width="3.7109375" style="289" customWidth="1"/>
    <col min="8201" max="8201" width="10.85546875" style="289" customWidth="1"/>
    <col min="8202" max="8202" width="33.85546875" style="289" customWidth="1"/>
    <col min="8203" max="8203" width="23.85546875" style="289" customWidth="1"/>
    <col min="8204" max="8448" width="9.140625" style="289"/>
    <col min="8449" max="8455" width="0" style="289" hidden="1" customWidth="1"/>
    <col min="8456" max="8456" width="3.7109375" style="289" customWidth="1"/>
    <col min="8457" max="8457" width="10.85546875" style="289" customWidth="1"/>
    <col min="8458" max="8458" width="33.85546875" style="289" customWidth="1"/>
    <col min="8459" max="8459" width="23.85546875" style="289" customWidth="1"/>
    <col min="8460" max="8704" width="9.140625" style="289"/>
    <col min="8705" max="8711" width="0" style="289" hidden="1" customWidth="1"/>
    <col min="8712" max="8712" width="3.7109375" style="289" customWidth="1"/>
    <col min="8713" max="8713" width="10.85546875" style="289" customWidth="1"/>
    <col min="8714" max="8714" width="33.85546875" style="289" customWidth="1"/>
    <col min="8715" max="8715" width="23.85546875" style="289" customWidth="1"/>
    <col min="8716" max="8960" width="9.140625" style="289"/>
    <col min="8961" max="8967" width="0" style="289" hidden="1" customWidth="1"/>
    <col min="8968" max="8968" width="3.7109375" style="289" customWidth="1"/>
    <col min="8969" max="8969" width="10.85546875" style="289" customWidth="1"/>
    <col min="8970" max="8970" width="33.85546875" style="289" customWidth="1"/>
    <col min="8971" max="8971" width="23.85546875" style="289" customWidth="1"/>
    <col min="8972" max="9216" width="9.140625" style="289"/>
    <col min="9217" max="9223" width="0" style="289" hidden="1" customWidth="1"/>
    <col min="9224" max="9224" width="3.7109375" style="289" customWidth="1"/>
    <col min="9225" max="9225" width="10.85546875" style="289" customWidth="1"/>
    <col min="9226" max="9226" width="33.85546875" style="289" customWidth="1"/>
    <col min="9227" max="9227" width="23.85546875" style="289" customWidth="1"/>
    <col min="9228" max="9472" width="9.140625" style="289"/>
    <col min="9473" max="9479" width="0" style="289" hidden="1" customWidth="1"/>
    <col min="9480" max="9480" width="3.7109375" style="289" customWidth="1"/>
    <col min="9481" max="9481" width="10.85546875" style="289" customWidth="1"/>
    <col min="9482" max="9482" width="33.85546875" style="289" customWidth="1"/>
    <col min="9483" max="9483" width="23.85546875" style="289" customWidth="1"/>
    <col min="9484" max="9728" width="9.140625" style="289"/>
    <col min="9729" max="9735" width="0" style="289" hidden="1" customWidth="1"/>
    <col min="9736" max="9736" width="3.7109375" style="289" customWidth="1"/>
    <col min="9737" max="9737" width="10.85546875" style="289" customWidth="1"/>
    <col min="9738" max="9738" width="33.85546875" style="289" customWidth="1"/>
    <col min="9739" max="9739" width="23.85546875" style="289" customWidth="1"/>
    <col min="9740" max="9984" width="9.140625" style="289"/>
    <col min="9985" max="9991" width="0" style="289" hidden="1" customWidth="1"/>
    <col min="9992" max="9992" width="3.7109375" style="289" customWidth="1"/>
    <col min="9993" max="9993" width="10.85546875" style="289" customWidth="1"/>
    <col min="9994" max="9994" width="33.85546875" style="289" customWidth="1"/>
    <col min="9995" max="9995" width="23.85546875" style="289" customWidth="1"/>
    <col min="9996" max="10240" width="9.140625" style="289"/>
    <col min="10241" max="10247" width="0" style="289" hidden="1" customWidth="1"/>
    <col min="10248" max="10248" width="3.7109375" style="289" customWidth="1"/>
    <col min="10249" max="10249" width="10.85546875" style="289" customWidth="1"/>
    <col min="10250" max="10250" width="33.85546875" style="289" customWidth="1"/>
    <col min="10251" max="10251" width="23.85546875" style="289" customWidth="1"/>
    <col min="10252" max="10496" width="9.140625" style="289"/>
    <col min="10497" max="10503" width="0" style="289" hidden="1" customWidth="1"/>
    <col min="10504" max="10504" width="3.7109375" style="289" customWidth="1"/>
    <col min="10505" max="10505" width="10.85546875" style="289" customWidth="1"/>
    <col min="10506" max="10506" width="33.85546875" style="289" customWidth="1"/>
    <col min="10507" max="10507" width="23.85546875" style="289" customWidth="1"/>
    <col min="10508" max="10752" width="9.140625" style="289"/>
    <col min="10753" max="10759" width="0" style="289" hidden="1" customWidth="1"/>
    <col min="10760" max="10760" width="3.7109375" style="289" customWidth="1"/>
    <col min="10761" max="10761" width="10.85546875" style="289" customWidth="1"/>
    <col min="10762" max="10762" width="33.85546875" style="289" customWidth="1"/>
    <col min="10763" max="10763" width="23.85546875" style="289" customWidth="1"/>
    <col min="10764" max="11008" width="9.140625" style="289"/>
    <col min="11009" max="11015" width="0" style="289" hidden="1" customWidth="1"/>
    <col min="11016" max="11016" width="3.7109375" style="289" customWidth="1"/>
    <col min="11017" max="11017" width="10.85546875" style="289" customWidth="1"/>
    <col min="11018" max="11018" width="33.85546875" style="289" customWidth="1"/>
    <col min="11019" max="11019" width="23.85546875" style="289" customWidth="1"/>
    <col min="11020" max="11264" width="9.140625" style="289"/>
    <col min="11265" max="11271" width="0" style="289" hidden="1" customWidth="1"/>
    <col min="11272" max="11272" width="3.7109375" style="289" customWidth="1"/>
    <col min="11273" max="11273" width="10.85546875" style="289" customWidth="1"/>
    <col min="11274" max="11274" width="33.85546875" style="289" customWidth="1"/>
    <col min="11275" max="11275" width="23.85546875" style="289" customWidth="1"/>
    <col min="11276" max="11520" width="9.140625" style="289"/>
    <col min="11521" max="11527" width="0" style="289" hidden="1" customWidth="1"/>
    <col min="11528" max="11528" width="3.7109375" style="289" customWidth="1"/>
    <col min="11529" max="11529" width="10.85546875" style="289" customWidth="1"/>
    <col min="11530" max="11530" width="33.85546875" style="289" customWidth="1"/>
    <col min="11531" max="11531" width="23.85546875" style="289" customWidth="1"/>
    <col min="11532" max="11776" width="9.140625" style="289"/>
    <col min="11777" max="11783" width="0" style="289" hidden="1" customWidth="1"/>
    <col min="11784" max="11784" width="3.7109375" style="289" customWidth="1"/>
    <col min="11785" max="11785" width="10.85546875" style="289" customWidth="1"/>
    <col min="11786" max="11786" width="33.85546875" style="289" customWidth="1"/>
    <col min="11787" max="11787" width="23.85546875" style="289" customWidth="1"/>
    <col min="11788" max="12032" width="9.140625" style="289"/>
    <col min="12033" max="12039" width="0" style="289" hidden="1" customWidth="1"/>
    <col min="12040" max="12040" width="3.7109375" style="289" customWidth="1"/>
    <col min="12041" max="12041" width="10.85546875" style="289" customWidth="1"/>
    <col min="12042" max="12042" width="33.85546875" style="289" customWidth="1"/>
    <col min="12043" max="12043" width="23.85546875" style="289" customWidth="1"/>
    <col min="12044" max="12288" width="9.140625" style="289"/>
    <col min="12289" max="12295" width="0" style="289" hidden="1" customWidth="1"/>
    <col min="12296" max="12296" width="3.7109375" style="289" customWidth="1"/>
    <col min="12297" max="12297" width="10.85546875" style="289" customWidth="1"/>
    <col min="12298" max="12298" width="33.85546875" style="289" customWidth="1"/>
    <col min="12299" max="12299" width="23.85546875" style="289" customWidth="1"/>
    <col min="12300" max="12544" width="9.140625" style="289"/>
    <col min="12545" max="12551" width="0" style="289" hidden="1" customWidth="1"/>
    <col min="12552" max="12552" width="3.7109375" style="289" customWidth="1"/>
    <col min="12553" max="12553" width="10.85546875" style="289" customWidth="1"/>
    <col min="12554" max="12554" width="33.85546875" style="289" customWidth="1"/>
    <col min="12555" max="12555" width="23.85546875" style="289" customWidth="1"/>
    <col min="12556" max="12800" width="9.140625" style="289"/>
    <col min="12801" max="12807" width="0" style="289" hidden="1" customWidth="1"/>
    <col min="12808" max="12808" width="3.7109375" style="289" customWidth="1"/>
    <col min="12809" max="12809" width="10.85546875" style="289" customWidth="1"/>
    <col min="12810" max="12810" width="33.85546875" style="289" customWidth="1"/>
    <col min="12811" max="12811" width="23.85546875" style="289" customWidth="1"/>
    <col min="12812" max="13056" width="9.140625" style="289"/>
    <col min="13057" max="13063" width="0" style="289" hidden="1" customWidth="1"/>
    <col min="13064" max="13064" width="3.7109375" style="289" customWidth="1"/>
    <col min="13065" max="13065" width="10.85546875" style="289" customWidth="1"/>
    <col min="13066" max="13066" width="33.85546875" style="289" customWidth="1"/>
    <col min="13067" max="13067" width="23.85546875" style="289" customWidth="1"/>
    <col min="13068" max="13312" width="9.140625" style="289"/>
    <col min="13313" max="13319" width="0" style="289" hidden="1" customWidth="1"/>
    <col min="13320" max="13320" width="3.7109375" style="289" customWidth="1"/>
    <col min="13321" max="13321" width="10.85546875" style="289" customWidth="1"/>
    <col min="13322" max="13322" width="33.85546875" style="289" customWidth="1"/>
    <col min="13323" max="13323" width="23.85546875" style="289" customWidth="1"/>
    <col min="13324" max="13568" width="9.140625" style="289"/>
    <col min="13569" max="13575" width="0" style="289" hidden="1" customWidth="1"/>
    <col min="13576" max="13576" width="3.7109375" style="289" customWidth="1"/>
    <col min="13577" max="13577" width="10.85546875" style="289" customWidth="1"/>
    <col min="13578" max="13578" width="33.85546875" style="289" customWidth="1"/>
    <col min="13579" max="13579" width="23.85546875" style="289" customWidth="1"/>
    <col min="13580" max="13824" width="9.140625" style="289"/>
    <col min="13825" max="13831" width="0" style="289" hidden="1" customWidth="1"/>
    <col min="13832" max="13832" width="3.7109375" style="289" customWidth="1"/>
    <col min="13833" max="13833" width="10.85546875" style="289" customWidth="1"/>
    <col min="13834" max="13834" width="33.85546875" style="289" customWidth="1"/>
    <col min="13835" max="13835" width="23.85546875" style="289" customWidth="1"/>
    <col min="13836" max="14080" width="9.140625" style="289"/>
    <col min="14081" max="14087" width="0" style="289" hidden="1" customWidth="1"/>
    <col min="14088" max="14088" width="3.7109375" style="289" customWidth="1"/>
    <col min="14089" max="14089" width="10.85546875" style="289" customWidth="1"/>
    <col min="14090" max="14090" width="33.85546875" style="289" customWidth="1"/>
    <col min="14091" max="14091" width="23.85546875" style="289" customWidth="1"/>
    <col min="14092" max="14336" width="9.140625" style="289"/>
    <col min="14337" max="14343" width="0" style="289" hidden="1" customWidth="1"/>
    <col min="14344" max="14344" width="3.7109375" style="289" customWidth="1"/>
    <col min="14345" max="14345" width="10.85546875" style="289" customWidth="1"/>
    <col min="14346" max="14346" width="33.85546875" style="289" customWidth="1"/>
    <col min="14347" max="14347" width="23.85546875" style="289" customWidth="1"/>
    <col min="14348" max="14592" width="9.140625" style="289"/>
    <col min="14593" max="14599" width="0" style="289" hidden="1" customWidth="1"/>
    <col min="14600" max="14600" width="3.7109375" style="289" customWidth="1"/>
    <col min="14601" max="14601" width="10.85546875" style="289" customWidth="1"/>
    <col min="14602" max="14602" width="33.85546875" style="289" customWidth="1"/>
    <col min="14603" max="14603" width="23.85546875" style="289" customWidth="1"/>
    <col min="14604" max="14848" width="9.140625" style="289"/>
    <col min="14849" max="14855" width="0" style="289" hidden="1" customWidth="1"/>
    <col min="14856" max="14856" width="3.7109375" style="289" customWidth="1"/>
    <col min="14857" max="14857" width="10.85546875" style="289" customWidth="1"/>
    <col min="14858" max="14858" width="33.85546875" style="289" customWidth="1"/>
    <col min="14859" max="14859" width="23.85546875" style="289" customWidth="1"/>
    <col min="14860" max="15104" width="9.140625" style="289"/>
    <col min="15105" max="15111" width="0" style="289" hidden="1" customWidth="1"/>
    <col min="15112" max="15112" width="3.7109375" style="289" customWidth="1"/>
    <col min="15113" max="15113" width="10.85546875" style="289" customWidth="1"/>
    <col min="15114" max="15114" width="33.85546875" style="289" customWidth="1"/>
    <col min="15115" max="15115" width="23.85546875" style="289" customWidth="1"/>
    <col min="15116" max="15360" width="9.140625" style="289"/>
    <col min="15361" max="15367" width="0" style="289" hidden="1" customWidth="1"/>
    <col min="15368" max="15368" width="3.7109375" style="289" customWidth="1"/>
    <col min="15369" max="15369" width="10.85546875" style="289" customWidth="1"/>
    <col min="15370" max="15370" width="33.85546875" style="289" customWidth="1"/>
    <col min="15371" max="15371" width="23.85546875" style="289" customWidth="1"/>
    <col min="15372" max="15616" width="9.140625" style="289"/>
    <col min="15617" max="15623" width="0" style="289" hidden="1" customWidth="1"/>
    <col min="15624" max="15624" width="3.7109375" style="289" customWidth="1"/>
    <col min="15625" max="15625" width="10.85546875" style="289" customWidth="1"/>
    <col min="15626" max="15626" width="33.85546875" style="289" customWidth="1"/>
    <col min="15627" max="15627" width="23.85546875" style="289" customWidth="1"/>
    <col min="15628" max="15872" width="9.140625" style="289"/>
    <col min="15873" max="15879" width="0" style="289" hidden="1" customWidth="1"/>
    <col min="15880" max="15880" width="3.7109375" style="289" customWidth="1"/>
    <col min="15881" max="15881" width="10.85546875" style="289" customWidth="1"/>
    <col min="15882" max="15882" width="33.85546875" style="289" customWidth="1"/>
    <col min="15883" max="15883" width="23.85546875" style="289" customWidth="1"/>
    <col min="15884" max="16128" width="9.140625" style="289"/>
    <col min="16129" max="16135" width="0" style="289" hidden="1" customWidth="1"/>
    <col min="16136" max="16136" width="3.7109375" style="289" customWidth="1"/>
    <col min="16137" max="16137" width="10.85546875" style="289" customWidth="1"/>
    <col min="16138" max="16138" width="33.85546875" style="289" customWidth="1"/>
    <col min="16139" max="16139" width="23.85546875" style="289" customWidth="1"/>
    <col min="16140" max="16384" width="9.140625" style="289"/>
  </cols>
  <sheetData>
    <row r="1" spans="1:11">
      <c r="A1" s="290" t="s">
        <v>444</v>
      </c>
      <c r="B1" s="290" t="s">
        <v>1062</v>
      </c>
      <c r="C1" s="290" t="s">
        <v>1063</v>
      </c>
      <c r="I1" s="287" t="s">
        <v>1336</v>
      </c>
    </row>
    <row r="2" spans="1:11">
      <c r="B2" s="290" t="s">
        <v>1064</v>
      </c>
      <c r="C2" s="290" t="s">
        <v>1064</v>
      </c>
      <c r="I2" s="287" t="s">
        <v>1065</v>
      </c>
      <c r="J2" s="289" t="str">
        <f>Cover!E18</f>
        <v>K81414038D</v>
      </c>
    </row>
    <row r="3" spans="1:11">
      <c r="B3" s="290"/>
      <c r="C3" s="290"/>
      <c r="I3" s="287"/>
      <c r="K3" s="290" t="s">
        <v>1066</v>
      </c>
    </row>
    <row r="4" spans="1:11">
      <c r="B4" s="290"/>
      <c r="C4" s="290"/>
    </row>
    <row r="5" spans="1:11">
      <c r="B5" s="286" t="s">
        <v>1067</v>
      </c>
      <c r="C5" s="286" t="s">
        <v>1067</v>
      </c>
      <c r="H5" s="315"/>
      <c r="I5" s="315"/>
      <c r="J5" s="299" t="s">
        <v>1068</v>
      </c>
      <c r="K5" s="299" t="s">
        <v>1069</v>
      </c>
    </row>
    <row r="6" spans="1:11">
      <c r="B6" s="286" t="s">
        <v>1070</v>
      </c>
      <c r="C6" s="286" t="s">
        <v>1070</v>
      </c>
      <c r="H6" s="315">
        <v>1</v>
      </c>
      <c r="I6" s="299" t="s">
        <v>1064</v>
      </c>
      <c r="J6" s="328" t="s">
        <v>1067</v>
      </c>
      <c r="K6" s="468">
        <v>28938675</v>
      </c>
    </row>
    <row r="7" spans="1:11">
      <c r="B7" s="286" t="s">
        <v>1071</v>
      </c>
      <c r="C7" s="286" t="s">
        <v>1071</v>
      </c>
      <c r="H7" s="315">
        <v>2</v>
      </c>
      <c r="I7" s="299" t="s">
        <v>1064</v>
      </c>
      <c r="J7" s="328" t="s">
        <v>1072</v>
      </c>
      <c r="K7" s="315"/>
    </row>
    <row r="8" spans="1:11">
      <c r="B8" s="286" t="s">
        <v>1073</v>
      </c>
      <c r="C8" s="286" t="s">
        <v>1073</v>
      </c>
      <c r="H8" s="315">
        <v>3</v>
      </c>
      <c r="I8" s="299" t="s">
        <v>1064</v>
      </c>
      <c r="J8" s="328" t="s">
        <v>1074</v>
      </c>
      <c r="K8" s="315"/>
    </row>
    <row r="9" spans="1:11">
      <c r="B9" s="286" t="s">
        <v>1075</v>
      </c>
      <c r="C9" s="286" t="s">
        <v>1075</v>
      </c>
      <c r="H9" s="315">
        <v>4</v>
      </c>
      <c r="I9" s="299" t="s">
        <v>1064</v>
      </c>
      <c r="J9" s="328" t="s">
        <v>1073</v>
      </c>
      <c r="K9" s="315"/>
    </row>
    <row r="10" spans="1:11">
      <c r="B10" s="286" t="s">
        <v>1076</v>
      </c>
      <c r="C10" s="286" t="s">
        <v>1076</v>
      </c>
      <c r="H10" s="315">
        <v>5</v>
      </c>
      <c r="I10" s="299" t="s">
        <v>1064</v>
      </c>
      <c r="J10" s="328" t="s">
        <v>1075</v>
      </c>
      <c r="K10" s="467">
        <v>142692473.90000001</v>
      </c>
    </row>
    <row r="11" spans="1:11">
      <c r="B11" s="286" t="s">
        <v>1077</v>
      </c>
      <c r="C11" s="286" t="s">
        <v>1077</v>
      </c>
      <c r="H11" s="315">
        <v>6</v>
      </c>
      <c r="I11" s="299" t="s">
        <v>1064</v>
      </c>
      <c r="J11" s="328" t="s">
        <v>1076</v>
      </c>
      <c r="K11" s="315"/>
    </row>
    <row r="12" spans="1:11">
      <c r="B12" s="286" t="s">
        <v>1078</v>
      </c>
      <c r="C12" s="286" t="s">
        <v>1078</v>
      </c>
      <c r="H12" s="315">
        <v>7</v>
      </c>
      <c r="I12" s="299" t="s">
        <v>1064</v>
      </c>
      <c r="J12" s="328" t="s">
        <v>1079</v>
      </c>
      <c r="K12" s="315"/>
    </row>
    <row r="13" spans="1:11">
      <c r="B13" s="290" t="s">
        <v>1080</v>
      </c>
      <c r="C13" s="290" t="s">
        <v>1080</v>
      </c>
      <c r="H13" s="315">
        <v>8</v>
      </c>
      <c r="I13" s="299" t="s">
        <v>1064</v>
      </c>
      <c r="J13" s="328" t="s">
        <v>1078</v>
      </c>
      <c r="K13" s="315"/>
    </row>
    <row r="14" spans="1:11">
      <c r="B14" s="290"/>
      <c r="C14" s="290"/>
      <c r="H14" s="299" t="s">
        <v>342</v>
      </c>
      <c r="I14" s="299"/>
      <c r="J14" s="299" t="s">
        <v>1081</v>
      </c>
      <c r="K14" s="469">
        <f>SUM(K6:K13)</f>
        <v>171631148.90000001</v>
      </c>
    </row>
    <row r="15" spans="1:11">
      <c r="B15" s="286" t="s">
        <v>1082</v>
      </c>
      <c r="C15" s="286" t="s">
        <v>1082</v>
      </c>
      <c r="H15" s="315">
        <v>9</v>
      </c>
      <c r="I15" s="299" t="s">
        <v>1080</v>
      </c>
      <c r="J15" s="328" t="s">
        <v>1083</v>
      </c>
      <c r="K15" s="315"/>
    </row>
    <row r="16" spans="1:11">
      <c r="B16" s="286" t="s">
        <v>1084</v>
      </c>
      <c r="C16" s="286" t="s">
        <v>1084</v>
      </c>
      <c r="H16" s="315">
        <v>10</v>
      </c>
      <c r="I16" s="299" t="s">
        <v>1080</v>
      </c>
      <c r="J16" s="328" t="s">
        <v>1084</v>
      </c>
      <c r="K16" s="328"/>
    </row>
    <row r="17" spans="2:11">
      <c r="B17" s="286" t="s">
        <v>1085</v>
      </c>
      <c r="C17" s="286" t="s">
        <v>1085</v>
      </c>
      <c r="H17" s="315">
        <v>11</v>
      </c>
      <c r="I17" s="299" t="s">
        <v>1080</v>
      </c>
      <c r="J17" s="328" t="s">
        <v>1085</v>
      </c>
      <c r="K17" s="315"/>
    </row>
    <row r="18" spans="2:11">
      <c r="B18" s="286"/>
      <c r="C18" s="286"/>
      <c r="H18" s="299" t="s">
        <v>341</v>
      </c>
      <c r="I18" s="299"/>
      <c r="J18" s="299" t="s">
        <v>1086</v>
      </c>
      <c r="K18" s="299"/>
    </row>
    <row r="19" spans="2:11">
      <c r="B19" s="290" t="s">
        <v>1087</v>
      </c>
      <c r="C19" s="290" t="s">
        <v>1087</v>
      </c>
      <c r="H19" s="315">
        <v>12</v>
      </c>
      <c r="I19" s="299" t="s">
        <v>1087</v>
      </c>
      <c r="J19" s="328" t="s">
        <v>1088</v>
      </c>
      <c r="K19" s="315"/>
    </row>
    <row r="20" spans="2:11">
      <c r="B20" s="286" t="s">
        <v>1077</v>
      </c>
      <c r="C20" s="286" t="s">
        <v>1077</v>
      </c>
      <c r="H20" s="315">
        <v>13</v>
      </c>
      <c r="I20" s="299" t="s">
        <v>1087</v>
      </c>
      <c r="J20" s="299" t="s">
        <v>1089</v>
      </c>
      <c r="K20" s="315"/>
    </row>
    <row r="21" spans="2:11">
      <c r="B21" s="286" t="s">
        <v>1090</v>
      </c>
      <c r="C21" s="286" t="s">
        <v>1090</v>
      </c>
      <c r="H21" s="315">
        <v>14</v>
      </c>
      <c r="I21" s="299" t="s">
        <v>1087</v>
      </c>
      <c r="J21" s="328" t="s">
        <v>1091</v>
      </c>
      <c r="K21" s="315"/>
    </row>
    <row r="22" spans="2:11">
      <c r="B22" s="286" t="s">
        <v>1091</v>
      </c>
      <c r="C22" s="286" t="s">
        <v>1091</v>
      </c>
      <c r="H22" s="315">
        <v>15</v>
      </c>
      <c r="I22" s="299" t="s">
        <v>1087</v>
      </c>
      <c r="J22" s="328" t="s">
        <v>1092</v>
      </c>
      <c r="K22" s="315"/>
    </row>
    <row r="23" spans="2:11">
      <c r="B23" s="286" t="s">
        <v>1092</v>
      </c>
      <c r="C23" s="286" t="s">
        <v>1092</v>
      </c>
      <c r="H23" s="315">
        <v>16</v>
      </c>
      <c r="I23" s="299" t="s">
        <v>1087</v>
      </c>
      <c r="J23" s="328" t="s">
        <v>1093</v>
      </c>
      <c r="K23" s="315"/>
    </row>
    <row r="24" spans="2:11">
      <c r="B24" s="286" t="s">
        <v>1094</v>
      </c>
      <c r="C24" s="286" t="s">
        <v>1094</v>
      </c>
      <c r="H24" s="315">
        <v>17</v>
      </c>
      <c r="I24" s="299" t="s">
        <v>1087</v>
      </c>
      <c r="J24" s="328" t="s">
        <v>1095</v>
      </c>
      <c r="K24" s="315"/>
    </row>
    <row r="25" spans="2:11">
      <c r="B25" s="286" t="s">
        <v>1095</v>
      </c>
      <c r="C25" s="286" t="s">
        <v>1095</v>
      </c>
      <c r="H25" s="315">
        <v>18</v>
      </c>
      <c r="I25" s="299" t="s">
        <v>1087</v>
      </c>
      <c r="J25" s="328" t="s">
        <v>1096</v>
      </c>
      <c r="K25" s="315"/>
    </row>
    <row r="26" spans="2:11">
      <c r="B26" s="286" t="s">
        <v>1097</v>
      </c>
      <c r="C26" s="286" t="s">
        <v>1097</v>
      </c>
      <c r="H26" s="315">
        <v>19</v>
      </c>
      <c r="I26" s="299" t="s">
        <v>1087</v>
      </c>
      <c r="J26" s="328" t="s">
        <v>1098</v>
      </c>
      <c r="K26" s="315"/>
    </row>
    <row r="27" spans="2:11">
      <c r="B27" s="286"/>
      <c r="C27" s="286"/>
      <c r="H27" s="299" t="s">
        <v>340</v>
      </c>
      <c r="I27" s="299"/>
      <c r="J27" s="299" t="s">
        <v>1099</v>
      </c>
      <c r="K27" s="315"/>
    </row>
    <row r="28" spans="2:11">
      <c r="B28" s="286" t="s">
        <v>1098</v>
      </c>
      <c r="C28" s="286" t="s">
        <v>1098</v>
      </c>
      <c r="H28" s="315">
        <v>20</v>
      </c>
      <c r="I28" s="299" t="s">
        <v>1100</v>
      </c>
      <c r="J28" s="328" t="s">
        <v>1101</v>
      </c>
      <c r="K28" s="315"/>
    </row>
    <row r="29" spans="2:11">
      <c r="B29" s="290" t="s">
        <v>1100</v>
      </c>
      <c r="C29" s="290" t="s">
        <v>1100</v>
      </c>
      <c r="H29" s="315">
        <v>21</v>
      </c>
      <c r="I29" s="299" t="s">
        <v>1100</v>
      </c>
      <c r="J29" s="328" t="s">
        <v>1102</v>
      </c>
      <c r="K29" s="328"/>
    </row>
    <row r="30" spans="2:11">
      <c r="B30" s="286" t="s">
        <v>1103</v>
      </c>
      <c r="C30" s="286" t="s">
        <v>1103</v>
      </c>
      <c r="H30" s="315">
        <v>22</v>
      </c>
      <c r="I30" s="299" t="s">
        <v>1100</v>
      </c>
      <c r="J30" s="328" t="s">
        <v>1104</v>
      </c>
      <c r="K30" s="328"/>
    </row>
    <row r="31" spans="2:11">
      <c r="B31" s="286" t="s">
        <v>1102</v>
      </c>
      <c r="C31" s="286" t="s">
        <v>1102</v>
      </c>
      <c r="H31" s="315">
        <v>23</v>
      </c>
      <c r="I31" s="299" t="s">
        <v>1100</v>
      </c>
      <c r="J31" s="328" t="s">
        <v>1105</v>
      </c>
      <c r="K31" s="315"/>
    </row>
    <row r="32" spans="2:11">
      <c r="B32" s="286"/>
      <c r="C32" s="286"/>
      <c r="H32" s="299" t="s">
        <v>1106</v>
      </c>
      <c r="I32" s="299"/>
      <c r="J32" s="299" t="s">
        <v>1107</v>
      </c>
      <c r="K32" s="315"/>
    </row>
    <row r="33" spans="2:11">
      <c r="B33" s="286" t="s">
        <v>1104</v>
      </c>
      <c r="C33" s="286" t="s">
        <v>1104</v>
      </c>
      <c r="H33" s="315">
        <v>24</v>
      </c>
      <c r="I33" s="299" t="s">
        <v>1108</v>
      </c>
      <c r="J33" s="328" t="s">
        <v>1109</v>
      </c>
      <c r="K33" s="315"/>
    </row>
    <row r="34" spans="2:11">
      <c r="B34" s="286" t="s">
        <v>1105</v>
      </c>
      <c r="C34" s="286" t="s">
        <v>1105</v>
      </c>
      <c r="H34" s="315">
        <v>25</v>
      </c>
      <c r="I34" s="299" t="s">
        <v>1108</v>
      </c>
      <c r="J34" s="328" t="s">
        <v>1110</v>
      </c>
      <c r="K34" s="315"/>
    </row>
    <row r="35" spans="2:11">
      <c r="H35" s="315">
        <v>26</v>
      </c>
      <c r="I35" s="299" t="s">
        <v>1108</v>
      </c>
      <c r="J35" s="328" t="s">
        <v>1111</v>
      </c>
      <c r="K35" s="315"/>
    </row>
    <row r="36" spans="2:11">
      <c r="B36" s="290" t="s">
        <v>1108</v>
      </c>
      <c r="C36" s="290" t="s">
        <v>1108</v>
      </c>
      <c r="H36" s="315">
        <v>27</v>
      </c>
      <c r="I36" s="299" t="s">
        <v>1108</v>
      </c>
      <c r="J36" s="328" t="s">
        <v>1112</v>
      </c>
      <c r="K36" s="315"/>
    </row>
    <row r="37" spans="2:11">
      <c r="B37" s="286" t="s">
        <v>1109</v>
      </c>
      <c r="C37" s="286" t="s">
        <v>1109</v>
      </c>
      <c r="H37" s="315">
        <v>28</v>
      </c>
      <c r="I37" s="299" t="s">
        <v>1108</v>
      </c>
      <c r="J37" s="328" t="s">
        <v>1113</v>
      </c>
      <c r="K37" s="328"/>
    </row>
    <row r="38" spans="2:11">
      <c r="B38" s="286" t="s">
        <v>1110</v>
      </c>
      <c r="C38" s="286" t="s">
        <v>1110</v>
      </c>
      <c r="H38" s="315">
        <v>29</v>
      </c>
      <c r="I38" s="299" t="s">
        <v>1108</v>
      </c>
      <c r="J38" s="329" t="s">
        <v>1114</v>
      </c>
      <c r="K38" s="315"/>
    </row>
    <row r="39" spans="2:11">
      <c r="B39" s="286" t="s">
        <v>1111</v>
      </c>
      <c r="C39" s="286" t="s">
        <v>1111</v>
      </c>
      <c r="H39" s="315">
        <v>30</v>
      </c>
      <c r="I39" s="299" t="s">
        <v>1108</v>
      </c>
      <c r="J39" s="328" t="s">
        <v>1115</v>
      </c>
      <c r="K39" s="315"/>
    </row>
    <row r="40" spans="2:11">
      <c r="B40" s="286" t="s">
        <v>1112</v>
      </c>
      <c r="C40" s="286" t="s">
        <v>1112</v>
      </c>
      <c r="H40" s="315">
        <v>31</v>
      </c>
      <c r="I40" s="299" t="s">
        <v>1108</v>
      </c>
      <c r="J40" s="328" t="s">
        <v>1116</v>
      </c>
      <c r="K40" s="315"/>
    </row>
    <row r="41" spans="2:11">
      <c r="B41" s="286"/>
      <c r="C41" s="286"/>
      <c r="H41" s="315">
        <v>32</v>
      </c>
      <c r="I41" s="299" t="s">
        <v>1108</v>
      </c>
      <c r="J41" s="328" t="s">
        <v>1117</v>
      </c>
      <c r="K41" s="315"/>
    </row>
    <row r="42" spans="2:11">
      <c r="B42" s="286" t="s">
        <v>1113</v>
      </c>
      <c r="C42" s="286" t="s">
        <v>1113</v>
      </c>
      <c r="H42" s="315">
        <v>33</v>
      </c>
      <c r="I42" s="299" t="s">
        <v>1108</v>
      </c>
      <c r="J42" s="328" t="s">
        <v>1118</v>
      </c>
      <c r="K42" s="315"/>
    </row>
    <row r="43" spans="2:11">
      <c r="B43" s="286" t="s">
        <v>1114</v>
      </c>
      <c r="C43" s="286" t="s">
        <v>1114</v>
      </c>
      <c r="H43" s="330">
        <v>34</v>
      </c>
      <c r="I43" s="299" t="s">
        <v>1108</v>
      </c>
      <c r="J43" s="328" t="s">
        <v>1119</v>
      </c>
      <c r="K43" s="467">
        <f>'Revenues 10'!C8</f>
        <v>14990827.880000001</v>
      </c>
    </row>
    <row r="44" spans="2:11">
      <c r="B44" s="286" t="s">
        <v>1115</v>
      </c>
      <c r="C44" s="286" t="s">
        <v>1115</v>
      </c>
      <c r="H44" s="299" t="s">
        <v>339</v>
      </c>
      <c r="I44" s="315"/>
      <c r="J44" s="299" t="s">
        <v>1120</v>
      </c>
      <c r="K44" s="470">
        <f>SUM(K33:K43)</f>
        <v>14990827.880000001</v>
      </c>
    </row>
    <row r="45" spans="2:11">
      <c r="B45" s="286" t="s">
        <v>1116</v>
      </c>
      <c r="C45" s="286" t="s">
        <v>1116</v>
      </c>
      <c r="H45" s="315"/>
      <c r="I45" s="315"/>
      <c r="J45" s="299" t="s">
        <v>1121</v>
      </c>
      <c r="K45" s="331">
        <f>+K44+K14</f>
        <v>186621976.78</v>
      </c>
    </row>
    <row r="46" spans="2:11">
      <c r="B46" s="286" t="s">
        <v>1119</v>
      </c>
      <c r="C46" s="286" t="s">
        <v>1119</v>
      </c>
    </row>
    <row r="47" spans="2:11">
      <c r="I47" s="332" t="s">
        <v>1122</v>
      </c>
      <c r="J47" s="317"/>
      <c r="K47" s="299" t="s">
        <v>1123</v>
      </c>
    </row>
    <row r="48" spans="2:11">
      <c r="I48" s="333"/>
      <c r="J48" s="334"/>
      <c r="K48" s="334"/>
    </row>
    <row r="49" spans="8:15">
      <c r="I49" s="335" t="s">
        <v>1124</v>
      </c>
      <c r="J49" s="335"/>
      <c r="K49" s="543">
        <v>9</v>
      </c>
    </row>
    <row r="50" spans="8:15">
      <c r="I50" s="315" t="s">
        <v>1125</v>
      </c>
      <c r="J50" s="315"/>
      <c r="K50" s="543"/>
    </row>
    <row r="51" spans="8:15">
      <c r="I51" s="315" t="s">
        <v>1126</v>
      </c>
      <c r="J51" s="315"/>
      <c r="K51" s="543"/>
    </row>
    <row r="52" spans="8:15">
      <c r="I52" s="315" t="s">
        <v>1127</v>
      </c>
      <c r="J52" s="315"/>
      <c r="K52" s="543">
        <v>1</v>
      </c>
    </row>
    <row r="53" spans="8:15">
      <c r="I53" s="336" t="s">
        <v>1128</v>
      </c>
      <c r="J53" s="317"/>
      <c r="K53" s="543"/>
    </row>
    <row r="54" spans="8:15">
      <c r="I54" s="337"/>
      <c r="J54" s="338" t="s">
        <v>68</v>
      </c>
      <c r="K54" s="544">
        <f>SUM(K49:K53)</f>
        <v>10</v>
      </c>
    </row>
    <row r="56" spans="8:15">
      <c r="K56" s="290" t="s">
        <v>986</v>
      </c>
    </row>
    <row r="58" spans="8:15">
      <c r="I58" s="290"/>
      <c r="K58" s="289" t="s">
        <v>1322</v>
      </c>
    </row>
    <row r="59" spans="8:15" ht="15">
      <c r="K59" s="560" t="s">
        <v>1338</v>
      </c>
    </row>
    <row r="60" spans="8:15">
      <c r="I60" s="290"/>
    </row>
    <row r="61" spans="8:15">
      <c r="H61" s="290"/>
      <c r="I61" s="290"/>
      <c r="J61" s="290"/>
      <c r="K61" s="290"/>
      <c r="L61" s="290"/>
      <c r="M61" s="290"/>
      <c r="N61" s="290"/>
      <c r="O61" s="290"/>
    </row>
    <row r="62" spans="8:15">
      <c r="H62" s="290"/>
      <c r="I62" s="290"/>
      <c r="J62" s="290"/>
      <c r="K62" s="290"/>
      <c r="L62" s="290"/>
      <c r="M62" s="290"/>
      <c r="N62" s="290"/>
      <c r="O62" s="290"/>
    </row>
    <row r="63" spans="8:15">
      <c r="I63" s="290"/>
      <c r="J63" s="290"/>
      <c r="K63" s="290"/>
      <c r="L63" s="290"/>
      <c r="M63" s="290"/>
      <c r="N63" s="290"/>
      <c r="O63" s="290"/>
    </row>
    <row r="64" spans="8:15">
      <c r="I64" s="290"/>
      <c r="J64" s="290"/>
      <c r="K64" s="290"/>
      <c r="L64" s="290"/>
      <c r="M64" s="290"/>
      <c r="N64" s="290"/>
      <c r="O64" s="290"/>
    </row>
    <row r="65" spans="8:9">
      <c r="H65" s="290"/>
      <c r="I65" s="290"/>
    </row>
  </sheetData>
  <pageMargins left="0.75" right="0.75" top="0.25" bottom="0.53" header="0.17" footer="0.5"/>
  <pageSetup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R169"/>
  <sheetViews>
    <sheetView topLeftCell="A60" workbookViewId="0">
      <selection activeCell="A32" sqref="A32:J81"/>
    </sheetView>
  </sheetViews>
  <sheetFormatPr defaultRowHeight="12.75"/>
  <cols>
    <col min="1" max="1" width="2.85546875" style="289" customWidth="1"/>
    <col min="2" max="2" width="9.140625" style="289"/>
    <col min="3" max="3" width="11.28515625" style="289" customWidth="1"/>
    <col min="4" max="4" width="14.7109375" style="289" customWidth="1"/>
    <col min="5" max="5" width="12.7109375" style="289" customWidth="1"/>
    <col min="6" max="6" width="12.42578125" style="289" customWidth="1"/>
    <col min="7" max="7" width="10.85546875" style="289" customWidth="1"/>
    <col min="8" max="8" width="10" style="289" customWidth="1"/>
    <col min="9" max="9" width="14.85546875" style="289" customWidth="1"/>
    <col min="10" max="10" width="14.5703125" style="289" customWidth="1"/>
    <col min="11" max="11" width="4.7109375" style="289" customWidth="1"/>
    <col min="12" max="12" width="9.140625" style="289"/>
    <col min="13" max="15" width="0" style="289" hidden="1" customWidth="1"/>
    <col min="16" max="16" width="45" style="289" hidden="1" customWidth="1"/>
    <col min="17" max="17" width="14.28515625" style="530" hidden="1" customWidth="1"/>
    <col min="18" max="18" width="13.28515625" style="530" customWidth="1"/>
    <col min="19" max="249" width="9.140625" style="289"/>
    <col min="250" max="250" width="2.85546875" style="289" customWidth="1"/>
    <col min="251" max="251" width="9.140625" style="289"/>
    <col min="252" max="252" width="11.28515625" style="289" customWidth="1"/>
    <col min="253" max="253" width="14.7109375" style="289" customWidth="1"/>
    <col min="254" max="254" width="12.7109375" style="289" customWidth="1"/>
    <col min="255" max="255" width="12.42578125" style="289" customWidth="1"/>
    <col min="256" max="256" width="10.85546875" style="289" customWidth="1"/>
    <col min="257" max="257" width="10" style="289" customWidth="1"/>
    <col min="258" max="258" width="15.42578125" style="289" customWidth="1"/>
    <col min="259" max="259" width="14.5703125" style="289" customWidth="1"/>
    <col min="260" max="260" width="4.7109375" style="289" customWidth="1"/>
    <col min="261" max="264" width="9.140625" style="289"/>
    <col min="265" max="265" width="53.42578125" style="289" customWidth="1"/>
    <col min="266" max="505" width="9.140625" style="289"/>
    <col min="506" max="506" width="2.85546875" style="289" customWidth="1"/>
    <col min="507" max="507" width="9.140625" style="289"/>
    <col min="508" max="508" width="11.28515625" style="289" customWidth="1"/>
    <col min="509" max="509" width="14.7109375" style="289" customWidth="1"/>
    <col min="510" max="510" width="12.7109375" style="289" customWidth="1"/>
    <col min="511" max="511" width="12.42578125" style="289" customWidth="1"/>
    <col min="512" max="512" width="10.85546875" style="289" customWidth="1"/>
    <col min="513" max="513" width="10" style="289" customWidth="1"/>
    <col min="514" max="514" width="15.42578125" style="289" customWidth="1"/>
    <col min="515" max="515" width="14.5703125" style="289" customWidth="1"/>
    <col min="516" max="516" width="4.7109375" style="289" customWidth="1"/>
    <col min="517" max="520" width="9.140625" style="289"/>
    <col min="521" max="521" width="53.42578125" style="289" customWidth="1"/>
    <col min="522" max="761" width="9.140625" style="289"/>
    <col min="762" max="762" width="2.85546875" style="289" customWidth="1"/>
    <col min="763" max="763" width="9.140625" style="289"/>
    <col min="764" max="764" width="11.28515625" style="289" customWidth="1"/>
    <col min="765" max="765" width="14.7109375" style="289" customWidth="1"/>
    <col min="766" max="766" width="12.7109375" style="289" customWidth="1"/>
    <col min="767" max="767" width="12.42578125" style="289" customWidth="1"/>
    <col min="768" max="768" width="10.85546875" style="289" customWidth="1"/>
    <col min="769" max="769" width="10" style="289" customWidth="1"/>
    <col min="770" max="770" width="15.42578125" style="289" customWidth="1"/>
    <col min="771" max="771" width="14.5703125" style="289" customWidth="1"/>
    <col min="772" max="772" width="4.7109375" style="289" customWidth="1"/>
    <col min="773" max="776" width="9.140625" style="289"/>
    <col min="777" max="777" width="53.42578125" style="289" customWidth="1"/>
    <col min="778" max="1017" width="9.140625" style="289"/>
    <col min="1018" max="1018" width="2.85546875" style="289" customWidth="1"/>
    <col min="1019" max="1019" width="9.140625" style="289"/>
    <col min="1020" max="1020" width="11.28515625" style="289" customWidth="1"/>
    <col min="1021" max="1021" width="14.7109375" style="289" customWidth="1"/>
    <col min="1022" max="1022" width="12.7109375" style="289" customWidth="1"/>
    <col min="1023" max="1023" width="12.42578125" style="289" customWidth="1"/>
    <col min="1024" max="1024" width="10.85546875" style="289" customWidth="1"/>
    <col min="1025" max="1025" width="10" style="289" customWidth="1"/>
    <col min="1026" max="1026" width="15.42578125" style="289" customWidth="1"/>
    <col min="1027" max="1027" width="14.5703125" style="289" customWidth="1"/>
    <col min="1028" max="1028" width="4.7109375" style="289" customWidth="1"/>
    <col min="1029" max="1032" width="9.140625" style="289"/>
    <col min="1033" max="1033" width="53.42578125" style="289" customWidth="1"/>
    <col min="1034" max="1273" width="9.140625" style="289"/>
    <col min="1274" max="1274" width="2.85546875" style="289" customWidth="1"/>
    <col min="1275" max="1275" width="9.140625" style="289"/>
    <col min="1276" max="1276" width="11.28515625" style="289" customWidth="1"/>
    <col min="1277" max="1277" width="14.7109375" style="289" customWidth="1"/>
    <col min="1278" max="1278" width="12.7109375" style="289" customWidth="1"/>
    <col min="1279" max="1279" width="12.42578125" style="289" customWidth="1"/>
    <col min="1280" max="1280" width="10.85546875" style="289" customWidth="1"/>
    <col min="1281" max="1281" width="10" style="289" customWidth="1"/>
    <col min="1282" max="1282" width="15.42578125" style="289" customWidth="1"/>
    <col min="1283" max="1283" width="14.5703125" style="289" customWidth="1"/>
    <col min="1284" max="1284" width="4.7109375" style="289" customWidth="1"/>
    <col min="1285" max="1288" width="9.140625" style="289"/>
    <col min="1289" max="1289" width="53.42578125" style="289" customWidth="1"/>
    <col min="1290" max="1529" width="9.140625" style="289"/>
    <col min="1530" max="1530" width="2.85546875" style="289" customWidth="1"/>
    <col min="1531" max="1531" width="9.140625" style="289"/>
    <col min="1532" max="1532" width="11.28515625" style="289" customWidth="1"/>
    <col min="1533" max="1533" width="14.7109375" style="289" customWidth="1"/>
    <col min="1534" max="1534" width="12.7109375" style="289" customWidth="1"/>
    <col min="1535" max="1535" width="12.42578125" style="289" customWidth="1"/>
    <col min="1536" max="1536" width="10.85546875" style="289" customWidth="1"/>
    <col min="1537" max="1537" width="10" style="289" customWidth="1"/>
    <col min="1538" max="1538" width="15.42578125" style="289" customWidth="1"/>
    <col min="1539" max="1539" width="14.5703125" style="289" customWidth="1"/>
    <col min="1540" max="1540" width="4.7109375" style="289" customWidth="1"/>
    <col min="1541" max="1544" width="9.140625" style="289"/>
    <col min="1545" max="1545" width="53.42578125" style="289" customWidth="1"/>
    <col min="1546" max="1785" width="9.140625" style="289"/>
    <col min="1786" max="1786" width="2.85546875" style="289" customWidth="1"/>
    <col min="1787" max="1787" width="9.140625" style="289"/>
    <col min="1788" max="1788" width="11.28515625" style="289" customWidth="1"/>
    <col min="1789" max="1789" width="14.7109375" style="289" customWidth="1"/>
    <col min="1790" max="1790" width="12.7109375" style="289" customWidth="1"/>
    <col min="1791" max="1791" width="12.42578125" style="289" customWidth="1"/>
    <col min="1792" max="1792" width="10.85546875" style="289" customWidth="1"/>
    <col min="1793" max="1793" width="10" style="289" customWidth="1"/>
    <col min="1794" max="1794" width="15.42578125" style="289" customWidth="1"/>
    <col min="1795" max="1795" width="14.5703125" style="289" customWidth="1"/>
    <col min="1796" max="1796" width="4.7109375" style="289" customWidth="1"/>
    <col min="1797" max="1800" width="9.140625" style="289"/>
    <col min="1801" max="1801" width="53.42578125" style="289" customWidth="1"/>
    <col min="1802" max="2041" width="9.140625" style="289"/>
    <col min="2042" max="2042" width="2.85546875" style="289" customWidth="1"/>
    <col min="2043" max="2043" width="9.140625" style="289"/>
    <col min="2044" max="2044" width="11.28515625" style="289" customWidth="1"/>
    <col min="2045" max="2045" width="14.7109375" style="289" customWidth="1"/>
    <col min="2046" max="2046" width="12.7109375" style="289" customWidth="1"/>
    <col min="2047" max="2047" width="12.42578125" style="289" customWidth="1"/>
    <col min="2048" max="2048" width="10.85546875" style="289" customWidth="1"/>
    <col min="2049" max="2049" width="10" style="289" customWidth="1"/>
    <col min="2050" max="2050" width="15.42578125" style="289" customWidth="1"/>
    <col min="2051" max="2051" width="14.5703125" style="289" customWidth="1"/>
    <col min="2052" max="2052" width="4.7109375" style="289" customWidth="1"/>
    <col min="2053" max="2056" width="9.140625" style="289"/>
    <col min="2057" max="2057" width="53.42578125" style="289" customWidth="1"/>
    <col min="2058" max="2297" width="9.140625" style="289"/>
    <col min="2298" max="2298" width="2.85546875" style="289" customWidth="1"/>
    <col min="2299" max="2299" width="9.140625" style="289"/>
    <col min="2300" max="2300" width="11.28515625" style="289" customWidth="1"/>
    <col min="2301" max="2301" width="14.7109375" style="289" customWidth="1"/>
    <col min="2302" max="2302" width="12.7109375" style="289" customWidth="1"/>
    <col min="2303" max="2303" width="12.42578125" style="289" customWidth="1"/>
    <col min="2304" max="2304" width="10.85546875" style="289" customWidth="1"/>
    <col min="2305" max="2305" width="10" style="289" customWidth="1"/>
    <col min="2306" max="2306" width="15.42578125" style="289" customWidth="1"/>
    <col min="2307" max="2307" width="14.5703125" style="289" customWidth="1"/>
    <col min="2308" max="2308" width="4.7109375" style="289" customWidth="1"/>
    <col min="2309" max="2312" width="9.140625" style="289"/>
    <col min="2313" max="2313" width="53.42578125" style="289" customWidth="1"/>
    <col min="2314" max="2553" width="9.140625" style="289"/>
    <col min="2554" max="2554" width="2.85546875" style="289" customWidth="1"/>
    <col min="2555" max="2555" width="9.140625" style="289"/>
    <col min="2556" max="2556" width="11.28515625" style="289" customWidth="1"/>
    <col min="2557" max="2557" width="14.7109375" style="289" customWidth="1"/>
    <col min="2558" max="2558" width="12.7109375" style="289" customWidth="1"/>
    <col min="2559" max="2559" width="12.42578125" style="289" customWidth="1"/>
    <col min="2560" max="2560" width="10.85546875" style="289" customWidth="1"/>
    <col min="2561" max="2561" width="10" style="289" customWidth="1"/>
    <col min="2562" max="2562" width="15.42578125" style="289" customWidth="1"/>
    <col min="2563" max="2563" width="14.5703125" style="289" customWidth="1"/>
    <col min="2564" max="2564" width="4.7109375" style="289" customWidth="1"/>
    <col min="2565" max="2568" width="9.140625" style="289"/>
    <col min="2569" max="2569" width="53.42578125" style="289" customWidth="1"/>
    <col min="2570" max="2809" width="9.140625" style="289"/>
    <col min="2810" max="2810" width="2.85546875" style="289" customWidth="1"/>
    <col min="2811" max="2811" width="9.140625" style="289"/>
    <col min="2812" max="2812" width="11.28515625" style="289" customWidth="1"/>
    <col min="2813" max="2813" width="14.7109375" style="289" customWidth="1"/>
    <col min="2814" max="2814" width="12.7109375" style="289" customWidth="1"/>
    <col min="2815" max="2815" width="12.42578125" style="289" customWidth="1"/>
    <col min="2816" max="2816" width="10.85546875" style="289" customWidth="1"/>
    <col min="2817" max="2817" width="10" style="289" customWidth="1"/>
    <col min="2818" max="2818" width="15.42578125" style="289" customWidth="1"/>
    <col min="2819" max="2819" width="14.5703125" style="289" customWidth="1"/>
    <col min="2820" max="2820" width="4.7109375" style="289" customWidth="1"/>
    <col min="2821" max="2824" width="9.140625" style="289"/>
    <col min="2825" max="2825" width="53.42578125" style="289" customWidth="1"/>
    <col min="2826" max="3065" width="9.140625" style="289"/>
    <col min="3066" max="3066" width="2.85546875" style="289" customWidth="1"/>
    <col min="3067" max="3067" width="9.140625" style="289"/>
    <col min="3068" max="3068" width="11.28515625" style="289" customWidth="1"/>
    <col min="3069" max="3069" width="14.7109375" style="289" customWidth="1"/>
    <col min="3070" max="3070" width="12.7109375" style="289" customWidth="1"/>
    <col min="3071" max="3071" width="12.42578125" style="289" customWidth="1"/>
    <col min="3072" max="3072" width="10.85546875" style="289" customWidth="1"/>
    <col min="3073" max="3073" width="10" style="289" customWidth="1"/>
    <col min="3074" max="3074" width="15.42578125" style="289" customWidth="1"/>
    <col min="3075" max="3075" width="14.5703125" style="289" customWidth="1"/>
    <col min="3076" max="3076" width="4.7109375" style="289" customWidth="1"/>
    <col min="3077" max="3080" width="9.140625" style="289"/>
    <col min="3081" max="3081" width="53.42578125" style="289" customWidth="1"/>
    <col min="3082" max="3321" width="9.140625" style="289"/>
    <col min="3322" max="3322" width="2.85546875" style="289" customWidth="1"/>
    <col min="3323" max="3323" width="9.140625" style="289"/>
    <col min="3324" max="3324" width="11.28515625" style="289" customWidth="1"/>
    <col min="3325" max="3325" width="14.7109375" style="289" customWidth="1"/>
    <col min="3326" max="3326" width="12.7109375" style="289" customWidth="1"/>
    <col min="3327" max="3327" width="12.42578125" style="289" customWidth="1"/>
    <col min="3328" max="3328" width="10.85546875" style="289" customWidth="1"/>
    <col min="3329" max="3329" width="10" style="289" customWidth="1"/>
    <col min="3330" max="3330" width="15.42578125" style="289" customWidth="1"/>
    <col min="3331" max="3331" width="14.5703125" style="289" customWidth="1"/>
    <col min="3332" max="3332" width="4.7109375" style="289" customWidth="1"/>
    <col min="3333" max="3336" width="9.140625" style="289"/>
    <col min="3337" max="3337" width="53.42578125" style="289" customWidth="1"/>
    <col min="3338" max="3577" width="9.140625" style="289"/>
    <col min="3578" max="3578" width="2.85546875" style="289" customWidth="1"/>
    <col min="3579" max="3579" width="9.140625" style="289"/>
    <col min="3580" max="3580" width="11.28515625" style="289" customWidth="1"/>
    <col min="3581" max="3581" width="14.7109375" style="289" customWidth="1"/>
    <col min="3582" max="3582" width="12.7109375" style="289" customWidth="1"/>
    <col min="3583" max="3583" width="12.42578125" style="289" customWidth="1"/>
    <col min="3584" max="3584" width="10.85546875" style="289" customWidth="1"/>
    <col min="3585" max="3585" width="10" style="289" customWidth="1"/>
    <col min="3586" max="3586" width="15.42578125" style="289" customWidth="1"/>
    <col min="3587" max="3587" width="14.5703125" style="289" customWidth="1"/>
    <col min="3588" max="3588" width="4.7109375" style="289" customWidth="1"/>
    <col min="3589" max="3592" width="9.140625" style="289"/>
    <col min="3593" max="3593" width="53.42578125" style="289" customWidth="1"/>
    <col min="3594" max="3833" width="9.140625" style="289"/>
    <col min="3834" max="3834" width="2.85546875" style="289" customWidth="1"/>
    <col min="3835" max="3835" width="9.140625" style="289"/>
    <col min="3836" max="3836" width="11.28515625" style="289" customWidth="1"/>
    <col min="3837" max="3837" width="14.7109375" style="289" customWidth="1"/>
    <col min="3838" max="3838" width="12.7109375" style="289" customWidth="1"/>
    <col min="3839" max="3839" width="12.42578125" style="289" customWidth="1"/>
    <col min="3840" max="3840" width="10.85546875" style="289" customWidth="1"/>
    <col min="3841" max="3841" width="10" style="289" customWidth="1"/>
    <col min="3842" max="3842" width="15.42578125" style="289" customWidth="1"/>
    <col min="3843" max="3843" width="14.5703125" style="289" customWidth="1"/>
    <col min="3844" max="3844" width="4.7109375" style="289" customWidth="1"/>
    <col min="3845" max="3848" width="9.140625" style="289"/>
    <col min="3849" max="3849" width="53.42578125" style="289" customWidth="1"/>
    <col min="3850" max="4089" width="9.140625" style="289"/>
    <col min="4090" max="4090" width="2.85546875" style="289" customWidth="1"/>
    <col min="4091" max="4091" width="9.140625" style="289"/>
    <col min="4092" max="4092" width="11.28515625" style="289" customWidth="1"/>
    <col min="4093" max="4093" width="14.7109375" style="289" customWidth="1"/>
    <col min="4094" max="4094" width="12.7109375" style="289" customWidth="1"/>
    <col min="4095" max="4095" width="12.42578125" style="289" customWidth="1"/>
    <col min="4096" max="4096" width="10.85546875" style="289" customWidth="1"/>
    <col min="4097" max="4097" width="10" style="289" customWidth="1"/>
    <col min="4098" max="4098" width="15.42578125" style="289" customWidth="1"/>
    <col min="4099" max="4099" width="14.5703125" style="289" customWidth="1"/>
    <col min="4100" max="4100" width="4.7109375" style="289" customWidth="1"/>
    <col min="4101" max="4104" width="9.140625" style="289"/>
    <col min="4105" max="4105" width="53.42578125" style="289" customWidth="1"/>
    <col min="4106" max="4345" width="9.140625" style="289"/>
    <col min="4346" max="4346" width="2.85546875" style="289" customWidth="1"/>
    <col min="4347" max="4347" width="9.140625" style="289"/>
    <col min="4348" max="4348" width="11.28515625" style="289" customWidth="1"/>
    <col min="4349" max="4349" width="14.7109375" style="289" customWidth="1"/>
    <col min="4350" max="4350" width="12.7109375" style="289" customWidth="1"/>
    <col min="4351" max="4351" width="12.42578125" style="289" customWidth="1"/>
    <col min="4352" max="4352" width="10.85546875" style="289" customWidth="1"/>
    <col min="4353" max="4353" width="10" style="289" customWidth="1"/>
    <col min="4354" max="4354" width="15.42578125" style="289" customWidth="1"/>
    <col min="4355" max="4355" width="14.5703125" style="289" customWidth="1"/>
    <col min="4356" max="4356" width="4.7109375" style="289" customWidth="1"/>
    <col min="4357" max="4360" width="9.140625" style="289"/>
    <col min="4361" max="4361" width="53.42578125" style="289" customWidth="1"/>
    <col min="4362" max="4601" width="9.140625" style="289"/>
    <col min="4602" max="4602" width="2.85546875" style="289" customWidth="1"/>
    <col min="4603" max="4603" width="9.140625" style="289"/>
    <col min="4604" max="4604" width="11.28515625" style="289" customWidth="1"/>
    <col min="4605" max="4605" width="14.7109375" style="289" customWidth="1"/>
    <col min="4606" max="4606" width="12.7109375" style="289" customWidth="1"/>
    <col min="4607" max="4607" width="12.42578125" style="289" customWidth="1"/>
    <col min="4608" max="4608" width="10.85546875" style="289" customWidth="1"/>
    <col min="4609" max="4609" width="10" style="289" customWidth="1"/>
    <col min="4610" max="4610" width="15.42578125" style="289" customWidth="1"/>
    <col min="4611" max="4611" width="14.5703125" style="289" customWidth="1"/>
    <col min="4612" max="4612" width="4.7109375" style="289" customWidth="1"/>
    <col min="4613" max="4616" width="9.140625" style="289"/>
    <col min="4617" max="4617" width="53.42578125" style="289" customWidth="1"/>
    <col min="4618" max="4857" width="9.140625" style="289"/>
    <col min="4858" max="4858" width="2.85546875" style="289" customWidth="1"/>
    <col min="4859" max="4859" width="9.140625" style="289"/>
    <col min="4860" max="4860" width="11.28515625" style="289" customWidth="1"/>
    <col min="4861" max="4861" width="14.7109375" style="289" customWidth="1"/>
    <col min="4862" max="4862" width="12.7109375" style="289" customWidth="1"/>
    <col min="4863" max="4863" width="12.42578125" style="289" customWidth="1"/>
    <col min="4864" max="4864" width="10.85546875" style="289" customWidth="1"/>
    <col min="4865" max="4865" width="10" style="289" customWidth="1"/>
    <col min="4866" max="4866" width="15.42578125" style="289" customWidth="1"/>
    <col min="4867" max="4867" width="14.5703125" style="289" customWidth="1"/>
    <col min="4868" max="4868" width="4.7109375" style="289" customWidth="1"/>
    <col min="4869" max="4872" width="9.140625" style="289"/>
    <col min="4873" max="4873" width="53.42578125" style="289" customWidth="1"/>
    <col min="4874" max="5113" width="9.140625" style="289"/>
    <col min="5114" max="5114" width="2.85546875" style="289" customWidth="1"/>
    <col min="5115" max="5115" width="9.140625" style="289"/>
    <col min="5116" max="5116" width="11.28515625" style="289" customWidth="1"/>
    <col min="5117" max="5117" width="14.7109375" style="289" customWidth="1"/>
    <col min="5118" max="5118" width="12.7109375" style="289" customWidth="1"/>
    <col min="5119" max="5119" width="12.42578125" style="289" customWidth="1"/>
    <col min="5120" max="5120" width="10.85546875" style="289" customWidth="1"/>
    <col min="5121" max="5121" width="10" style="289" customWidth="1"/>
    <col min="5122" max="5122" width="15.42578125" style="289" customWidth="1"/>
    <col min="5123" max="5123" width="14.5703125" style="289" customWidth="1"/>
    <col min="5124" max="5124" width="4.7109375" style="289" customWidth="1"/>
    <col min="5125" max="5128" width="9.140625" style="289"/>
    <col min="5129" max="5129" width="53.42578125" style="289" customWidth="1"/>
    <col min="5130" max="5369" width="9.140625" style="289"/>
    <col min="5370" max="5370" width="2.85546875" style="289" customWidth="1"/>
    <col min="5371" max="5371" width="9.140625" style="289"/>
    <col min="5372" max="5372" width="11.28515625" style="289" customWidth="1"/>
    <col min="5373" max="5373" width="14.7109375" style="289" customWidth="1"/>
    <col min="5374" max="5374" width="12.7109375" style="289" customWidth="1"/>
    <col min="5375" max="5375" width="12.42578125" style="289" customWidth="1"/>
    <col min="5376" max="5376" width="10.85546875" style="289" customWidth="1"/>
    <col min="5377" max="5377" width="10" style="289" customWidth="1"/>
    <col min="5378" max="5378" width="15.42578125" style="289" customWidth="1"/>
    <col min="5379" max="5379" width="14.5703125" style="289" customWidth="1"/>
    <col min="5380" max="5380" width="4.7109375" style="289" customWidth="1"/>
    <col min="5381" max="5384" width="9.140625" style="289"/>
    <col min="5385" max="5385" width="53.42578125" style="289" customWidth="1"/>
    <col min="5386" max="5625" width="9.140625" style="289"/>
    <col min="5626" max="5626" width="2.85546875" style="289" customWidth="1"/>
    <col min="5627" max="5627" width="9.140625" style="289"/>
    <col min="5628" max="5628" width="11.28515625" style="289" customWidth="1"/>
    <col min="5629" max="5629" width="14.7109375" style="289" customWidth="1"/>
    <col min="5630" max="5630" width="12.7109375" style="289" customWidth="1"/>
    <col min="5631" max="5631" width="12.42578125" style="289" customWidth="1"/>
    <col min="5632" max="5632" width="10.85546875" style="289" customWidth="1"/>
    <col min="5633" max="5633" width="10" style="289" customWidth="1"/>
    <col min="5634" max="5634" width="15.42578125" style="289" customWidth="1"/>
    <col min="5635" max="5635" width="14.5703125" style="289" customWidth="1"/>
    <col min="5636" max="5636" width="4.7109375" style="289" customWidth="1"/>
    <col min="5637" max="5640" width="9.140625" style="289"/>
    <col min="5641" max="5641" width="53.42578125" style="289" customWidth="1"/>
    <col min="5642" max="5881" width="9.140625" style="289"/>
    <col min="5882" max="5882" width="2.85546875" style="289" customWidth="1"/>
    <col min="5883" max="5883" width="9.140625" style="289"/>
    <col min="5884" max="5884" width="11.28515625" style="289" customWidth="1"/>
    <col min="5885" max="5885" width="14.7109375" style="289" customWidth="1"/>
    <col min="5886" max="5886" width="12.7109375" style="289" customWidth="1"/>
    <col min="5887" max="5887" width="12.42578125" style="289" customWidth="1"/>
    <col min="5888" max="5888" width="10.85546875" style="289" customWidth="1"/>
    <col min="5889" max="5889" width="10" style="289" customWidth="1"/>
    <col min="5890" max="5890" width="15.42578125" style="289" customWidth="1"/>
    <col min="5891" max="5891" width="14.5703125" style="289" customWidth="1"/>
    <col min="5892" max="5892" width="4.7109375" style="289" customWidth="1"/>
    <col min="5893" max="5896" width="9.140625" style="289"/>
    <col min="5897" max="5897" width="53.42578125" style="289" customWidth="1"/>
    <col min="5898" max="6137" width="9.140625" style="289"/>
    <col min="6138" max="6138" width="2.85546875" style="289" customWidth="1"/>
    <col min="6139" max="6139" width="9.140625" style="289"/>
    <col min="6140" max="6140" width="11.28515625" style="289" customWidth="1"/>
    <col min="6141" max="6141" width="14.7109375" style="289" customWidth="1"/>
    <col min="6142" max="6142" width="12.7109375" style="289" customWidth="1"/>
    <col min="6143" max="6143" width="12.42578125" style="289" customWidth="1"/>
    <col min="6144" max="6144" width="10.85546875" style="289" customWidth="1"/>
    <col min="6145" max="6145" width="10" style="289" customWidth="1"/>
    <col min="6146" max="6146" width="15.42578125" style="289" customWidth="1"/>
    <col min="6147" max="6147" width="14.5703125" style="289" customWidth="1"/>
    <col min="6148" max="6148" width="4.7109375" style="289" customWidth="1"/>
    <col min="6149" max="6152" width="9.140625" style="289"/>
    <col min="6153" max="6153" width="53.42578125" style="289" customWidth="1"/>
    <col min="6154" max="6393" width="9.140625" style="289"/>
    <col min="6394" max="6394" width="2.85546875" style="289" customWidth="1"/>
    <col min="6395" max="6395" width="9.140625" style="289"/>
    <col min="6396" max="6396" width="11.28515625" style="289" customWidth="1"/>
    <col min="6397" max="6397" width="14.7109375" style="289" customWidth="1"/>
    <col min="6398" max="6398" width="12.7109375" style="289" customWidth="1"/>
    <col min="6399" max="6399" width="12.42578125" style="289" customWidth="1"/>
    <col min="6400" max="6400" width="10.85546875" style="289" customWidth="1"/>
    <col min="6401" max="6401" width="10" style="289" customWidth="1"/>
    <col min="6402" max="6402" width="15.42578125" style="289" customWidth="1"/>
    <col min="6403" max="6403" width="14.5703125" style="289" customWidth="1"/>
    <col min="6404" max="6404" width="4.7109375" style="289" customWidth="1"/>
    <col min="6405" max="6408" width="9.140625" style="289"/>
    <col min="6409" max="6409" width="53.42578125" style="289" customWidth="1"/>
    <col min="6410" max="6649" width="9.140625" style="289"/>
    <col min="6650" max="6650" width="2.85546875" style="289" customWidth="1"/>
    <col min="6651" max="6651" width="9.140625" style="289"/>
    <col min="6652" max="6652" width="11.28515625" style="289" customWidth="1"/>
    <col min="6653" max="6653" width="14.7109375" style="289" customWidth="1"/>
    <col min="6654" max="6654" width="12.7109375" style="289" customWidth="1"/>
    <col min="6655" max="6655" width="12.42578125" style="289" customWidth="1"/>
    <col min="6656" max="6656" width="10.85546875" style="289" customWidth="1"/>
    <col min="6657" max="6657" width="10" style="289" customWidth="1"/>
    <col min="6658" max="6658" width="15.42578125" style="289" customWidth="1"/>
    <col min="6659" max="6659" width="14.5703125" style="289" customWidth="1"/>
    <col min="6660" max="6660" width="4.7109375" style="289" customWidth="1"/>
    <col min="6661" max="6664" width="9.140625" style="289"/>
    <col min="6665" max="6665" width="53.42578125" style="289" customWidth="1"/>
    <col min="6666" max="6905" width="9.140625" style="289"/>
    <col min="6906" max="6906" width="2.85546875" style="289" customWidth="1"/>
    <col min="6907" max="6907" width="9.140625" style="289"/>
    <col min="6908" max="6908" width="11.28515625" style="289" customWidth="1"/>
    <col min="6909" max="6909" width="14.7109375" style="289" customWidth="1"/>
    <col min="6910" max="6910" width="12.7109375" style="289" customWidth="1"/>
    <col min="6911" max="6911" width="12.42578125" style="289" customWidth="1"/>
    <col min="6912" max="6912" width="10.85546875" style="289" customWidth="1"/>
    <col min="6913" max="6913" width="10" style="289" customWidth="1"/>
    <col min="6914" max="6914" width="15.42578125" style="289" customWidth="1"/>
    <col min="6915" max="6915" width="14.5703125" style="289" customWidth="1"/>
    <col min="6916" max="6916" width="4.7109375" style="289" customWidth="1"/>
    <col min="6917" max="6920" width="9.140625" style="289"/>
    <col min="6921" max="6921" width="53.42578125" style="289" customWidth="1"/>
    <col min="6922" max="7161" width="9.140625" style="289"/>
    <col min="7162" max="7162" width="2.85546875" style="289" customWidth="1"/>
    <col min="7163" max="7163" width="9.140625" style="289"/>
    <col min="7164" max="7164" width="11.28515625" style="289" customWidth="1"/>
    <col min="7165" max="7165" width="14.7109375" style="289" customWidth="1"/>
    <col min="7166" max="7166" width="12.7109375" style="289" customWidth="1"/>
    <col min="7167" max="7167" width="12.42578125" style="289" customWidth="1"/>
    <col min="7168" max="7168" width="10.85546875" style="289" customWidth="1"/>
    <col min="7169" max="7169" width="10" style="289" customWidth="1"/>
    <col min="7170" max="7170" width="15.42578125" style="289" customWidth="1"/>
    <col min="7171" max="7171" width="14.5703125" style="289" customWidth="1"/>
    <col min="7172" max="7172" width="4.7109375" style="289" customWidth="1"/>
    <col min="7173" max="7176" width="9.140625" style="289"/>
    <col min="7177" max="7177" width="53.42578125" style="289" customWidth="1"/>
    <col min="7178" max="7417" width="9.140625" style="289"/>
    <col min="7418" max="7418" width="2.85546875" style="289" customWidth="1"/>
    <col min="7419" max="7419" width="9.140625" style="289"/>
    <col min="7420" max="7420" width="11.28515625" style="289" customWidth="1"/>
    <col min="7421" max="7421" width="14.7109375" style="289" customWidth="1"/>
    <col min="7422" max="7422" width="12.7109375" style="289" customWidth="1"/>
    <col min="7423" max="7423" width="12.42578125" style="289" customWidth="1"/>
    <col min="7424" max="7424" width="10.85546875" style="289" customWidth="1"/>
    <col min="7425" max="7425" width="10" style="289" customWidth="1"/>
    <col min="7426" max="7426" width="15.42578125" style="289" customWidth="1"/>
    <col min="7427" max="7427" width="14.5703125" style="289" customWidth="1"/>
    <col min="7428" max="7428" width="4.7109375" style="289" customWidth="1"/>
    <col min="7429" max="7432" width="9.140625" style="289"/>
    <col min="7433" max="7433" width="53.42578125" style="289" customWidth="1"/>
    <col min="7434" max="7673" width="9.140625" style="289"/>
    <col min="7674" max="7674" width="2.85546875" style="289" customWidth="1"/>
    <col min="7675" max="7675" width="9.140625" style="289"/>
    <col min="7676" max="7676" width="11.28515625" style="289" customWidth="1"/>
    <col min="7677" max="7677" width="14.7109375" style="289" customWidth="1"/>
    <col min="7678" max="7678" width="12.7109375" style="289" customWidth="1"/>
    <col min="7679" max="7679" width="12.42578125" style="289" customWidth="1"/>
    <col min="7680" max="7680" width="10.85546875" style="289" customWidth="1"/>
    <col min="7681" max="7681" width="10" style="289" customWidth="1"/>
    <col min="7682" max="7682" width="15.42578125" style="289" customWidth="1"/>
    <col min="7683" max="7683" width="14.5703125" style="289" customWidth="1"/>
    <col min="7684" max="7684" width="4.7109375" style="289" customWidth="1"/>
    <col min="7685" max="7688" width="9.140625" style="289"/>
    <col min="7689" max="7689" width="53.42578125" style="289" customWidth="1"/>
    <col min="7690" max="7929" width="9.140625" style="289"/>
    <col min="7930" max="7930" width="2.85546875" style="289" customWidth="1"/>
    <col min="7931" max="7931" width="9.140625" style="289"/>
    <col min="7932" max="7932" width="11.28515625" style="289" customWidth="1"/>
    <col min="7933" max="7933" width="14.7109375" style="289" customWidth="1"/>
    <col min="7934" max="7934" width="12.7109375" style="289" customWidth="1"/>
    <col min="7935" max="7935" width="12.42578125" style="289" customWidth="1"/>
    <col min="7936" max="7936" width="10.85546875" style="289" customWidth="1"/>
    <col min="7937" max="7937" width="10" style="289" customWidth="1"/>
    <col min="7938" max="7938" width="15.42578125" style="289" customWidth="1"/>
    <col min="7939" max="7939" width="14.5703125" style="289" customWidth="1"/>
    <col min="7940" max="7940" width="4.7109375" style="289" customWidth="1"/>
    <col min="7941" max="7944" width="9.140625" style="289"/>
    <col min="7945" max="7945" width="53.42578125" style="289" customWidth="1"/>
    <col min="7946" max="8185" width="9.140625" style="289"/>
    <col min="8186" max="8186" width="2.85546875" style="289" customWidth="1"/>
    <col min="8187" max="8187" width="9.140625" style="289"/>
    <col min="8188" max="8188" width="11.28515625" style="289" customWidth="1"/>
    <col min="8189" max="8189" width="14.7109375" style="289" customWidth="1"/>
    <col min="8190" max="8190" width="12.7109375" style="289" customWidth="1"/>
    <col min="8191" max="8191" width="12.42578125" style="289" customWidth="1"/>
    <col min="8192" max="8192" width="10.85546875" style="289" customWidth="1"/>
    <col min="8193" max="8193" width="10" style="289" customWidth="1"/>
    <col min="8194" max="8194" width="15.42578125" style="289" customWidth="1"/>
    <col min="8195" max="8195" width="14.5703125" style="289" customWidth="1"/>
    <col min="8196" max="8196" width="4.7109375" style="289" customWidth="1"/>
    <col min="8197" max="8200" width="9.140625" style="289"/>
    <col min="8201" max="8201" width="53.42578125" style="289" customWidth="1"/>
    <col min="8202" max="8441" width="9.140625" style="289"/>
    <col min="8442" max="8442" width="2.85546875" style="289" customWidth="1"/>
    <col min="8443" max="8443" width="9.140625" style="289"/>
    <col min="8444" max="8444" width="11.28515625" style="289" customWidth="1"/>
    <col min="8445" max="8445" width="14.7109375" style="289" customWidth="1"/>
    <col min="8446" max="8446" width="12.7109375" style="289" customWidth="1"/>
    <col min="8447" max="8447" width="12.42578125" style="289" customWidth="1"/>
    <col min="8448" max="8448" width="10.85546875" style="289" customWidth="1"/>
    <col min="8449" max="8449" width="10" style="289" customWidth="1"/>
    <col min="8450" max="8450" width="15.42578125" style="289" customWidth="1"/>
    <col min="8451" max="8451" width="14.5703125" style="289" customWidth="1"/>
    <col min="8452" max="8452" width="4.7109375" style="289" customWidth="1"/>
    <col min="8453" max="8456" width="9.140625" style="289"/>
    <col min="8457" max="8457" width="53.42578125" style="289" customWidth="1"/>
    <col min="8458" max="8697" width="9.140625" style="289"/>
    <col min="8698" max="8698" width="2.85546875" style="289" customWidth="1"/>
    <col min="8699" max="8699" width="9.140625" style="289"/>
    <col min="8700" max="8700" width="11.28515625" style="289" customWidth="1"/>
    <col min="8701" max="8701" width="14.7109375" style="289" customWidth="1"/>
    <col min="8702" max="8702" width="12.7109375" style="289" customWidth="1"/>
    <col min="8703" max="8703" width="12.42578125" style="289" customWidth="1"/>
    <col min="8704" max="8704" width="10.85546875" style="289" customWidth="1"/>
    <col min="8705" max="8705" width="10" style="289" customWidth="1"/>
    <col min="8706" max="8706" width="15.42578125" style="289" customWidth="1"/>
    <col min="8707" max="8707" width="14.5703125" style="289" customWidth="1"/>
    <col min="8708" max="8708" width="4.7109375" style="289" customWidth="1"/>
    <col min="8709" max="8712" width="9.140625" style="289"/>
    <col min="8713" max="8713" width="53.42578125" style="289" customWidth="1"/>
    <col min="8714" max="8953" width="9.140625" style="289"/>
    <col min="8954" max="8954" width="2.85546875" style="289" customWidth="1"/>
    <col min="8955" max="8955" width="9.140625" style="289"/>
    <col min="8956" max="8956" width="11.28515625" style="289" customWidth="1"/>
    <col min="8957" max="8957" width="14.7109375" style="289" customWidth="1"/>
    <col min="8958" max="8958" width="12.7109375" style="289" customWidth="1"/>
    <col min="8959" max="8959" width="12.42578125" style="289" customWidth="1"/>
    <col min="8960" max="8960" width="10.85546875" style="289" customWidth="1"/>
    <col min="8961" max="8961" width="10" style="289" customWidth="1"/>
    <col min="8962" max="8962" width="15.42578125" style="289" customWidth="1"/>
    <col min="8963" max="8963" width="14.5703125" style="289" customWidth="1"/>
    <col min="8964" max="8964" width="4.7109375" style="289" customWidth="1"/>
    <col min="8965" max="8968" width="9.140625" style="289"/>
    <col min="8969" max="8969" width="53.42578125" style="289" customWidth="1"/>
    <col min="8970" max="9209" width="9.140625" style="289"/>
    <col min="9210" max="9210" width="2.85546875" style="289" customWidth="1"/>
    <col min="9211" max="9211" width="9.140625" style="289"/>
    <col min="9212" max="9212" width="11.28515625" style="289" customWidth="1"/>
    <col min="9213" max="9213" width="14.7109375" style="289" customWidth="1"/>
    <col min="9214" max="9214" width="12.7109375" style="289" customWidth="1"/>
    <col min="9215" max="9215" width="12.42578125" style="289" customWidth="1"/>
    <col min="9216" max="9216" width="10.85546875" style="289" customWidth="1"/>
    <col min="9217" max="9217" width="10" style="289" customWidth="1"/>
    <col min="9218" max="9218" width="15.42578125" style="289" customWidth="1"/>
    <col min="9219" max="9219" width="14.5703125" style="289" customWidth="1"/>
    <col min="9220" max="9220" width="4.7109375" style="289" customWidth="1"/>
    <col min="9221" max="9224" width="9.140625" style="289"/>
    <col min="9225" max="9225" width="53.42578125" style="289" customWidth="1"/>
    <col min="9226" max="9465" width="9.140625" style="289"/>
    <col min="9466" max="9466" width="2.85546875" style="289" customWidth="1"/>
    <col min="9467" max="9467" width="9.140625" style="289"/>
    <col min="9468" max="9468" width="11.28515625" style="289" customWidth="1"/>
    <col min="9469" max="9469" width="14.7109375" style="289" customWidth="1"/>
    <col min="9470" max="9470" width="12.7109375" style="289" customWidth="1"/>
    <col min="9471" max="9471" width="12.42578125" style="289" customWidth="1"/>
    <col min="9472" max="9472" width="10.85546875" style="289" customWidth="1"/>
    <col min="9473" max="9473" width="10" style="289" customWidth="1"/>
    <col min="9474" max="9474" width="15.42578125" style="289" customWidth="1"/>
    <col min="9475" max="9475" width="14.5703125" style="289" customWidth="1"/>
    <col min="9476" max="9476" width="4.7109375" style="289" customWidth="1"/>
    <col min="9477" max="9480" width="9.140625" style="289"/>
    <col min="9481" max="9481" width="53.42578125" style="289" customWidth="1"/>
    <col min="9482" max="9721" width="9.140625" style="289"/>
    <col min="9722" max="9722" width="2.85546875" style="289" customWidth="1"/>
    <col min="9723" max="9723" width="9.140625" style="289"/>
    <col min="9724" max="9724" width="11.28515625" style="289" customWidth="1"/>
    <col min="9725" max="9725" width="14.7109375" style="289" customWidth="1"/>
    <col min="9726" max="9726" width="12.7109375" style="289" customWidth="1"/>
    <col min="9727" max="9727" width="12.42578125" style="289" customWidth="1"/>
    <col min="9728" max="9728" width="10.85546875" style="289" customWidth="1"/>
    <col min="9729" max="9729" width="10" style="289" customWidth="1"/>
    <col min="9730" max="9730" width="15.42578125" style="289" customWidth="1"/>
    <col min="9731" max="9731" width="14.5703125" style="289" customWidth="1"/>
    <col min="9732" max="9732" width="4.7109375" style="289" customWidth="1"/>
    <col min="9733" max="9736" width="9.140625" style="289"/>
    <col min="9737" max="9737" width="53.42578125" style="289" customWidth="1"/>
    <col min="9738" max="9977" width="9.140625" style="289"/>
    <col min="9978" max="9978" width="2.85546875" style="289" customWidth="1"/>
    <col min="9979" max="9979" width="9.140625" style="289"/>
    <col min="9980" max="9980" width="11.28515625" style="289" customWidth="1"/>
    <col min="9981" max="9981" width="14.7109375" style="289" customWidth="1"/>
    <col min="9982" max="9982" width="12.7109375" style="289" customWidth="1"/>
    <col min="9983" max="9983" width="12.42578125" style="289" customWidth="1"/>
    <col min="9984" max="9984" width="10.85546875" style="289" customWidth="1"/>
    <col min="9985" max="9985" width="10" style="289" customWidth="1"/>
    <col min="9986" max="9986" width="15.42578125" style="289" customWidth="1"/>
    <col min="9987" max="9987" width="14.5703125" style="289" customWidth="1"/>
    <col min="9988" max="9988" width="4.7109375" style="289" customWidth="1"/>
    <col min="9989" max="9992" width="9.140625" style="289"/>
    <col min="9993" max="9993" width="53.42578125" style="289" customWidth="1"/>
    <col min="9994" max="10233" width="9.140625" style="289"/>
    <col min="10234" max="10234" width="2.85546875" style="289" customWidth="1"/>
    <col min="10235" max="10235" width="9.140625" style="289"/>
    <col min="10236" max="10236" width="11.28515625" style="289" customWidth="1"/>
    <col min="10237" max="10237" width="14.7109375" style="289" customWidth="1"/>
    <col min="10238" max="10238" width="12.7109375" style="289" customWidth="1"/>
    <col min="10239" max="10239" width="12.42578125" style="289" customWidth="1"/>
    <col min="10240" max="10240" width="10.85546875" style="289" customWidth="1"/>
    <col min="10241" max="10241" width="10" style="289" customWidth="1"/>
    <col min="10242" max="10242" width="15.42578125" style="289" customWidth="1"/>
    <col min="10243" max="10243" width="14.5703125" style="289" customWidth="1"/>
    <col min="10244" max="10244" width="4.7109375" style="289" customWidth="1"/>
    <col min="10245" max="10248" width="9.140625" style="289"/>
    <col min="10249" max="10249" width="53.42578125" style="289" customWidth="1"/>
    <col min="10250" max="10489" width="9.140625" style="289"/>
    <col min="10490" max="10490" width="2.85546875" style="289" customWidth="1"/>
    <col min="10491" max="10491" width="9.140625" style="289"/>
    <col min="10492" max="10492" width="11.28515625" style="289" customWidth="1"/>
    <col min="10493" max="10493" width="14.7109375" style="289" customWidth="1"/>
    <col min="10494" max="10494" width="12.7109375" style="289" customWidth="1"/>
    <col min="10495" max="10495" width="12.42578125" style="289" customWidth="1"/>
    <col min="10496" max="10496" width="10.85546875" style="289" customWidth="1"/>
    <col min="10497" max="10497" width="10" style="289" customWidth="1"/>
    <col min="10498" max="10498" width="15.42578125" style="289" customWidth="1"/>
    <col min="10499" max="10499" width="14.5703125" style="289" customWidth="1"/>
    <col min="10500" max="10500" width="4.7109375" style="289" customWidth="1"/>
    <col min="10501" max="10504" width="9.140625" style="289"/>
    <col min="10505" max="10505" width="53.42578125" style="289" customWidth="1"/>
    <col min="10506" max="10745" width="9.140625" style="289"/>
    <col min="10746" max="10746" width="2.85546875" style="289" customWidth="1"/>
    <col min="10747" max="10747" width="9.140625" style="289"/>
    <col min="10748" max="10748" width="11.28515625" style="289" customWidth="1"/>
    <col min="10749" max="10749" width="14.7109375" style="289" customWidth="1"/>
    <col min="10750" max="10750" width="12.7109375" style="289" customWidth="1"/>
    <col min="10751" max="10751" width="12.42578125" style="289" customWidth="1"/>
    <col min="10752" max="10752" width="10.85546875" style="289" customWidth="1"/>
    <col min="10753" max="10753" width="10" style="289" customWidth="1"/>
    <col min="10754" max="10754" width="15.42578125" style="289" customWidth="1"/>
    <col min="10755" max="10755" width="14.5703125" style="289" customWidth="1"/>
    <col min="10756" max="10756" width="4.7109375" style="289" customWidth="1"/>
    <col min="10757" max="10760" width="9.140625" style="289"/>
    <col min="10761" max="10761" width="53.42578125" style="289" customWidth="1"/>
    <col min="10762" max="11001" width="9.140625" style="289"/>
    <col min="11002" max="11002" width="2.85546875" style="289" customWidth="1"/>
    <col min="11003" max="11003" width="9.140625" style="289"/>
    <col min="11004" max="11004" width="11.28515625" style="289" customWidth="1"/>
    <col min="11005" max="11005" width="14.7109375" style="289" customWidth="1"/>
    <col min="11006" max="11006" width="12.7109375" style="289" customWidth="1"/>
    <col min="11007" max="11007" width="12.42578125" style="289" customWidth="1"/>
    <col min="11008" max="11008" width="10.85546875" style="289" customWidth="1"/>
    <col min="11009" max="11009" width="10" style="289" customWidth="1"/>
    <col min="11010" max="11010" width="15.42578125" style="289" customWidth="1"/>
    <col min="11011" max="11011" width="14.5703125" style="289" customWidth="1"/>
    <col min="11012" max="11012" width="4.7109375" style="289" customWidth="1"/>
    <col min="11013" max="11016" width="9.140625" style="289"/>
    <col min="11017" max="11017" width="53.42578125" style="289" customWidth="1"/>
    <col min="11018" max="11257" width="9.140625" style="289"/>
    <col min="11258" max="11258" width="2.85546875" style="289" customWidth="1"/>
    <col min="11259" max="11259" width="9.140625" style="289"/>
    <col min="11260" max="11260" width="11.28515625" style="289" customWidth="1"/>
    <col min="11261" max="11261" width="14.7109375" style="289" customWidth="1"/>
    <col min="11262" max="11262" width="12.7109375" style="289" customWidth="1"/>
    <col min="11263" max="11263" width="12.42578125" style="289" customWidth="1"/>
    <col min="11264" max="11264" width="10.85546875" style="289" customWidth="1"/>
    <col min="11265" max="11265" width="10" style="289" customWidth="1"/>
    <col min="11266" max="11266" width="15.42578125" style="289" customWidth="1"/>
    <col min="11267" max="11267" width="14.5703125" style="289" customWidth="1"/>
    <col min="11268" max="11268" width="4.7109375" style="289" customWidth="1"/>
    <col min="11269" max="11272" width="9.140625" style="289"/>
    <col min="11273" max="11273" width="53.42578125" style="289" customWidth="1"/>
    <col min="11274" max="11513" width="9.140625" style="289"/>
    <col min="11514" max="11514" width="2.85546875" style="289" customWidth="1"/>
    <col min="11515" max="11515" width="9.140625" style="289"/>
    <col min="11516" max="11516" width="11.28515625" style="289" customWidth="1"/>
    <col min="11517" max="11517" width="14.7109375" style="289" customWidth="1"/>
    <col min="11518" max="11518" width="12.7109375" style="289" customWidth="1"/>
    <col min="11519" max="11519" width="12.42578125" style="289" customWidth="1"/>
    <col min="11520" max="11520" width="10.85546875" style="289" customWidth="1"/>
    <col min="11521" max="11521" width="10" style="289" customWidth="1"/>
    <col min="11522" max="11522" width="15.42578125" style="289" customWidth="1"/>
    <col min="11523" max="11523" width="14.5703125" style="289" customWidth="1"/>
    <col min="11524" max="11524" width="4.7109375" style="289" customWidth="1"/>
    <col min="11525" max="11528" width="9.140625" style="289"/>
    <col min="11529" max="11529" width="53.42578125" style="289" customWidth="1"/>
    <col min="11530" max="11769" width="9.140625" style="289"/>
    <col min="11770" max="11770" width="2.85546875" style="289" customWidth="1"/>
    <col min="11771" max="11771" width="9.140625" style="289"/>
    <col min="11772" max="11772" width="11.28515625" style="289" customWidth="1"/>
    <col min="11773" max="11773" width="14.7109375" style="289" customWidth="1"/>
    <col min="11774" max="11774" width="12.7109375" style="289" customWidth="1"/>
    <col min="11775" max="11775" width="12.42578125" style="289" customWidth="1"/>
    <col min="11776" max="11776" width="10.85546875" style="289" customWidth="1"/>
    <col min="11777" max="11777" width="10" style="289" customWidth="1"/>
    <col min="11778" max="11778" width="15.42578125" style="289" customWidth="1"/>
    <col min="11779" max="11779" width="14.5703125" style="289" customWidth="1"/>
    <col min="11780" max="11780" width="4.7109375" style="289" customWidth="1"/>
    <col min="11781" max="11784" width="9.140625" style="289"/>
    <col min="11785" max="11785" width="53.42578125" style="289" customWidth="1"/>
    <col min="11786" max="12025" width="9.140625" style="289"/>
    <col min="12026" max="12026" width="2.85546875" style="289" customWidth="1"/>
    <col min="12027" max="12027" width="9.140625" style="289"/>
    <col min="12028" max="12028" width="11.28515625" style="289" customWidth="1"/>
    <col min="12029" max="12029" width="14.7109375" style="289" customWidth="1"/>
    <col min="12030" max="12030" width="12.7109375" style="289" customWidth="1"/>
    <col min="12031" max="12031" width="12.42578125" style="289" customWidth="1"/>
    <col min="12032" max="12032" width="10.85546875" style="289" customWidth="1"/>
    <col min="12033" max="12033" width="10" style="289" customWidth="1"/>
    <col min="12034" max="12034" width="15.42578125" style="289" customWidth="1"/>
    <col min="12035" max="12035" width="14.5703125" style="289" customWidth="1"/>
    <col min="12036" max="12036" width="4.7109375" style="289" customWidth="1"/>
    <col min="12037" max="12040" width="9.140625" style="289"/>
    <col min="12041" max="12041" width="53.42578125" style="289" customWidth="1"/>
    <col min="12042" max="12281" width="9.140625" style="289"/>
    <col min="12282" max="12282" width="2.85546875" style="289" customWidth="1"/>
    <col min="12283" max="12283" width="9.140625" style="289"/>
    <col min="12284" max="12284" width="11.28515625" style="289" customWidth="1"/>
    <col min="12285" max="12285" width="14.7109375" style="289" customWidth="1"/>
    <col min="12286" max="12286" width="12.7109375" style="289" customWidth="1"/>
    <col min="12287" max="12287" width="12.42578125" style="289" customWidth="1"/>
    <col min="12288" max="12288" width="10.85546875" style="289" customWidth="1"/>
    <col min="12289" max="12289" width="10" style="289" customWidth="1"/>
    <col min="12290" max="12290" width="15.42578125" style="289" customWidth="1"/>
    <col min="12291" max="12291" width="14.5703125" style="289" customWidth="1"/>
    <col min="12292" max="12292" width="4.7109375" style="289" customWidth="1"/>
    <col min="12293" max="12296" width="9.140625" style="289"/>
    <col min="12297" max="12297" width="53.42578125" style="289" customWidth="1"/>
    <col min="12298" max="12537" width="9.140625" style="289"/>
    <col min="12538" max="12538" width="2.85546875" style="289" customWidth="1"/>
    <col min="12539" max="12539" width="9.140625" style="289"/>
    <col min="12540" max="12540" width="11.28515625" style="289" customWidth="1"/>
    <col min="12541" max="12541" width="14.7109375" style="289" customWidth="1"/>
    <col min="12542" max="12542" width="12.7109375" style="289" customWidth="1"/>
    <col min="12543" max="12543" width="12.42578125" style="289" customWidth="1"/>
    <col min="12544" max="12544" width="10.85546875" style="289" customWidth="1"/>
    <col min="12545" max="12545" width="10" style="289" customWidth="1"/>
    <col min="12546" max="12546" width="15.42578125" style="289" customWidth="1"/>
    <col min="12547" max="12547" width="14.5703125" style="289" customWidth="1"/>
    <col min="12548" max="12548" width="4.7109375" style="289" customWidth="1"/>
    <col min="12549" max="12552" width="9.140625" style="289"/>
    <col min="12553" max="12553" width="53.42578125" style="289" customWidth="1"/>
    <col min="12554" max="12793" width="9.140625" style="289"/>
    <col min="12794" max="12794" width="2.85546875" style="289" customWidth="1"/>
    <col min="12795" max="12795" width="9.140625" style="289"/>
    <col min="12796" max="12796" width="11.28515625" style="289" customWidth="1"/>
    <col min="12797" max="12797" width="14.7109375" style="289" customWidth="1"/>
    <col min="12798" max="12798" width="12.7109375" style="289" customWidth="1"/>
    <col min="12799" max="12799" width="12.42578125" style="289" customWidth="1"/>
    <col min="12800" max="12800" width="10.85546875" style="289" customWidth="1"/>
    <col min="12801" max="12801" width="10" style="289" customWidth="1"/>
    <col min="12802" max="12802" width="15.42578125" style="289" customWidth="1"/>
    <col min="12803" max="12803" width="14.5703125" style="289" customWidth="1"/>
    <col min="12804" max="12804" width="4.7109375" style="289" customWidth="1"/>
    <col min="12805" max="12808" width="9.140625" style="289"/>
    <col min="12809" max="12809" width="53.42578125" style="289" customWidth="1"/>
    <col min="12810" max="13049" width="9.140625" style="289"/>
    <col min="13050" max="13050" width="2.85546875" style="289" customWidth="1"/>
    <col min="13051" max="13051" width="9.140625" style="289"/>
    <col min="13052" max="13052" width="11.28515625" style="289" customWidth="1"/>
    <col min="13053" max="13053" width="14.7109375" style="289" customWidth="1"/>
    <col min="13054" max="13054" width="12.7109375" style="289" customWidth="1"/>
    <col min="13055" max="13055" width="12.42578125" style="289" customWidth="1"/>
    <col min="13056" max="13056" width="10.85546875" style="289" customWidth="1"/>
    <col min="13057" max="13057" width="10" style="289" customWidth="1"/>
    <col min="13058" max="13058" width="15.42578125" style="289" customWidth="1"/>
    <col min="13059" max="13059" width="14.5703125" style="289" customWidth="1"/>
    <col min="13060" max="13060" width="4.7109375" style="289" customWidth="1"/>
    <col min="13061" max="13064" width="9.140625" style="289"/>
    <col min="13065" max="13065" width="53.42578125" style="289" customWidth="1"/>
    <col min="13066" max="13305" width="9.140625" style="289"/>
    <col min="13306" max="13306" width="2.85546875" style="289" customWidth="1"/>
    <col min="13307" max="13307" width="9.140625" style="289"/>
    <col min="13308" max="13308" width="11.28515625" style="289" customWidth="1"/>
    <col min="13309" max="13309" width="14.7109375" style="289" customWidth="1"/>
    <col min="13310" max="13310" width="12.7109375" style="289" customWidth="1"/>
    <col min="13311" max="13311" width="12.42578125" style="289" customWidth="1"/>
    <col min="13312" max="13312" width="10.85546875" style="289" customWidth="1"/>
    <col min="13313" max="13313" width="10" style="289" customWidth="1"/>
    <col min="13314" max="13314" width="15.42578125" style="289" customWidth="1"/>
    <col min="13315" max="13315" width="14.5703125" style="289" customWidth="1"/>
    <col min="13316" max="13316" width="4.7109375" style="289" customWidth="1"/>
    <col min="13317" max="13320" width="9.140625" style="289"/>
    <col min="13321" max="13321" width="53.42578125" style="289" customWidth="1"/>
    <col min="13322" max="13561" width="9.140625" style="289"/>
    <col min="13562" max="13562" width="2.85546875" style="289" customWidth="1"/>
    <col min="13563" max="13563" width="9.140625" style="289"/>
    <col min="13564" max="13564" width="11.28515625" style="289" customWidth="1"/>
    <col min="13565" max="13565" width="14.7109375" style="289" customWidth="1"/>
    <col min="13566" max="13566" width="12.7109375" style="289" customWidth="1"/>
    <col min="13567" max="13567" width="12.42578125" style="289" customWidth="1"/>
    <col min="13568" max="13568" width="10.85546875" style="289" customWidth="1"/>
    <col min="13569" max="13569" width="10" style="289" customWidth="1"/>
    <col min="13570" max="13570" width="15.42578125" style="289" customWidth="1"/>
    <col min="13571" max="13571" width="14.5703125" style="289" customWidth="1"/>
    <col min="13572" max="13572" width="4.7109375" style="289" customWidth="1"/>
    <col min="13573" max="13576" width="9.140625" style="289"/>
    <col min="13577" max="13577" width="53.42578125" style="289" customWidth="1"/>
    <col min="13578" max="13817" width="9.140625" style="289"/>
    <col min="13818" max="13818" width="2.85546875" style="289" customWidth="1"/>
    <col min="13819" max="13819" width="9.140625" style="289"/>
    <col min="13820" max="13820" width="11.28515625" style="289" customWidth="1"/>
    <col min="13821" max="13821" width="14.7109375" style="289" customWidth="1"/>
    <col min="13822" max="13822" width="12.7109375" style="289" customWidth="1"/>
    <col min="13823" max="13823" width="12.42578125" style="289" customWidth="1"/>
    <col min="13824" max="13824" width="10.85546875" style="289" customWidth="1"/>
    <col min="13825" max="13825" width="10" style="289" customWidth="1"/>
    <col min="13826" max="13826" width="15.42578125" style="289" customWidth="1"/>
    <col min="13827" max="13827" width="14.5703125" style="289" customWidth="1"/>
    <col min="13828" max="13828" width="4.7109375" style="289" customWidth="1"/>
    <col min="13829" max="13832" width="9.140625" style="289"/>
    <col min="13833" max="13833" width="53.42578125" style="289" customWidth="1"/>
    <col min="13834" max="14073" width="9.140625" style="289"/>
    <col min="14074" max="14074" width="2.85546875" style="289" customWidth="1"/>
    <col min="14075" max="14075" width="9.140625" style="289"/>
    <col min="14076" max="14076" width="11.28515625" style="289" customWidth="1"/>
    <col min="14077" max="14077" width="14.7109375" style="289" customWidth="1"/>
    <col min="14078" max="14078" width="12.7109375" style="289" customWidth="1"/>
    <col min="14079" max="14079" width="12.42578125" style="289" customWidth="1"/>
    <col min="14080" max="14080" width="10.85546875" style="289" customWidth="1"/>
    <col min="14081" max="14081" width="10" style="289" customWidth="1"/>
    <col min="14082" max="14082" width="15.42578125" style="289" customWidth="1"/>
    <col min="14083" max="14083" width="14.5703125" style="289" customWidth="1"/>
    <col min="14084" max="14084" width="4.7109375" style="289" customWidth="1"/>
    <col min="14085" max="14088" width="9.140625" style="289"/>
    <col min="14089" max="14089" width="53.42578125" style="289" customWidth="1"/>
    <col min="14090" max="14329" width="9.140625" style="289"/>
    <col min="14330" max="14330" width="2.85546875" style="289" customWidth="1"/>
    <col min="14331" max="14331" width="9.140625" style="289"/>
    <col min="14332" max="14332" width="11.28515625" style="289" customWidth="1"/>
    <col min="14333" max="14333" width="14.7109375" style="289" customWidth="1"/>
    <col min="14334" max="14334" width="12.7109375" style="289" customWidth="1"/>
    <col min="14335" max="14335" width="12.42578125" style="289" customWidth="1"/>
    <col min="14336" max="14336" width="10.85546875" style="289" customWidth="1"/>
    <col min="14337" max="14337" width="10" style="289" customWidth="1"/>
    <col min="14338" max="14338" width="15.42578125" style="289" customWidth="1"/>
    <col min="14339" max="14339" width="14.5703125" style="289" customWidth="1"/>
    <col min="14340" max="14340" width="4.7109375" style="289" customWidth="1"/>
    <col min="14341" max="14344" width="9.140625" style="289"/>
    <col min="14345" max="14345" width="53.42578125" style="289" customWidth="1"/>
    <col min="14346" max="14585" width="9.140625" style="289"/>
    <col min="14586" max="14586" width="2.85546875" style="289" customWidth="1"/>
    <col min="14587" max="14587" width="9.140625" style="289"/>
    <col min="14588" max="14588" width="11.28515625" style="289" customWidth="1"/>
    <col min="14589" max="14589" width="14.7109375" style="289" customWidth="1"/>
    <col min="14590" max="14590" width="12.7109375" style="289" customWidth="1"/>
    <col min="14591" max="14591" width="12.42578125" style="289" customWidth="1"/>
    <col min="14592" max="14592" width="10.85546875" style="289" customWidth="1"/>
    <col min="14593" max="14593" width="10" style="289" customWidth="1"/>
    <col min="14594" max="14594" width="15.42578125" style="289" customWidth="1"/>
    <col min="14595" max="14595" width="14.5703125" style="289" customWidth="1"/>
    <col min="14596" max="14596" width="4.7109375" style="289" customWidth="1"/>
    <col min="14597" max="14600" width="9.140625" style="289"/>
    <col min="14601" max="14601" width="53.42578125" style="289" customWidth="1"/>
    <col min="14602" max="14841" width="9.140625" style="289"/>
    <col min="14842" max="14842" width="2.85546875" style="289" customWidth="1"/>
    <col min="14843" max="14843" width="9.140625" style="289"/>
    <col min="14844" max="14844" width="11.28515625" style="289" customWidth="1"/>
    <col min="14845" max="14845" width="14.7109375" style="289" customWidth="1"/>
    <col min="14846" max="14846" width="12.7109375" style="289" customWidth="1"/>
    <col min="14847" max="14847" width="12.42578125" style="289" customWidth="1"/>
    <col min="14848" max="14848" width="10.85546875" style="289" customWidth="1"/>
    <col min="14849" max="14849" width="10" style="289" customWidth="1"/>
    <col min="14850" max="14850" width="15.42578125" style="289" customWidth="1"/>
    <col min="14851" max="14851" width="14.5703125" style="289" customWidth="1"/>
    <col min="14852" max="14852" width="4.7109375" style="289" customWidth="1"/>
    <col min="14853" max="14856" width="9.140625" style="289"/>
    <col min="14857" max="14857" width="53.42578125" style="289" customWidth="1"/>
    <col min="14858" max="15097" width="9.140625" style="289"/>
    <col min="15098" max="15098" width="2.85546875" style="289" customWidth="1"/>
    <col min="15099" max="15099" width="9.140625" style="289"/>
    <col min="15100" max="15100" width="11.28515625" style="289" customWidth="1"/>
    <col min="15101" max="15101" width="14.7109375" style="289" customWidth="1"/>
    <col min="15102" max="15102" width="12.7109375" style="289" customWidth="1"/>
    <col min="15103" max="15103" width="12.42578125" style="289" customWidth="1"/>
    <col min="15104" max="15104" width="10.85546875" style="289" customWidth="1"/>
    <col min="15105" max="15105" width="10" style="289" customWidth="1"/>
    <col min="15106" max="15106" width="15.42578125" style="289" customWidth="1"/>
    <col min="15107" max="15107" width="14.5703125" style="289" customWidth="1"/>
    <col min="15108" max="15108" width="4.7109375" style="289" customWidth="1"/>
    <col min="15109" max="15112" width="9.140625" style="289"/>
    <col min="15113" max="15113" width="53.42578125" style="289" customWidth="1"/>
    <col min="15114" max="15353" width="9.140625" style="289"/>
    <col min="15354" max="15354" width="2.85546875" style="289" customWidth="1"/>
    <col min="15355" max="15355" width="9.140625" style="289"/>
    <col min="15356" max="15356" width="11.28515625" style="289" customWidth="1"/>
    <col min="15357" max="15357" width="14.7109375" style="289" customWidth="1"/>
    <col min="15358" max="15358" width="12.7109375" style="289" customWidth="1"/>
    <col min="15359" max="15359" width="12.42578125" style="289" customWidth="1"/>
    <col min="15360" max="15360" width="10.85546875" style="289" customWidth="1"/>
    <col min="15361" max="15361" width="10" style="289" customWidth="1"/>
    <col min="15362" max="15362" width="15.42578125" style="289" customWidth="1"/>
    <col min="15363" max="15363" width="14.5703125" style="289" customWidth="1"/>
    <col min="15364" max="15364" width="4.7109375" style="289" customWidth="1"/>
    <col min="15365" max="15368" width="9.140625" style="289"/>
    <col min="15369" max="15369" width="53.42578125" style="289" customWidth="1"/>
    <col min="15370" max="15609" width="9.140625" style="289"/>
    <col min="15610" max="15610" width="2.85546875" style="289" customWidth="1"/>
    <col min="15611" max="15611" width="9.140625" style="289"/>
    <col min="15612" max="15612" width="11.28515625" style="289" customWidth="1"/>
    <col min="15613" max="15613" width="14.7109375" style="289" customWidth="1"/>
    <col min="15614" max="15614" width="12.7109375" style="289" customWidth="1"/>
    <col min="15615" max="15615" width="12.42578125" style="289" customWidth="1"/>
    <col min="15616" max="15616" width="10.85546875" style="289" customWidth="1"/>
    <col min="15617" max="15617" width="10" style="289" customWidth="1"/>
    <col min="15618" max="15618" width="15.42578125" style="289" customWidth="1"/>
    <col min="15619" max="15619" width="14.5703125" style="289" customWidth="1"/>
    <col min="15620" max="15620" width="4.7109375" style="289" customWidth="1"/>
    <col min="15621" max="15624" width="9.140625" style="289"/>
    <col min="15625" max="15625" width="53.42578125" style="289" customWidth="1"/>
    <col min="15626" max="15865" width="9.140625" style="289"/>
    <col min="15866" max="15866" width="2.85546875" style="289" customWidth="1"/>
    <col min="15867" max="15867" width="9.140625" style="289"/>
    <col min="15868" max="15868" width="11.28515625" style="289" customWidth="1"/>
    <col min="15869" max="15869" width="14.7109375" style="289" customWidth="1"/>
    <col min="15870" max="15870" width="12.7109375" style="289" customWidth="1"/>
    <col min="15871" max="15871" width="12.42578125" style="289" customWidth="1"/>
    <col min="15872" max="15872" width="10.85546875" style="289" customWidth="1"/>
    <col min="15873" max="15873" width="10" style="289" customWidth="1"/>
    <col min="15874" max="15874" width="15.42578125" style="289" customWidth="1"/>
    <col min="15875" max="15875" width="14.5703125" style="289" customWidth="1"/>
    <col min="15876" max="15876" width="4.7109375" style="289" customWidth="1"/>
    <col min="15877" max="15880" width="9.140625" style="289"/>
    <col min="15881" max="15881" width="53.42578125" style="289" customWidth="1"/>
    <col min="15882" max="16121" width="9.140625" style="289"/>
    <col min="16122" max="16122" width="2.85546875" style="289" customWidth="1"/>
    <col min="16123" max="16123" width="9.140625" style="289"/>
    <col min="16124" max="16124" width="11.28515625" style="289" customWidth="1"/>
    <col min="16125" max="16125" width="14.7109375" style="289" customWidth="1"/>
    <col min="16126" max="16126" width="12.7109375" style="289" customWidth="1"/>
    <col min="16127" max="16127" width="12.42578125" style="289" customWidth="1"/>
    <col min="16128" max="16128" width="10.85546875" style="289" customWidth="1"/>
    <col min="16129" max="16129" width="10" style="289" customWidth="1"/>
    <col min="16130" max="16130" width="15.42578125" style="289" customWidth="1"/>
    <col min="16131" max="16131" width="14.5703125" style="289" customWidth="1"/>
    <col min="16132" max="16132" width="4.7109375" style="289" customWidth="1"/>
    <col min="16133" max="16136" width="9.140625" style="289"/>
    <col min="16137" max="16137" width="53.42578125" style="289" customWidth="1"/>
    <col min="16138" max="16384" width="9.140625" style="289"/>
  </cols>
  <sheetData>
    <row r="1" spans="1:16">
      <c r="A1" s="286"/>
      <c r="B1" s="287" t="s">
        <v>1336</v>
      </c>
      <c r="D1" s="288"/>
      <c r="E1" s="286"/>
      <c r="F1" s="286"/>
      <c r="G1" s="286"/>
      <c r="H1" s="286"/>
      <c r="I1" s="286"/>
      <c r="J1" s="286"/>
    </row>
    <row r="2" spans="1:16">
      <c r="A2" s="286"/>
      <c r="B2" s="287" t="s">
        <v>1065</v>
      </c>
      <c r="C2" s="289" t="str">
        <f>Cover!E18</f>
        <v>K81414038D</v>
      </c>
      <c r="D2" s="288"/>
      <c r="E2" s="286"/>
      <c r="F2" s="286"/>
      <c r="G2" s="286"/>
      <c r="H2" s="286"/>
      <c r="I2" s="286"/>
      <c r="J2" s="286"/>
    </row>
    <row r="3" spans="1:16">
      <c r="A3" s="286"/>
      <c r="B3" s="290"/>
      <c r="C3" s="286"/>
      <c r="D3" s="286"/>
      <c r="E3" s="286"/>
      <c r="F3" s="286"/>
      <c r="G3" s="286"/>
      <c r="H3" s="286"/>
      <c r="I3" s="290" t="s">
        <v>954</v>
      </c>
      <c r="J3" s="286"/>
    </row>
    <row r="4" spans="1:16">
      <c r="A4" s="286"/>
      <c r="B4" s="290"/>
      <c r="C4" s="286"/>
      <c r="D4" s="286"/>
      <c r="E4" s="286"/>
      <c r="F4" s="286"/>
      <c r="G4" s="286"/>
      <c r="H4" s="286"/>
      <c r="I4" s="286"/>
      <c r="J4" s="286"/>
    </row>
    <row r="5" spans="1:16">
      <c r="A5" s="291"/>
      <c r="B5" s="291"/>
      <c r="C5" s="291"/>
      <c r="D5" s="291"/>
      <c r="E5" s="291"/>
      <c r="F5" s="291"/>
      <c r="G5" s="291"/>
      <c r="H5" s="291"/>
      <c r="I5" s="292"/>
      <c r="J5" s="293" t="s">
        <v>955</v>
      </c>
      <c r="K5" s="294"/>
      <c r="L5" s="294"/>
      <c r="M5" s="294"/>
      <c r="N5" s="294"/>
      <c r="O5" s="294"/>
      <c r="P5" s="294"/>
    </row>
    <row r="6" spans="1:16" ht="15.75" customHeight="1">
      <c r="A6" s="580" t="s">
        <v>956</v>
      </c>
      <c r="B6" s="580"/>
      <c r="C6" s="580"/>
      <c r="D6" s="580"/>
      <c r="E6" s="580"/>
      <c r="F6" s="580"/>
      <c r="G6" s="580"/>
      <c r="H6" s="580"/>
      <c r="I6" s="580"/>
      <c r="J6" s="580"/>
      <c r="K6" s="295"/>
      <c r="L6" s="295"/>
      <c r="M6" s="295"/>
      <c r="N6" s="295"/>
      <c r="O6" s="295"/>
      <c r="P6" s="295"/>
    </row>
    <row r="7" spans="1:16" ht="26.25" customHeight="1">
      <c r="A7" s="547"/>
      <c r="B7" s="581" t="s">
        <v>957</v>
      </c>
      <c r="C7" s="581"/>
      <c r="D7" s="581"/>
      <c r="E7" s="581"/>
      <c r="F7" s="581"/>
      <c r="G7" s="548" t="s">
        <v>958</v>
      </c>
      <c r="H7" s="548" t="s">
        <v>959</v>
      </c>
      <c r="I7" s="549" t="s">
        <v>960</v>
      </c>
      <c r="J7" s="549" t="s">
        <v>961</v>
      </c>
    </row>
    <row r="8" spans="1:16" ht="16.5" customHeight="1">
      <c r="A8" s="547">
        <v>1</v>
      </c>
      <c r="B8" s="582" t="s">
        <v>962</v>
      </c>
      <c r="C8" s="582"/>
      <c r="D8" s="582"/>
      <c r="E8" s="582"/>
      <c r="F8" s="582"/>
      <c r="G8" s="432">
        <v>70</v>
      </c>
      <c r="H8" s="432">
        <v>11100</v>
      </c>
      <c r="I8" s="529">
        <f>SUM(I9:I11)</f>
        <v>186621976.78</v>
      </c>
      <c r="J8" s="529">
        <f>SUM(J9:J11)</f>
        <v>42903631.5</v>
      </c>
    </row>
    <row r="9" spans="1:16" ht="16.5" customHeight="1">
      <c r="A9" s="550" t="s">
        <v>963</v>
      </c>
      <c r="B9" s="579" t="s">
        <v>964</v>
      </c>
      <c r="C9" s="579"/>
      <c r="D9" s="579"/>
      <c r="E9" s="579"/>
      <c r="F9" s="579"/>
      <c r="G9" s="551" t="s">
        <v>965</v>
      </c>
      <c r="H9" s="551">
        <v>11101</v>
      </c>
      <c r="I9" s="545">
        <f>'TB DBase'!O54</f>
        <v>171631148.90000001</v>
      </c>
      <c r="J9" s="545">
        <f>'Revenues 10'!D7</f>
        <v>42413129.210000001</v>
      </c>
    </row>
    <row r="10" spans="1:16" ht="16.5" customHeight="1">
      <c r="A10" s="550" t="s">
        <v>966</v>
      </c>
      <c r="B10" s="579" t="s">
        <v>967</v>
      </c>
      <c r="C10" s="579"/>
      <c r="D10" s="579"/>
      <c r="E10" s="579"/>
      <c r="F10" s="579"/>
      <c r="G10" s="551">
        <v>704</v>
      </c>
      <c r="H10" s="551">
        <v>11102</v>
      </c>
      <c r="I10" s="545">
        <f>'TB DBase'!O53</f>
        <v>14990827.880000001</v>
      </c>
      <c r="J10" s="545">
        <f>'Revenues 10'!D8</f>
        <v>490502.29</v>
      </c>
    </row>
    <row r="11" spans="1:16" ht="16.5" customHeight="1">
      <c r="A11" s="550" t="s">
        <v>968</v>
      </c>
      <c r="B11" s="579" t="s">
        <v>969</v>
      </c>
      <c r="C11" s="579"/>
      <c r="D11" s="579"/>
      <c r="E11" s="579"/>
      <c r="F11" s="579"/>
      <c r="G11" s="431">
        <v>705</v>
      </c>
      <c r="H11" s="551">
        <v>11103</v>
      </c>
      <c r="I11" s="296"/>
      <c r="J11" s="296"/>
    </row>
    <row r="12" spans="1:16" ht="16.5" customHeight="1">
      <c r="A12" s="547">
        <v>2</v>
      </c>
      <c r="B12" s="582" t="s">
        <v>970</v>
      </c>
      <c r="C12" s="582"/>
      <c r="D12" s="582"/>
      <c r="E12" s="582"/>
      <c r="F12" s="582"/>
      <c r="G12" s="432">
        <v>708</v>
      </c>
      <c r="H12" s="551">
        <v>11104</v>
      </c>
      <c r="I12" s="529">
        <f>SUM(I13:I15)</f>
        <v>0</v>
      </c>
      <c r="J12" s="529">
        <f>SUM(J13:J15)</f>
        <v>0</v>
      </c>
    </row>
    <row r="13" spans="1:16" ht="16.5" customHeight="1">
      <c r="A13" s="550" t="s">
        <v>963</v>
      </c>
      <c r="B13" s="579" t="s">
        <v>971</v>
      </c>
      <c r="C13" s="579"/>
      <c r="D13" s="579"/>
      <c r="E13" s="579"/>
      <c r="F13" s="579"/>
      <c r="G13" s="551">
        <v>7081</v>
      </c>
      <c r="H13" s="551">
        <v>111041</v>
      </c>
      <c r="I13" s="296"/>
      <c r="J13" s="296"/>
    </row>
    <row r="14" spans="1:16" ht="16.5" customHeight="1">
      <c r="A14" s="550" t="s">
        <v>972</v>
      </c>
      <c r="B14" s="579" t="s">
        <v>973</v>
      </c>
      <c r="C14" s="579"/>
      <c r="D14" s="579"/>
      <c r="E14" s="579"/>
      <c r="F14" s="579"/>
      <c r="G14" s="551">
        <v>7082</v>
      </c>
      <c r="H14" s="551">
        <v>111042</v>
      </c>
      <c r="I14" s="296"/>
      <c r="J14" s="296"/>
    </row>
    <row r="15" spans="1:16" ht="16.5" customHeight="1">
      <c r="A15" s="550" t="s">
        <v>974</v>
      </c>
      <c r="B15" s="579" t="s">
        <v>975</v>
      </c>
      <c r="C15" s="579"/>
      <c r="D15" s="579"/>
      <c r="E15" s="579"/>
      <c r="F15" s="579"/>
      <c r="G15" s="551">
        <v>7083</v>
      </c>
      <c r="H15" s="551">
        <v>111043</v>
      </c>
      <c r="I15" s="296"/>
      <c r="J15" s="296"/>
    </row>
    <row r="16" spans="1:16" ht="29.25" customHeight="1">
      <c r="A16" s="552">
        <v>3</v>
      </c>
      <c r="B16" s="582" t="s">
        <v>976</v>
      </c>
      <c r="C16" s="582"/>
      <c r="D16" s="582"/>
      <c r="E16" s="582"/>
      <c r="F16" s="582"/>
      <c r="G16" s="432">
        <v>71</v>
      </c>
      <c r="H16" s="551">
        <v>11201</v>
      </c>
      <c r="I16" s="296"/>
      <c r="J16" s="296"/>
    </row>
    <row r="17" spans="1:10" ht="16.5" customHeight="1">
      <c r="A17" s="552"/>
      <c r="B17" s="583" t="s">
        <v>977</v>
      </c>
      <c r="C17" s="583"/>
      <c r="D17" s="583"/>
      <c r="E17" s="583"/>
      <c r="F17" s="583"/>
      <c r="G17" s="553"/>
      <c r="H17" s="551">
        <v>112011</v>
      </c>
      <c r="I17" s="296"/>
      <c r="J17" s="296"/>
    </row>
    <row r="18" spans="1:10" ht="16.5" customHeight="1">
      <c r="A18" s="552"/>
      <c r="B18" s="583" t="s">
        <v>978</v>
      </c>
      <c r="C18" s="583"/>
      <c r="D18" s="583"/>
      <c r="E18" s="583"/>
      <c r="F18" s="583"/>
      <c r="G18" s="553"/>
      <c r="H18" s="551">
        <v>112012</v>
      </c>
      <c r="I18" s="296"/>
      <c r="J18" s="296"/>
    </row>
    <row r="19" spans="1:10" ht="16.5" customHeight="1">
      <c r="A19" s="547">
        <v>4</v>
      </c>
      <c r="B19" s="582" t="s">
        <v>979</v>
      </c>
      <c r="C19" s="582"/>
      <c r="D19" s="582"/>
      <c r="E19" s="582"/>
      <c r="F19" s="582"/>
      <c r="G19" s="297">
        <v>72</v>
      </c>
      <c r="H19" s="298">
        <v>11300</v>
      </c>
      <c r="I19" s="296"/>
      <c r="J19" s="296"/>
    </row>
    <row r="20" spans="1:10" ht="16.5" customHeight="1">
      <c r="A20" s="550"/>
      <c r="B20" s="584" t="s">
        <v>980</v>
      </c>
      <c r="C20" s="584"/>
      <c r="D20" s="584"/>
      <c r="E20" s="584"/>
      <c r="F20" s="584"/>
      <c r="G20" s="299"/>
      <c r="H20" s="300">
        <v>11301</v>
      </c>
      <c r="I20" s="296"/>
      <c r="J20" s="296"/>
    </row>
    <row r="21" spans="1:10" ht="16.5" customHeight="1">
      <c r="A21" s="547">
        <v>5</v>
      </c>
      <c r="B21" s="582" t="s">
        <v>981</v>
      </c>
      <c r="C21" s="582"/>
      <c r="D21" s="582"/>
      <c r="E21" s="582"/>
      <c r="F21" s="582"/>
      <c r="G21" s="432">
        <v>73</v>
      </c>
      <c r="H21" s="432">
        <v>11400</v>
      </c>
      <c r="I21" s="296"/>
      <c r="J21" s="296"/>
    </row>
    <row r="22" spans="1:10" ht="16.5" customHeight="1">
      <c r="A22" s="547">
        <v>6</v>
      </c>
      <c r="B22" s="582" t="s">
        <v>982</v>
      </c>
      <c r="C22" s="582"/>
      <c r="D22" s="582"/>
      <c r="E22" s="582"/>
      <c r="F22" s="582"/>
      <c r="G22" s="432">
        <v>75</v>
      </c>
      <c r="H22" s="432">
        <v>11500</v>
      </c>
      <c r="I22" s="296"/>
      <c r="J22" s="296"/>
    </row>
    <row r="23" spans="1:10" ht="16.5" customHeight="1">
      <c r="A23" s="547">
        <v>7</v>
      </c>
      <c r="B23" s="582" t="s">
        <v>983</v>
      </c>
      <c r="C23" s="582"/>
      <c r="D23" s="582"/>
      <c r="E23" s="582"/>
      <c r="F23" s="582"/>
      <c r="G23" s="432">
        <v>77</v>
      </c>
      <c r="H23" s="432">
        <v>11600</v>
      </c>
      <c r="I23" s="296"/>
      <c r="J23" s="296"/>
    </row>
    <row r="24" spans="1:10" ht="16.5" customHeight="1">
      <c r="A24" s="547" t="s">
        <v>984</v>
      </c>
      <c r="B24" s="582" t="s">
        <v>985</v>
      </c>
      <c r="C24" s="582"/>
      <c r="D24" s="582"/>
      <c r="E24" s="582"/>
      <c r="F24" s="582"/>
      <c r="G24" s="432"/>
      <c r="H24" s="432">
        <v>11800</v>
      </c>
      <c r="I24" s="529">
        <f>I8+I16+I19+I21+I22+I23</f>
        <v>186621976.78</v>
      </c>
      <c r="J24" s="529">
        <f>J8+J16+J19+J21+J22+J23</f>
        <v>42903631.5</v>
      </c>
    </row>
    <row r="25" spans="1:10" ht="16.5" customHeight="1">
      <c r="A25" s="301"/>
      <c r="B25" s="302"/>
      <c r="C25" s="302"/>
      <c r="D25" s="302"/>
      <c r="E25" s="302"/>
      <c r="F25" s="302"/>
      <c r="G25" s="302"/>
      <c r="H25" s="302"/>
      <c r="J25" s="303"/>
    </row>
    <row r="26" spans="1:10" ht="16.5" customHeight="1">
      <c r="A26" s="301"/>
      <c r="B26" s="302"/>
      <c r="C26" s="302"/>
      <c r="D26" s="302"/>
      <c r="E26" s="302"/>
      <c r="F26" s="302"/>
      <c r="G26" s="302"/>
      <c r="H26" s="302"/>
      <c r="I26" s="303" t="s">
        <v>986</v>
      </c>
      <c r="J26" s="303"/>
    </row>
    <row r="27" spans="1:10" ht="16.5" customHeight="1">
      <c r="A27" s="301"/>
      <c r="B27" s="302"/>
      <c r="C27" s="302"/>
      <c r="D27" s="302"/>
      <c r="E27" s="302"/>
      <c r="F27" s="302"/>
      <c r="G27" s="302"/>
      <c r="H27" s="302"/>
      <c r="J27" s="303"/>
    </row>
    <row r="28" spans="1:10" ht="16.5" customHeight="1">
      <c r="A28" s="301"/>
      <c r="B28" s="302"/>
      <c r="C28" s="302"/>
      <c r="D28" s="302"/>
      <c r="E28" s="302"/>
      <c r="F28" s="302"/>
      <c r="G28" s="302"/>
      <c r="H28" s="302"/>
      <c r="I28" s="303" t="s">
        <v>1322</v>
      </c>
      <c r="J28" s="303"/>
    </row>
    <row r="29" spans="1:10" ht="16.5" customHeight="1">
      <c r="A29" s="301"/>
      <c r="B29" s="302"/>
      <c r="C29" s="302"/>
      <c r="D29" s="302"/>
      <c r="E29" s="302"/>
      <c r="F29" s="302"/>
      <c r="G29" s="302"/>
      <c r="H29" s="302"/>
      <c r="I29" s="303"/>
      <c r="J29" s="560" t="s">
        <v>1339</v>
      </c>
    </row>
    <row r="30" spans="1:10" ht="16.5" customHeight="1">
      <c r="A30" s="301"/>
      <c r="B30" s="302"/>
      <c r="C30" s="302"/>
      <c r="D30" s="302"/>
      <c r="E30" s="302"/>
      <c r="F30" s="302"/>
      <c r="G30" s="302"/>
      <c r="H30" s="302"/>
      <c r="I30" s="303"/>
      <c r="J30" s="303"/>
    </row>
    <row r="31" spans="1:10" ht="16.5" customHeight="1">
      <c r="A31" s="301"/>
      <c r="B31" s="302"/>
      <c r="C31" s="302"/>
      <c r="D31" s="302"/>
      <c r="E31" s="302"/>
      <c r="F31" s="302"/>
      <c r="G31" s="302"/>
      <c r="H31" s="302"/>
      <c r="I31" s="303"/>
      <c r="J31" s="303"/>
    </row>
    <row r="32" spans="1:10">
      <c r="A32" s="286"/>
      <c r="B32" s="287" t="s">
        <v>1336</v>
      </c>
      <c r="D32" s="288"/>
      <c r="E32" s="286"/>
      <c r="F32" s="286"/>
      <c r="G32" s="286"/>
      <c r="H32" s="286"/>
      <c r="I32" s="286"/>
      <c r="J32" s="286"/>
    </row>
    <row r="33" spans="1:18">
      <c r="A33" s="286"/>
      <c r="B33" s="287" t="s">
        <v>1065</v>
      </c>
      <c r="C33" s="289" t="str">
        <f>C2</f>
        <v>K81414038D</v>
      </c>
      <c r="D33" s="288"/>
      <c r="E33" s="286"/>
      <c r="F33" s="286"/>
      <c r="G33" s="286"/>
      <c r="H33" s="286"/>
      <c r="I33" s="286"/>
      <c r="J33" s="286"/>
    </row>
    <row r="34" spans="1:18">
      <c r="A34" s="286"/>
      <c r="B34" s="290"/>
      <c r="C34" s="286"/>
      <c r="D34" s="286"/>
      <c r="E34" s="286"/>
      <c r="F34" s="286"/>
      <c r="G34" s="286"/>
      <c r="H34" s="286"/>
      <c r="I34" s="290" t="s">
        <v>987</v>
      </c>
      <c r="J34" s="286"/>
    </row>
    <row r="35" spans="1:18" ht="12.75" customHeight="1">
      <c r="A35" s="291"/>
      <c r="B35" s="291"/>
      <c r="C35" s="291"/>
      <c r="D35" s="291"/>
      <c r="E35" s="291"/>
      <c r="F35" s="291"/>
      <c r="G35" s="291"/>
      <c r="H35" s="291"/>
      <c r="I35" s="292"/>
      <c r="J35" s="293" t="s">
        <v>955</v>
      </c>
      <c r="K35" s="294"/>
      <c r="L35" s="294"/>
      <c r="M35" s="294"/>
      <c r="N35" s="294"/>
      <c r="O35" s="294"/>
      <c r="P35" s="294"/>
    </row>
    <row r="36" spans="1:18">
      <c r="A36" s="580" t="s">
        <v>956</v>
      </c>
      <c r="B36" s="580"/>
      <c r="C36" s="580"/>
      <c r="D36" s="580"/>
      <c r="E36" s="580"/>
      <c r="F36" s="580"/>
      <c r="G36" s="580"/>
      <c r="H36" s="580"/>
      <c r="I36" s="580"/>
      <c r="J36" s="580"/>
    </row>
    <row r="37" spans="1:18" ht="24.75" customHeight="1">
      <c r="A37" s="554"/>
      <c r="B37" s="586" t="s">
        <v>988</v>
      </c>
      <c r="C37" s="586"/>
      <c r="D37" s="586"/>
      <c r="E37" s="586"/>
      <c r="F37" s="586"/>
      <c r="G37" s="548" t="s">
        <v>958</v>
      </c>
      <c r="H37" s="548" t="s">
        <v>959</v>
      </c>
      <c r="I37" s="549" t="s">
        <v>960</v>
      </c>
      <c r="J37" s="549" t="s">
        <v>961</v>
      </c>
      <c r="M37" s="289" t="s">
        <v>1324</v>
      </c>
    </row>
    <row r="38" spans="1:18" ht="16.5" customHeight="1">
      <c r="A38" s="531">
        <v>1</v>
      </c>
      <c r="B38" s="587" t="s">
        <v>989</v>
      </c>
      <c r="C38" s="587"/>
      <c r="D38" s="587"/>
      <c r="E38" s="587"/>
      <c r="F38" s="587"/>
      <c r="G38" s="435">
        <v>60</v>
      </c>
      <c r="H38" s="435">
        <v>12100</v>
      </c>
      <c r="I38" s="534">
        <f>SUM(I39:I43)</f>
        <v>171762551.17000002</v>
      </c>
      <c r="J38" s="437"/>
      <c r="M38" s="433">
        <v>12104</v>
      </c>
      <c r="N38" s="289" t="s">
        <v>324</v>
      </c>
      <c r="O38" s="289" t="s">
        <v>282</v>
      </c>
      <c r="P38" s="289" t="s">
        <v>283</v>
      </c>
      <c r="Q38" s="530">
        <v>4081354.6000000089</v>
      </c>
      <c r="R38" s="530" t="s">
        <v>87</v>
      </c>
    </row>
    <row r="39" spans="1:18" ht="16.5" customHeight="1">
      <c r="A39" s="436" t="s">
        <v>990</v>
      </c>
      <c r="B39" s="588" t="s">
        <v>991</v>
      </c>
      <c r="C39" s="588" t="s">
        <v>992</v>
      </c>
      <c r="D39" s="588"/>
      <c r="E39" s="588"/>
      <c r="F39" s="588"/>
      <c r="G39" s="434" t="s">
        <v>993</v>
      </c>
      <c r="H39" s="434">
        <v>12101</v>
      </c>
      <c r="I39" s="533">
        <f>SUMIFS('TB DBase'!N:N,'TB DBase'!A:A,H39)</f>
        <v>40462.99</v>
      </c>
      <c r="J39" s="533">
        <f>SUMIFS('TB DBase 2009'!K:K,'TB DBase 2009'!C:C,H39)</f>
        <v>4952106.7300000004</v>
      </c>
      <c r="M39" s="434">
        <v>12103</v>
      </c>
      <c r="N39" s="289" t="s">
        <v>322</v>
      </c>
      <c r="O39" s="289" t="s">
        <v>284</v>
      </c>
      <c r="P39" s="289" t="s">
        <v>285</v>
      </c>
      <c r="Q39" s="530">
        <v>167480458.58000001</v>
      </c>
      <c r="R39" s="530" t="s">
        <v>87</v>
      </c>
    </row>
    <row r="40" spans="1:18" ht="17.25" customHeight="1">
      <c r="A40" s="436" t="s">
        <v>966</v>
      </c>
      <c r="B40" s="588" t="s">
        <v>994</v>
      </c>
      <c r="C40" s="588" t="s">
        <v>992</v>
      </c>
      <c r="D40" s="588"/>
      <c r="E40" s="588"/>
      <c r="F40" s="588"/>
      <c r="G40" s="434"/>
      <c r="H40" s="433">
        <v>12102</v>
      </c>
      <c r="I40" s="533">
        <f>SUMIFS('TB DBase'!N:N,'TB DBase'!A:A,H40)</f>
        <v>0</v>
      </c>
      <c r="J40" s="533">
        <f>SUMIFS('TB DBase 2009'!K:K,'TB DBase 2009'!C:C,H40)</f>
        <v>0</v>
      </c>
      <c r="M40" s="434">
        <v>12101</v>
      </c>
      <c r="N40" s="289" t="s">
        <v>317</v>
      </c>
      <c r="O40" s="289" t="s">
        <v>286</v>
      </c>
      <c r="P40" s="289" t="s">
        <v>927</v>
      </c>
      <c r="Q40" s="530">
        <v>40462.99</v>
      </c>
      <c r="R40" s="530" t="s">
        <v>87</v>
      </c>
    </row>
    <row r="41" spans="1:18" ht="16.5" customHeight="1">
      <c r="A41" s="436" t="s">
        <v>968</v>
      </c>
      <c r="B41" s="588" t="s">
        <v>995</v>
      </c>
      <c r="C41" s="588" t="s">
        <v>992</v>
      </c>
      <c r="D41" s="588"/>
      <c r="E41" s="588"/>
      <c r="F41" s="588"/>
      <c r="G41" s="434" t="s">
        <v>996</v>
      </c>
      <c r="H41" s="434">
        <v>12103</v>
      </c>
      <c r="I41" s="533">
        <f>SUMIFS('TB DBase'!N:N,'TB DBase'!A:A,H41)</f>
        <v>167640733.58000001</v>
      </c>
      <c r="J41" s="533">
        <f>SUMIFS('TB DBase 2009'!K:K,'TB DBase 2009'!C:C,H41)</f>
        <v>38627030.350000001</v>
      </c>
      <c r="M41" s="434">
        <v>12403</v>
      </c>
      <c r="N41" s="289" t="s">
        <v>319</v>
      </c>
      <c r="O41" s="289" t="s">
        <v>289</v>
      </c>
      <c r="P41" s="289" t="s">
        <v>174</v>
      </c>
      <c r="Q41" s="530">
        <v>579000</v>
      </c>
      <c r="R41" s="530" t="s">
        <v>87</v>
      </c>
    </row>
    <row r="42" spans="1:18" ht="16.5" customHeight="1">
      <c r="A42" s="436" t="s">
        <v>997</v>
      </c>
      <c r="B42" s="589" t="s">
        <v>998</v>
      </c>
      <c r="C42" s="588" t="s">
        <v>992</v>
      </c>
      <c r="D42" s="588"/>
      <c r="E42" s="588"/>
      <c r="F42" s="588"/>
      <c r="G42" s="434"/>
      <c r="H42" s="433">
        <v>12104</v>
      </c>
      <c r="I42" s="533">
        <f>SUMIFS('TB DBase'!N:N,'TB DBase'!A:A,H42)</f>
        <v>4081354.6000000089</v>
      </c>
      <c r="J42" s="533">
        <f>SUMIFS('TB DBase 2009'!K:K,'TB DBase 2009'!C:C,H42)</f>
        <v>0</v>
      </c>
      <c r="M42" s="434">
        <v>12405</v>
      </c>
      <c r="N42" s="289" t="s">
        <v>315</v>
      </c>
      <c r="O42" s="289" t="s">
        <v>290</v>
      </c>
      <c r="P42" s="289" t="s">
        <v>175</v>
      </c>
      <c r="Q42" s="530">
        <v>79023.5</v>
      </c>
      <c r="R42" s="530" t="s">
        <v>87</v>
      </c>
    </row>
    <row r="43" spans="1:18" ht="16.5" customHeight="1">
      <c r="A43" s="436" t="s">
        <v>999</v>
      </c>
      <c r="B43" s="588" t="s">
        <v>1000</v>
      </c>
      <c r="C43" s="588" t="s">
        <v>992</v>
      </c>
      <c r="D43" s="588"/>
      <c r="E43" s="588"/>
      <c r="F43" s="588"/>
      <c r="G43" s="434" t="s">
        <v>1001</v>
      </c>
      <c r="H43" s="433">
        <v>12105</v>
      </c>
      <c r="I43" s="533">
        <f>SUMIFS('TB DBase'!N:N,'TB DBase'!A:A,H43)</f>
        <v>0</v>
      </c>
      <c r="J43" s="533">
        <f>SUMIFS('TB DBase 2009'!K:K,'TB DBase 2009'!C:C,H43)</f>
        <v>0</v>
      </c>
      <c r="M43" s="434">
        <v>12401</v>
      </c>
      <c r="N43" s="289" t="s">
        <v>317</v>
      </c>
      <c r="O43" s="289" t="s">
        <v>291</v>
      </c>
      <c r="P43" s="289" t="s">
        <v>221</v>
      </c>
      <c r="Q43" s="530">
        <v>199666.34</v>
      </c>
      <c r="R43" s="530" t="s">
        <v>87</v>
      </c>
    </row>
    <row r="44" spans="1:18" ht="16.5" customHeight="1">
      <c r="A44" s="531">
        <v>2</v>
      </c>
      <c r="B44" s="587" t="s">
        <v>1002</v>
      </c>
      <c r="C44" s="587"/>
      <c r="D44" s="587"/>
      <c r="E44" s="587"/>
      <c r="F44" s="587"/>
      <c r="G44" s="435">
        <v>64</v>
      </c>
      <c r="H44" s="435">
        <v>12200</v>
      </c>
      <c r="I44" s="534">
        <f>SUM(I45:I46)</f>
        <v>2267377</v>
      </c>
      <c r="J44" s="534">
        <f>SUM(J45:J46)</f>
        <v>1798187</v>
      </c>
      <c r="M44" s="434">
        <v>12411</v>
      </c>
      <c r="N44" s="289" t="s">
        <v>315</v>
      </c>
      <c r="O44" s="289" t="s">
        <v>294</v>
      </c>
      <c r="P44" s="289" t="s">
        <v>928</v>
      </c>
      <c r="Q44" s="530">
        <v>26194.22</v>
      </c>
      <c r="R44" s="530" t="s">
        <v>87</v>
      </c>
    </row>
    <row r="45" spans="1:18" ht="16.5" customHeight="1">
      <c r="A45" s="555" t="s">
        <v>1003</v>
      </c>
      <c r="B45" s="587" t="s">
        <v>1004</v>
      </c>
      <c r="C45" s="585"/>
      <c r="D45" s="585"/>
      <c r="E45" s="585"/>
      <c r="F45" s="585"/>
      <c r="G45" s="433">
        <v>641</v>
      </c>
      <c r="H45" s="433">
        <v>12201</v>
      </c>
      <c r="I45" s="533">
        <f>SUMIFS('TB DBase'!N:N,'TB DBase'!A:A,H45)</f>
        <v>1942908</v>
      </c>
      <c r="J45" s="533">
        <f>SUMIFS('TB DBase 2009'!K:K,'TB DBase 2009'!C:C,H45)</f>
        <v>1521600</v>
      </c>
      <c r="M45" s="434">
        <v>12411</v>
      </c>
      <c r="N45" s="289" t="s">
        <v>315</v>
      </c>
      <c r="O45" s="289" t="s">
        <v>295</v>
      </c>
      <c r="P45" s="289" t="s">
        <v>929</v>
      </c>
      <c r="Q45" s="530">
        <v>369238.63</v>
      </c>
      <c r="R45" s="530" t="s">
        <v>87</v>
      </c>
    </row>
    <row r="46" spans="1:18" ht="16.5" customHeight="1">
      <c r="A46" s="555" t="s">
        <v>1005</v>
      </c>
      <c r="B46" s="585" t="s">
        <v>1006</v>
      </c>
      <c r="C46" s="585"/>
      <c r="D46" s="585"/>
      <c r="E46" s="585"/>
      <c r="F46" s="585"/>
      <c r="G46" s="433">
        <v>644</v>
      </c>
      <c r="H46" s="433">
        <v>12202</v>
      </c>
      <c r="I46" s="533">
        <f>SUMIFS('TB DBase'!N:N,'TB DBase'!A:A,H46)</f>
        <v>324469</v>
      </c>
      <c r="J46" s="533">
        <f>SUMIFS('TB DBase 2009'!K:K,'TB DBase 2009'!C:C,H46)</f>
        <v>276587</v>
      </c>
      <c r="M46" s="434">
        <v>12411</v>
      </c>
      <c r="N46" s="289" t="s">
        <v>315</v>
      </c>
      <c r="O46" s="289" t="s">
        <v>296</v>
      </c>
      <c r="P46" s="289" t="s">
        <v>930</v>
      </c>
      <c r="Q46" s="530">
        <v>12576.16</v>
      </c>
      <c r="R46" s="530" t="s">
        <v>87</v>
      </c>
    </row>
    <row r="47" spans="1:18" ht="16.5" customHeight="1">
      <c r="A47" s="531">
        <v>3</v>
      </c>
      <c r="B47" s="587" t="s">
        <v>1007</v>
      </c>
      <c r="C47" s="587"/>
      <c r="D47" s="587"/>
      <c r="E47" s="587"/>
      <c r="F47" s="587"/>
      <c r="G47" s="435">
        <v>68</v>
      </c>
      <c r="H47" s="435">
        <v>12300</v>
      </c>
      <c r="I47" s="535">
        <f>SUMIFS('TB DBase'!N:N,'TB DBase'!A:A,H47)</f>
        <v>383467.7</v>
      </c>
      <c r="J47" s="535">
        <f>SUMIFS('TB DBase 2009'!K:K,'TB DBase 2009'!C:C,H47)</f>
        <v>73595</v>
      </c>
      <c r="M47" s="436">
        <v>124121</v>
      </c>
      <c r="N47" s="289" t="s">
        <v>318</v>
      </c>
      <c r="O47" s="289" t="s">
        <v>299</v>
      </c>
      <c r="P47" s="289" t="s">
        <v>931</v>
      </c>
      <c r="Q47" s="530">
        <v>775332.5</v>
      </c>
      <c r="R47" s="530" t="s">
        <v>87</v>
      </c>
    </row>
    <row r="48" spans="1:18" ht="16.5" customHeight="1">
      <c r="A48" s="531">
        <v>4</v>
      </c>
      <c r="B48" s="587" t="s">
        <v>1008</v>
      </c>
      <c r="C48" s="587"/>
      <c r="D48" s="587"/>
      <c r="E48" s="587"/>
      <c r="F48" s="587"/>
      <c r="G48" s="435">
        <v>61</v>
      </c>
      <c r="H48" s="435">
        <v>12400</v>
      </c>
      <c r="I48" s="534">
        <f>SUM(I49:I63)</f>
        <v>4926648.26</v>
      </c>
      <c r="J48" s="534">
        <f>SUM(J49:J63)</f>
        <v>2666675.8499999996</v>
      </c>
      <c r="M48" s="434">
        <v>12103</v>
      </c>
      <c r="N48" s="289" t="s">
        <v>322</v>
      </c>
      <c r="O48" s="289" t="s">
        <v>932</v>
      </c>
      <c r="P48" s="289" t="s">
        <v>933</v>
      </c>
      <c r="Q48" s="530">
        <v>160275</v>
      </c>
      <c r="R48" s="530" t="s">
        <v>87</v>
      </c>
    </row>
    <row r="49" spans="1:18" ht="16.5" customHeight="1">
      <c r="A49" s="555" t="s">
        <v>963</v>
      </c>
      <c r="B49" s="590" t="s">
        <v>1009</v>
      </c>
      <c r="C49" s="590"/>
      <c r="D49" s="590"/>
      <c r="E49" s="590"/>
      <c r="F49" s="590"/>
      <c r="G49" s="434"/>
      <c r="H49" s="434">
        <v>12401</v>
      </c>
      <c r="I49" s="533">
        <f>SUMIFS('TB DBase'!N:N,'TB DBase'!A:A,H49)</f>
        <v>199666.34</v>
      </c>
      <c r="J49" s="533">
        <f>SUMIFS('TB DBase 2009'!K:K,'TB DBase 2009'!C:C,H49)</f>
        <v>114000</v>
      </c>
      <c r="M49" s="436">
        <v>124121</v>
      </c>
      <c r="N49" s="289" t="s">
        <v>318</v>
      </c>
      <c r="O49" s="289" t="s">
        <v>934</v>
      </c>
      <c r="P49" s="289" t="s">
        <v>935</v>
      </c>
      <c r="Q49" s="530">
        <v>962975</v>
      </c>
      <c r="R49" s="530" t="s">
        <v>87</v>
      </c>
    </row>
    <row r="50" spans="1:18" ht="16.5" customHeight="1">
      <c r="A50" s="555" t="s">
        <v>972</v>
      </c>
      <c r="B50" s="590" t="s">
        <v>1010</v>
      </c>
      <c r="C50" s="590"/>
      <c r="D50" s="590"/>
      <c r="E50" s="590"/>
      <c r="F50" s="590"/>
      <c r="G50" s="436">
        <v>611</v>
      </c>
      <c r="H50" s="434">
        <v>12402</v>
      </c>
      <c r="I50" s="533">
        <f>SUMIFS('TB DBase'!N:N,'TB DBase'!A:A,H50)</f>
        <v>0</v>
      </c>
      <c r="J50" s="533">
        <f>SUMIFS('TB DBase 2009'!K:K,'TB DBase 2009'!C:C,H50)</f>
        <v>0</v>
      </c>
      <c r="M50" s="436">
        <v>12413</v>
      </c>
      <c r="N50" s="289" t="s">
        <v>316</v>
      </c>
      <c r="O50" s="289" t="s">
        <v>300</v>
      </c>
      <c r="P50" s="289" t="s">
        <v>214</v>
      </c>
      <c r="Q50" s="530">
        <v>1151896.24</v>
      </c>
      <c r="R50" s="530" t="s">
        <v>87</v>
      </c>
    </row>
    <row r="51" spans="1:18" ht="16.5" customHeight="1">
      <c r="A51" s="555" t="s">
        <v>974</v>
      </c>
      <c r="B51" s="590" t="s">
        <v>1011</v>
      </c>
      <c r="C51" s="590"/>
      <c r="D51" s="590"/>
      <c r="E51" s="590"/>
      <c r="F51" s="590"/>
      <c r="G51" s="434">
        <v>613</v>
      </c>
      <c r="H51" s="434">
        <v>12403</v>
      </c>
      <c r="I51" s="533">
        <f>SUMIFS('TB DBase'!N:N,'TB DBase'!A:A,H51)</f>
        <v>579000</v>
      </c>
      <c r="J51" s="533">
        <f>SUMIFS('TB DBase 2009'!K:K,'TB DBase 2009'!C:C,H51)</f>
        <v>361000</v>
      </c>
      <c r="M51" s="436">
        <v>12503</v>
      </c>
      <c r="N51" s="289" t="s">
        <v>323</v>
      </c>
      <c r="O51" s="289" t="s">
        <v>301</v>
      </c>
      <c r="P51" s="289" t="s">
        <v>213</v>
      </c>
      <c r="Q51" s="530">
        <v>66120</v>
      </c>
      <c r="R51" s="530" t="s">
        <v>87</v>
      </c>
    </row>
    <row r="52" spans="1:18" ht="16.5" customHeight="1">
      <c r="A52" s="555" t="s">
        <v>1012</v>
      </c>
      <c r="B52" s="590" t="s">
        <v>1013</v>
      </c>
      <c r="C52" s="590"/>
      <c r="D52" s="590"/>
      <c r="E52" s="590"/>
      <c r="F52" s="590"/>
      <c r="G52" s="436">
        <v>615</v>
      </c>
      <c r="H52" s="434">
        <v>12404</v>
      </c>
      <c r="I52" s="533">
        <f>SUMIFS('TB DBase'!N:N,'TB DBase'!A:A,H52)</f>
        <v>0</v>
      </c>
      <c r="J52" s="533">
        <f>SUMIFS('TB DBase 2009'!K:K,'TB DBase 2009'!C:C,H52)</f>
        <v>0</v>
      </c>
      <c r="M52" s="436">
        <v>12501</v>
      </c>
      <c r="N52" s="289" t="s">
        <v>323</v>
      </c>
      <c r="O52" s="289" t="s">
        <v>936</v>
      </c>
      <c r="P52" s="289" t="s">
        <v>937</v>
      </c>
      <c r="Q52" s="530">
        <v>102513</v>
      </c>
      <c r="R52" s="530" t="s">
        <v>87</v>
      </c>
    </row>
    <row r="53" spans="1:18" ht="16.5" customHeight="1">
      <c r="A53" s="555" t="s">
        <v>1014</v>
      </c>
      <c r="B53" s="590" t="s">
        <v>1015</v>
      </c>
      <c r="C53" s="590"/>
      <c r="D53" s="590"/>
      <c r="E53" s="590"/>
      <c r="F53" s="590"/>
      <c r="G53" s="436">
        <v>616</v>
      </c>
      <c r="H53" s="434">
        <v>12405</v>
      </c>
      <c r="I53" s="533">
        <f>SUMIFS('TB DBase'!N:N,'TB DBase'!A:A,H53)</f>
        <v>79023.5</v>
      </c>
      <c r="J53" s="533">
        <f>SUMIFS('TB DBase 2009'!K:K,'TB DBase 2009'!C:C,H53)</f>
        <v>119874.71</v>
      </c>
      <c r="M53" s="433">
        <v>12201</v>
      </c>
      <c r="N53" s="289" t="s">
        <v>320</v>
      </c>
      <c r="O53" s="289" t="s">
        <v>303</v>
      </c>
      <c r="P53" s="289" t="s">
        <v>211</v>
      </c>
      <c r="Q53" s="530">
        <v>1942908</v>
      </c>
      <c r="R53" s="530" t="s">
        <v>87</v>
      </c>
    </row>
    <row r="54" spans="1:18" ht="16.5" customHeight="1">
      <c r="A54" s="555" t="s">
        <v>1016</v>
      </c>
      <c r="B54" s="590" t="s">
        <v>1017</v>
      </c>
      <c r="C54" s="590"/>
      <c r="D54" s="590"/>
      <c r="E54" s="590"/>
      <c r="F54" s="590"/>
      <c r="G54" s="436">
        <v>617</v>
      </c>
      <c r="H54" s="434">
        <v>12406</v>
      </c>
      <c r="I54" s="533">
        <f>SUMIFS('TB DBase'!N:N,'TB DBase'!A:A,H54)</f>
        <v>0</v>
      </c>
      <c r="J54" s="533">
        <f>SUMIFS('TB DBase 2009'!K:K,'TB DBase 2009'!C:C,H54)</f>
        <v>0</v>
      </c>
      <c r="M54" s="433">
        <v>12202</v>
      </c>
      <c r="N54" s="289" t="s">
        <v>321</v>
      </c>
      <c r="O54" s="289" t="s">
        <v>304</v>
      </c>
      <c r="P54" s="289" t="s">
        <v>210</v>
      </c>
      <c r="Q54" s="530">
        <v>324469</v>
      </c>
      <c r="R54" s="530" t="s">
        <v>87</v>
      </c>
    </row>
    <row r="55" spans="1:18" ht="16.5" customHeight="1">
      <c r="A55" s="555" t="s">
        <v>1018</v>
      </c>
      <c r="B55" s="588" t="s">
        <v>1019</v>
      </c>
      <c r="C55" s="588" t="s">
        <v>992</v>
      </c>
      <c r="D55" s="588"/>
      <c r="E55" s="588"/>
      <c r="F55" s="588"/>
      <c r="G55" s="436">
        <v>618</v>
      </c>
      <c r="H55" s="434">
        <v>12407</v>
      </c>
      <c r="I55" s="533">
        <f>SUMIFS('TB DBase'!N:N,'TB DBase'!A:A,H55)</f>
        <v>0</v>
      </c>
      <c r="J55" s="533">
        <f>SUMIFS('TB DBase 2009'!K:K,'TB DBase 2009'!C:C,H55)</f>
        <v>0</v>
      </c>
      <c r="M55" s="436">
        <v>12413</v>
      </c>
      <c r="N55" s="289" t="s">
        <v>316</v>
      </c>
      <c r="O55" s="289" t="s">
        <v>938</v>
      </c>
      <c r="P55" s="289" t="s">
        <v>939</v>
      </c>
      <c r="Q55" s="530">
        <v>15840</v>
      </c>
      <c r="R55" s="530" t="s">
        <v>87</v>
      </c>
    </row>
    <row r="56" spans="1:18" ht="16.5" customHeight="1">
      <c r="A56" s="555" t="s">
        <v>1020</v>
      </c>
      <c r="B56" s="588" t="s">
        <v>1021</v>
      </c>
      <c r="C56" s="588"/>
      <c r="D56" s="588"/>
      <c r="E56" s="588"/>
      <c r="F56" s="588"/>
      <c r="G56" s="436">
        <v>623</v>
      </c>
      <c r="H56" s="434">
        <v>12408</v>
      </c>
      <c r="I56" s="533">
        <f>SUMIFS('TB DBase'!N:N,'TB DBase'!A:A,H56)</f>
        <v>0</v>
      </c>
      <c r="J56" s="533">
        <f>SUMIFS('TB DBase 2009'!K:K,'TB DBase 2009'!C:C,H56)</f>
        <v>0</v>
      </c>
      <c r="M56" s="436">
        <v>12413</v>
      </c>
      <c r="N56" s="289" t="s">
        <v>316</v>
      </c>
      <c r="O56" s="289" t="s">
        <v>940</v>
      </c>
      <c r="P56" s="289" t="s">
        <v>941</v>
      </c>
      <c r="Q56" s="530">
        <v>754905.67</v>
      </c>
      <c r="R56" s="530" t="s">
        <v>87</v>
      </c>
    </row>
    <row r="57" spans="1:18" ht="16.5" customHeight="1">
      <c r="A57" s="555" t="s">
        <v>1022</v>
      </c>
      <c r="B57" s="588" t="s">
        <v>1023</v>
      </c>
      <c r="C57" s="588"/>
      <c r="D57" s="588"/>
      <c r="E57" s="588"/>
      <c r="F57" s="588"/>
      <c r="G57" s="436">
        <v>624</v>
      </c>
      <c r="H57" s="434">
        <v>12409</v>
      </c>
      <c r="I57" s="533">
        <f>SUMIFS('TB DBase'!N:N,'TB DBase'!A:A,H57)</f>
        <v>0</v>
      </c>
      <c r="J57" s="533">
        <f>SUMIFS('TB DBase 2009'!K:K,'TB DBase 2009'!C:C,H57)</f>
        <v>0</v>
      </c>
      <c r="M57" s="435">
        <v>12300</v>
      </c>
      <c r="N57" s="289" t="s">
        <v>327</v>
      </c>
      <c r="O57" s="289" t="s">
        <v>306</v>
      </c>
      <c r="P57" s="289" t="s">
        <v>208</v>
      </c>
      <c r="Q57" s="530">
        <v>383467.7</v>
      </c>
      <c r="R57" s="530" t="s">
        <v>87</v>
      </c>
    </row>
    <row r="58" spans="1:18" ht="16.5" customHeight="1">
      <c r="A58" s="555" t="s">
        <v>1024</v>
      </c>
      <c r="B58" s="588" t="s">
        <v>1025</v>
      </c>
      <c r="C58" s="588"/>
      <c r="D58" s="588"/>
      <c r="E58" s="588"/>
      <c r="F58" s="588"/>
      <c r="G58" s="436">
        <v>625</v>
      </c>
      <c r="H58" s="434">
        <v>12410</v>
      </c>
      <c r="I58" s="533">
        <f>SUMIFS('TB DBase'!N:N,'TB DBase'!A:A,H58)</f>
        <v>0</v>
      </c>
      <c r="J58" s="533">
        <f>SUMIFS('TB DBase 2009'!K:K,'TB DBase 2009'!C:C,H58)</f>
        <v>0</v>
      </c>
      <c r="N58" s="289" t="s">
        <v>325</v>
      </c>
      <c r="O58" s="289" t="s">
        <v>307</v>
      </c>
      <c r="P58" s="289" t="s">
        <v>308</v>
      </c>
      <c r="Q58" s="530" t="s">
        <v>87</v>
      </c>
    </row>
    <row r="59" spans="1:18" ht="16.5" customHeight="1">
      <c r="A59" s="555" t="s">
        <v>1026</v>
      </c>
      <c r="B59" s="588" t="s">
        <v>1027</v>
      </c>
      <c r="C59" s="588"/>
      <c r="D59" s="588"/>
      <c r="E59" s="588"/>
      <c r="F59" s="588"/>
      <c r="G59" s="436">
        <v>626</v>
      </c>
      <c r="H59" s="434">
        <v>12411</v>
      </c>
      <c r="I59" s="533">
        <f>SUMIFS('TB DBase'!N:N,'TB DBase'!A:A,H59)</f>
        <v>408009.00999999995</v>
      </c>
      <c r="J59" s="533">
        <f>SUMIFS('TB DBase 2009'!K:K,'TB DBase 2009'!C:C,H59)</f>
        <v>408699.70999999996</v>
      </c>
      <c r="N59" s="289" t="s">
        <v>325</v>
      </c>
      <c r="O59" s="289" t="s">
        <v>309</v>
      </c>
      <c r="P59" s="289" t="s">
        <v>207</v>
      </c>
      <c r="Q59" s="530" t="s">
        <v>87</v>
      </c>
    </row>
    <row r="60" spans="1:18" ht="16.5" customHeight="1">
      <c r="A60" s="556" t="s">
        <v>1028</v>
      </c>
      <c r="B60" s="588" t="s">
        <v>1029</v>
      </c>
      <c r="C60" s="588"/>
      <c r="D60" s="588"/>
      <c r="E60" s="588"/>
      <c r="F60" s="588"/>
      <c r="G60" s="436">
        <v>627</v>
      </c>
      <c r="H60" s="434">
        <v>12412</v>
      </c>
      <c r="I60" s="533">
        <f>SUMIFS('TB DBase'!N:N,'TB DBase'!A:A,H60)</f>
        <v>0</v>
      </c>
      <c r="J60" s="533">
        <f>SUMIFS('TB DBase 2009'!K:K,'TB DBase 2009'!C:C,H60)</f>
        <v>0</v>
      </c>
      <c r="N60" s="289" t="s">
        <v>325</v>
      </c>
      <c r="O60" s="289" t="s">
        <v>310</v>
      </c>
      <c r="P60" s="289" t="s">
        <v>206</v>
      </c>
      <c r="Q60" s="530" t="s">
        <v>87</v>
      </c>
    </row>
    <row r="61" spans="1:18" ht="16.5" customHeight="1">
      <c r="A61" s="555"/>
      <c r="B61" s="592" t="s">
        <v>1030</v>
      </c>
      <c r="C61" s="592"/>
      <c r="D61" s="592"/>
      <c r="E61" s="592"/>
      <c r="F61" s="592"/>
      <c r="G61" s="436">
        <v>6271</v>
      </c>
      <c r="H61" s="436">
        <v>124121</v>
      </c>
      <c r="I61" s="533">
        <f>SUMIFS('TB DBase'!N:N,'TB DBase'!A:A,H61)</f>
        <v>1738307.5</v>
      </c>
      <c r="J61" s="533">
        <f>SUMIFS('TB DBase 2009'!K:K,'TB DBase 2009'!C:C,H61)</f>
        <v>1179014.8999999999</v>
      </c>
      <c r="N61" s="289">
        <v>0</v>
      </c>
      <c r="O61" s="289" t="s">
        <v>311</v>
      </c>
      <c r="P61" s="289" t="s">
        <v>312</v>
      </c>
      <c r="Q61" s="530" t="s">
        <v>87</v>
      </c>
    </row>
    <row r="62" spans="1:18" ht="16.5" customHeight="1">
      <c r="A62" s="555"/>
      <c r="B62" s="592" t="s">
        <v>1031</v>
      </c>
      <c r="C62" s="592"/>
      <c r="D62" s="592"/>
      <c r="E62" s="592"/>
      <c r="F62" s="592"/>
      <c r="G62" s="436">
        <v>6272</v>
      </c>
      <c r="H62" s="436">
        <v>124122</v>
      </c>
      <c r="I62" s="533">
        <f>SUMIFS('TB DBase'!N:N,'TB DBase'!A:A,H62)</f>
        <v>0</v>
      </c>
      <c r="J62" s="533">
        <f>SUMIFS('TB DBase 2009'!K:K,'TB DBase 2009'!C:C,H62)</f>
        <v>0</v>
      </c>
      <c r="O62" s="289" t="s">
        <v>205</v>
      </c>
      <c r="P62" s="289" t="s">
        <v>204</v>
      </c>
      <c r="Q62" s="530">
        <v>179508677.13</v>
      </c>
    </row>
    <row r="63" spans="1:18" ht="16.5" customHeight="1">
      <c r="A63" s="555" t="s">
        <v>1032</v>
      </c>
      <c r="B63" s="588" t="s">
        <v>1033</v>
      </c>
      <c r="C63" s="588"/>
      <c r="D63" s="588"/>
      <c r="E63" s="588"/>
      <c r="F63" s="588"/>
      <c r="G63" s="436">
        <v>628</v>
      </c>
      <c r="H63" s="436">
        <v>12413</v>
      </c>
      <c r="I63" s="533">
        <f>SUMIFS('TB DBase'!N:N,'TB DBase'!A:A,H63)</f>
        <v>1922641.9100000001</v>
      </c>
      <c r="J63" s="533">
        <f>SUMIFS('TB DBase 2009'!K:K,'TB DBase 2009'!C:C,H63)</f>
        <v>484086.53</v>
      </c>
      <c r="O63" s="289">
        <v>0</v>
      </c>
      <c r="P63" s="289">
        <v>0</v>
      </c>
      <c r="Q63" s="530">
        <v>294670928.44000006</v>
      </c>
    </row>
    <row r="64" spans="1:18" ht="16.5" customHeight="1">
      <c r="A64" s="531">
        <v>5</v>
      </c>
      <c r="B64" s="589" t="s">
        <v>1034</v>
      </c>
      <c r="C64" s="588"/>
      <c r="D64" s="588"/>
      <c r="E64" s="588"/>
      <c r="F64" s="588"/>
      <c r="G64" s="437">
        <v>63</v>
      </c>
      <c r="H64" s="437">
        <v>12500</v>
      </c>
      <c r="I64" s="534">
        <f>SUM(I65:I68)</f>
        <v>168633</v>
      </c>
      <c r="J64" s="534">
        <f>SUM(J65:J68)</f>
        <v>121126</v>
      </c>
    </row>
    <row r="65" spans="1:10" ht="16.5" customHeight="1">
      <c r="A65" s="555" t="s">
        <v>963</v>
      </c>
      <c r="B65" s="588" t="s">
        <v>1035</v>
      </c>
      <c r="C65" s="588"/>
      <c r="D65" s="588"/>
      <c r="E65" s="588"/>
      <c r="F65" s="588"/>
      <c r="G65" s="436">
        <v>632</v>
      </c>
      <c r="H65" s="436">
        <v>12501</v>
      </c>
      <c r="I65" s="533">
        <f>SUMIFS('TB DBase'!N:N,'TB DBase'!A:A,H65)</f>
        <v>102513</v>
      </c>
      <c r="J65" s="533">
        <f>SUMIFS('TB DBase 2009'!K:K,'TB DBase 2009'!C:C,H65)</f>
        <v>0</v>
      </c>
    </row>
    <row r="66" spans="1:10" ht="16.5" customHeight="1">
      <c r="A66" s="555" t="s">
        <v>972</v>
      </c>
      <c r="B66" s="588" t="s">
        <v>1036</v>
      </c>
      <c r="C66" s="588"/>
      <c r="D66" s="588"/>
      <c r="E66" s="588"/>
      <c r="F66" s="588"/>
      <c r="G66" s="436">
        <v>633</v>
      </c>
      <c r="H66" s="436">
        <v>12502</v>
      </c>
      <c r="I66" s="533">
        <f>SUMIFS('TB DBase'!N:N,'TB DBase'!A:A,H66)</f>
        <v>0</v>
      </c>
      <c r="J66" s="533">
        <f>SUMIFS('TB DBase 2009'!K:K,'TB DBase 2009'!C:C,H66)</f>
        <v>0</v>
      </c>
    </row>
    <row r="67" spans="1:10" ht="16.5" customHeight="1">
      <c r="A67" s="555" t="s">
        <v>974</v>
      </c>
      <c r="B67" s="588" t="s">
        <v>213</v>
      </c>
      <c r="C67" s="588"/>
      <c r="D67" s="588"/>
      <c r="E67" s="588"/>
      <c r="F67" s="588"/>
      <c r="G67" s="436">
        <v>634</v>
      </c>
      <c r="H67" s="436">
        <v>12503</v>
      </c>
      <c r="I67" s="533">
        <f>SUMIFS('TB DBase'!N:N,'TB DBase'!A:A,H67)</f>
        <v>66120</v>
      </c>
      <c r="J67" s="533">
        <f>SUMIFS('TB DBase 2009'!K:K,'TB DBase 2009'!C:C,H67)</f>
        <v>121126</v>
      </c>
    </row>
    <row r="68" spans="1:10" ht="16.5" customHeight="1">
      <c r="A68" s="555" t="s">
        <v>1012</v>
      </c>
      <c r="B68" s="588" t="s">
        <v>1037</v>
      </c>
      <c r="C68" s="588"/>
      <c r="D68" s="588"/>
      <c r="E68" s="588"/>
      <c r="F68" s="588"/>
      <c r="G68" s="436" t="s">
        <v>1038</v>
      </c>
      <c r="H68" s="436">
        <v>12504</v>
      </c>
      <c r="I68" s="533">
        <f>SUMIFS('TB DBase'!N:N,'TB DBase'!A:A,H68)</f>
        <v>0</v>
      </c>
      <c r="J68" s="533">
        <f>SUMIFS('TB DBase 2009'!K:K,'TB DBase 2009'!C:C,H68)</f>
        <v>0</v>
      </c>
    </row>
    <row r="69" spans="1:10" ht="12.75" customHeight="1">
      <c r="A69" s="531" t="s">
        <v>1039</v>
      </c>
      <c r="B69" s="587" t="s">
        <v>1040</v>
      </c>
      <c r="C69" s="587"/>
      <c r="D69" s="587"/>
      <c r="E69" s="587"/>
      <c r="F69" s="587"/>
      <c r="G69" s="436"/>
      <c r="H69" s="436">
        <v>12600</v>
      </c>
      <c r="I69" s="535">
        <f>+I38+I44+I47+I48+I64</f>
        <v>179508677.13</v>
      </c>
      <c r="J69" s="535">
        <f>+J38+J44+J47+J48+J64</f>
        <v>4659583.8499999996</v>
      </c>
    </row>
    <row r="70" spans="1:10" ht="16.5" customHeight="1">
      <c r="A70" s="314"/>
      <c r="B70" s="557" t="s">
        <v>1041</v>
      </c>
      <c r="C70" s="314"/>
      <c r="D70" s="314"/>
      <c r="E70" s="314"/>
      <c r="F70" s="314"/>
      <c r="G70" s="314"/>
      <c r="H70" s="314"/>
      <c r="I70" s="549" t="s">
        <v>960</v>
      </c>
      <c r="J70" s="549" t="s">
        <v>961</v>
      </c>
    </row>
    <row r="71" spans="1:10" ht="16.5" customHeight="1">
      <c r="A71" s="558">
        <v>1</v>
      </c>
      <c r="B71" s="591" t="s">
        <v>1042</v>
      </c>
      <c r="C71" s="591"/>
      <c r="D71" s="591"/>
      <c r="E71" s="591"/>
      <c r="F71" s="591"/>
      <c r="G71" s="437"/>
      <c r="H71" s="437">
        <v>14000</v>
      </c>
      <c r="I71" s="531">
        <v>9</v>
      </c>
      <c r="J71" s="531">
        <v>5</v>
      </c>
    </row>
    <row r="72" spans="1:10" ht="16.5" customHeight="1">
      <c r="A72" s="558">
        <v>2</v>
      </c>
      <c r="B72" s="591" t="s">
        <v>1043</v>
      </c>
      <c r="C72" s="591"/>
      <c r="D72" s="591"/>
      <c r="E72" s="591"/>
      <c r="F72" s="591"/>
      <c r="G72" s="437"/>
      <c r="H72" s="437">
        <v>15000</v>
      </c>
      <c r="I72" s="437"/>
      <c r="J72" s="437"/>
    </row>
    <row r="73" spans="1:10" ht="16.5" customHeight="1">
      <c r="A73" s="314" t="s">
        <v>963</v>
      </c>
      <c r="B73" s="590" t="s">
        <v>1044</v>
      </c>
      <c r="C73" s="590"/>
      <c r="D73" s="590"/>
      <c r="E73" s="590"/>
      <c r="F73" s="590"/>
      <c r="G73" s="437"/>
      <c r="H73" s="436">
        <v>15001</v>
      </c>
      <c r="I73" s="536">
        <f>AAM!E49</f>
        <v>4697886.2666666666</v>
      </c>
      <c r="J73" s="559">
        <f>J74</f>
        <v>202781</v>
      </c>
    </row>
    <row r="74" spans="1:10" ht="16.5" customHeight="1">
      <c r="A74" s="314"/>
      <c r="B74" s="593" t="s">
        <v>1045</v>
      </c>
      <c r="C74" s="593"/>
      <c r="D74" s="593"/>
      <c r="E74" s="593"/>
      <c r="F74" s="593"/>
      <c r="G74" s="437"/>
      <c r="H74" s="436">
        <v>150011</v>
      </c>
      <c r="I74" s="537">
        <f>I73</f>
        <v>4697886.2666666666</v>
      </c>
      <c r="J74" s="532">
        <f>'Assets 7'!D9</f>
        <v>202781</v>
      </c>
    </row>
    <row r="75" spans="1:10" ht="16.5" customHeight="1">
      <c r="A75" s="554" t="s">
        <v>972</v>
      </c>
      <c r="B75" s="590" t="s">
        <v>1046</v>
      </c>
      <c r="C75" s="590"/>
      <c r="D75" s="590"/>
      <c r="E75" s="590"/>
      <c r="F75" s="590"/>
      <c r="G75" s="437"/>
      <c r="H75" s="436">
        <v>15002</v>
      </c>
      <c r="I75" s="437"/>
      <c r="J75" s="536"/>
    </row>
    <row r="76" spans="1:10">
      <c r="A76" s="554"/>
      <c r="B76" s="593" t="s">
        <v>1047</v>
      </c>
      <c r="C76" s="593"/>
      <c r="D76" s="593"/>
      <c r="E76" s="593"/>
      <c r="F76" s="593"/>
      <c r="G76" s="437"/>
      <c r="H76" s="436">
        <v>150021</v>
      </c>
      <c r="I76" s="437"/>
      <c r="J76" s="437"/>
    </row>
    <row r="77" spans="1:10">
      <c r="A77" s="304"/>
      <c r="B77" s="304"/>
      <c r="C77" s="304"/>
      <c r="D77" s="304"/>
      <c r="E77" s="304"/>
      <c r="F77" s="304"/>
      <c r="G77" s="304"/>
      <c r="H77" s="304"/>
      <c r="I77" s="305"/>
      <c r="J77" s="305"/>
    </row>
    <row r="78" spans="1:10" ht="15.75">
      <c r="A78" s="286"/>
      <c r="B78" s="286"/>
      <c r="C78" s="286"/>
      <c r="D78" s="286"/>
      <c r="E78" s="286"/>
      <c r="F78" s="286"/>
      <c r="G78" s="286"/>
      <c r="H78" s="286"/>
      <c r="I78" s="305" t="s">
        <v>986</v>
      </c>
      <c r="J78" s="306"/>
    </row>
    <row r="79" spans="1:10" ht="15.75">
      <c r="A79" s="286"/>
      <c r="B79" s="286"/>
      <c r="C79" s="286"/>
      <c r="D79" s="286"/>
      <c r="E79" s="286"/>
      <c r="F79" s="286"/>
      <c r="G79" s="286"/>
      <c r="H79" s="286"/>
      <c r="J79" s="306"/>
    </row>
    <row r="80" spans="1:10" ht="15.75">
      <c r="A80" s="286"/>
      <c r="B80" s="286"/>
      <c r="C80" s="286"/>
      <c r="D80" s="286"/>
      <c r="E80" s="286"/>
      <c r="F80" s="286"/>
      <c r="G80" s="286"/>
      <c r="H80" s="286"/>
      <c r="I80" s="303" t="s">
        <v>1322</v>
      </c>
      <c r="J80" s="306"/>
    </row>
    <row r="81" spans="1:10" ht="15">
      <c r="A81" s="286"/>
      <c r="B81" s="286"/>
      <c r="C81" s="286"/>
      <c r="D81" s="286"/>
      <c r="E81" s="286"/>
      <c r="F81" s="286"/>
      <c r="G81" s="286"/>
      <c r="H81" s="286"/>
      <c r="I81" s="286"/>
      <c r="J81" s="560" t="s">
        <v>1340</v>
      </c>
    </row>
    <row r="82" spans="1:10" ht="15.75">
      <c r="A82" s="286"/>
      <c r="B82" s="307"/>
      <c r="C82" s="286"/>
      <c r="D82" s="286"/>
      <c r="E82" s="286"/>
      <c r="F82" s="286"/>
      <c r="G82" s="286"/>
      <c r="H82" s="286"/>
      <c r="I82" s="286"/>
      <c r="J82" s="306"/>
    </row>
    <row r="83" spans="1:10">
      <c r="A83" s="286"/>
      <c r="B83" s="307"/>
      <c r="C83" s="286"/>
      <c r="D83" s="286"/>
      <c r="E83" s="286"/>
      <c r="F83" s="286"/>
      <c r="G83" s="286"/>
      <c r="H83" s="286"/>
      <c r="I83" s="286"/>
      <c r="J83" s="286"/>
    </row>
    <row r="84" spans="1:10">
      <c r="A84" s="286"/>
      <c r="B84" s="307"/>
      <c r="C84" s="286"/>
      <c r="D84" s="286"/>
      <c r="E84" s="286"/>
      <c r="F84" s="286"/>
      <c r="G84" s="286"/>
      <c r="H84" s="286"/>
      <c r="I84" s="286"/>
      <c r="J84" s="286"/>
    </row>
    <row r="85" spans="1:10">
      <c r="A85" s="286"/>
      <c r="B85" s="307"/>
      <c r="C85" s="286"/>
      <c r="D85" s="286"/>
      <c r="E85" s="286"/>
      <c r="F85" s="286"/>
      <c r="G85" s="286"/>
      <c r="H85" s="286"/>
      <c r="I85" s="286"/>
      <c r="J85" s="286"/>
    </row>
    <row r="86" spans="1:10">
      <c r="A86" s="286"/>
      <c r="B86" s="286"/>
      <c r="C86" s="286"/>
      <c r="D86" s="286"/>
      <c r="E86" s="286"/>
      <c r="F86" s="286"/>
      <c r="G86" s="286"/>
      <c r="H86" s="286"/>
      <c r="I86" s="286"/>
      <c r="J86" s="286"/>
    </row>
    <row r="87" spans="1:10">
      <c r="A87" s="286"/>
      <c r="B87" s="286"/>
      <c r="C87" s="286"/>
      <c r="D87" s="286"/>
      <c r="E87" s="286"/>
      <c r="F87" s="286"/>
      <c r="G87" s="286"/>
      <c r="H87" s="286"/>
      <c r="I87" s="286"/>
      <c r="J87" s="286"/>
    </row>
    <row r="88" spans="1:10">
      <c r="A88" s="286"/>
      <c r="B88" s="286"/>
      <c r="C88" s="286"/>
      <c r="D88" s="286"/>
      <c r="E88" s="286"/>
      <c r="F88" s="286"/>
      <c r="G88" s="286"/>
      <c r="H88" s="286"/>
      <c r="I88" s="286"/>
      <c r="J88" s="286"/>
    </row>
    <row r="89" spans="1:10">
      <c r="A89" s="286"/>
      <c r="B89" s="286"/>
      <c r="C89" s="286"/>
      <c r="D89" s="286"/>
      <c r="E89" s="286"/>
      <c r="F89" s="286"/>
      <c r="G89" s="286"/>
      <c r="H89" s="286"/>
      <c r="I89" s="286"/>
      <c r="J89" s="286"/>
    </row>
    <row r="90" spans="1:10">
      <c r="A90" s="286"/>
      <c r="B90" s="286"/>
      <c r="C90" s="286"/>
      <c r="D90" s="286"/>
      <c r="E90" s="286"/>
      <c r="F90" s="286"/>
      <c r="G90" s="286"/>
      <c r="H90" s="286"/>
      <c r="I90" s="286"/>
      <c r="J90" s="286"/>
    </row>
    <row r="91" spans="1:10">
      <c r="A91" s="286"/>
      <c r="B91" s="286"/>
      <c r="C91" s="286"/>
      <c r="D91" s="286"/>
      <c r="E91" s="286"/>
      <c r="F91" s="286"/>
      <c r="G91" s="286"/>
      <c r="H91" s="286"/>
      <c r="I91" s="286"/>
      <c r="J91" s="286"/>
    </row>
    <row r="92" spans="1:10">
      <c r="A92" s="286"/>
      <c r="B92" s="286"/>
      <c r="C92" s="286"/>
      <c r="D92" s="286"/>
      <c r="E92" s="286"/>
      <c r="F92" s="286"/>
      <c r="G92" s="286"/>
      <c r="H92" s="286"/>
      <c r="I92" s="286"/>
      <c r="J92" s="286"/>
    </row>
    <row r="93" spans="1:10">
      <c r="A93" s="286"/>
      <c r="B93" s="286"/>
      <c r="C93" s="286"/>
      <c r="D93" s="286"/>
      <c r="E93" s="286"/>
      <c r="F93" s="286"/>
      <c r="G93" s="286"/>
      <c r="H93" s="286"/>
      <c r="I93" s="286"/>
      <c r="J93" s="286"/>
    </row>
    <row r="94" spans="1:10">
      <c r="A94" s="286"/>
      <c r="B94" s="286"/>
      <c r="C94" s="286"/>
      <c r="D94" s="286"/>
      <c r="E94" s="286"/>
      <c r="F94" s="286"/>
      <c r="G94" s="286"/>
      <c r="H94" s="286"/>
      <c r="I94" s="286"/>
      <c r="J94" s="286"/>
    </row>
    <row r="95" spans="1:10">
      <c r="A95" s="286"/>
      <c r="B95" s="286"/>
      <c r="C95" s="286"/>
      <c r="D95" s="286"/>
      <c r="E95" s="286"/>
      <c r="F95" s="286"/>
      <c r="G95" s="286"/>
      <c r="H95" s="286"/>
      <c r="I95" s="286"/>
      <c r="J95" s="286"/>
    </row>
    <row r="96" spans="1:10">
      <c r="A96" s="286"/>
      <c r="B96" s="286"/>
      <c r="C96" s="286"/>
      <c r="D96" s="286"/>
      <c r="E96" s="286"/>
      <c r="F96" s="286"/>
      <c r="G96" s="286"/>
      <c r="H96" s="286"/>
      <c r="I96" s="286"/>
      <c r="J96" s="286"/>
    </row>
    <row r="97" spans="1:10">
      <c r="A97" s="286"/>
      <c r="B97" s="286"/>
      <c r="C97" s="286"/>
      <c r="D97" s="286"/>
      <c r="E97" s="286"/>
      <c r="F97" s="286"/>
      <c r="G97" s="286"/>
      <c r="H97" s="286"/>
      <c r="I97" s="286"/>
      <c r="J97" s="286"/>
    </row>
    <row r="98" spans="1:10">
      <c r="A98" s="286"/>
      <c r="B98" s="286"/>
      <c r="C98" s="286"/>
      <c r="D98" s="286"/>
      <c r="E98" s="286"/>
      <c r="F98" s="286"/>
      <c r="G98" s="286"/>
      <c r="H98" s="286"/>
      <c r="I98" s="286"/>
      <c r="J98" s="286"/>
    </row>
    <row r="99" spans="1:10">
      <c r="A99" s="286"/>
      <c r="B99" s="286"/>
      <c r="C99" s="286"/>
      <c r="D99" s="286"/>
      <c r="E99" s="286"/>
      <c r="F99" s="286"/>
      <c r="G99" s="286"/>
      <c r="H99" s="286"/>
      <c r="I99" s="286"/>
      <c r="J99" s="286"/>
    </row>
    <row r="100" spans="1:10">
      <c r="A100" s="286"/>
      <c r="B100" s="286"/>
      <c r="C100" s="286"/>
      <c r="D100" s="286"/>
      <c r="E100" s="286"/>
      <c r="F100" s="286"/>
      <c r="G100" s="286"/>
      <c r="H100" s="286"/>
      <c r="I100" s="286"/>
      <c r="J100" s="286"/>
    </row>
    <row r="101" spans="1:10">
      <c r="A101" s="286"/>
      <c r="B101" s="286"/>
      <c r="C101" s="286"/>
      <c r="D101" s="286"/>
      <c r="E101" s="286"/>
      <c r="F101" s="286"/>
      <c r="G101" s="286"/>
      <c r="H101" s="286"/>
      <c r="I101" s="286"/>
      <c r="J101" s="286"/>
    </row>
    <row r="102" spans="1:10">
      <c r="A102" s="286"/>
      <c r="B102" s="286"/>
      <c r="C102" s="286"/>
      <c r="D102" s="286"/>
      <c r="E102" s="286"/>
      <c r="F102" s="286"/>
      <c r="G102" s="286"/>
      <c r="H102" s="286"/>
      <c r="I102" s="286"/>
      <c r="J102" s="286"/>
    </row>
    <row r="103" spans="1:10">
      <c r="A103" s="286"/>
      <c r="B103" s="286"/>
      <c r="C103" s="286"/>
      <c r="D103" s="286"/>
      <c r="E103" s="286"/>
      <c r="F103" s="286"/>
      <c r="G103" s="286"/>
      <c r="H103" s="286"/>
      <c r="I103" s="286"/>
      <c r="J103" s="286"/>
    </row>
    <row r="104" spans="1:10">
      <c r="A104" s="286"/>
      <c r="B104" s="286"/>
      <c r="C104" s="286"/>
      <c r="D104" s="286"/>
      <c r="E104" s="286"/>
      <c r="F104" s="286"/>
      <c r="G104" s="286"/>
      <c r="H104" s="286"/>
      <c r="I104" s="286"/>
      <c r="J104" s="286"/>
    </row>
    <row r="105" spans="1:10">
      <c r="A105" s="286"/>
      <c r="B105" s="286"/>
      <c r="C105" s="286"/>
      <c r="D105" s="286"/>
      <c r="E105" s="286"/>
      <c r="F105" s="286"/>
      <c r="G105" s="286"/>
      <c r="H105" s="286"/>
      <c r="I105" s="286"/>
      <c r="J105" s="286"/>
    </row>
    <row r="106" spans="1:10">
      <c r="A106" s="286"/>
      <c r="B106" s="286"/>
      <c r="C106" s="286"/>
      <c r="D106" s="286"/>
      <c r="E106" s="286"/>
      <c r="F106" s="286"/>
      <c r="G106" s="286"/>
      <c r="H106" s="286"/>
      <c r="I106" s="286"/>
      <c r="J106" s="286"/>
    </row>
    <row r="107" spans="1:10">
      <c r="A107" s="286"/>
      <c r="B107" s="286"/>
      <c r="C107" s="286"/>
      <c r="D107" s="286"/>
      <c r="E107" s="286"/>
      <c r="F107" s="286"/>
      <c r="G107" s="286"/>
      <c r="H107" s="286"/>
      <c r="I107" s="286"/>
      <c r="J107" s="286"/>
    </row>
    <row r="108" spans="1:10">
      <c r="A108" s="286"/>
      <c r="B108" s="286"/>
      <c r="C108" s="286"/>
      <c r="D108" s="286"/>
      <c r="E108" s="286"/>
      <c r="F108" s="286"/>
      <c r="G108" s="286"/>
      <c r="H108" s="286"/>
      <c r="I108" s="286"/>
      <c r="J108" s="286"/>
    </row>
    <row r="109" spans="1:10">
      <c r="A109" s="286"/>
      <c r="B109" s="286"/>
      <c r="C109" s="286"/>
      <c r="D109" s="286"/>
      <c r="E109" s="286"/>
      <c r="F109" s="286"/>
      <c r="G109" s="286"/>
      <c r="H109" s="286"/>
      <c r="I109" s="286"/>
      <c r="J109" s="286"/>
    </row>
    <row r="110" spans="1:10">
      <c r="A110" s="286"/>
      <c r="B110" s="286"/>
      <c r="C110" s="286"/>
      <c r="D110" s="286"/>
      <c r="E110" s="286"/>
      <c r="F110" s="286"/>
      <c r="G110" s="286"/>
      <c r="H110" s="286"/>
      <c r="I110" s="286"/>
      <c r="J110" s="286"/>
    </row>
    <row r="111" spans="1:10">
      <c r="A111" s="286"/>
      <c r="B111" s="286"/>
      <c r="C111" s="286"/>
      <c r="D111" s="286"/>
      <c r="E111" s="286"/>
      <c r="F111" s="286"/>
      <c r="G111" s="286"/>
      <c r="H111" s="286"/>
      <c r="I111" s="286"/>
      <c r="J111" s="286"/>
    </row>
    <row r="112" spans="1:10">
      <c r="A112" s="286"/>
      <c r="B112" s="286"/>
      <c r="C112" s="286"/>
      <c r="D112" s="286"/>
      <c r="E112" s="286"/>
      <c r="F112" s="286"/>
      <c r="G112" s="286"/>
      <c r="H112" s="286"/>
      <c r="I112" s="286"/>
      <c r="J112" s="286"/>
    </row>
    <row r="113" spans="1:10">
      <c r="A113" s="286"/>
      <c r="B113" s="286"/>
      <c r="C113" s="286"/>
      <c r="D113" s="286"/>
      <c r="E113" s="286"/>
      <c r="F113" s="286"/>
      <c r="G113" s="286"/>
      <c r="H113" s="286"/>
      <c r="I113" s="286"/>
      <c r="J113" s="286"/>
    </row>
    <row r="114" spans="1:10">
      <c r="A114" s="286"/>
      <c r="B114" s="286"/>
      <c r="C114" s="286"/>
      <c r="D114" s="286"/>
      <c r="E114" s="286"/>
      <c r="F114" s="286"/>
      <c r="G114" s="286"/>
      <c r="H114" s="286"/>
      <c r="I114" s="286"/>
      <c r="J114" s="286"/>
    </row>
    <row r="115" spans="1:10">
      <c r="A115" s="286"/>
      <c r="B115" s="286"/>
      <c r="C115" s="286"/>
      <c r="D115" s="286"/>
      <c r="E115" s="286"/>
      <c r="F115" s="286"/>
      <c r="G115" s="286"/>
      <c r="H115" s="286"/>
      <c r="I115" s="286"/>
      <c r="J115" s="286"/>
    </row>
    <row r="116" spans="1:10">
      <c r="A116" s="286"/>
      <c r="B116" s="286"/>
      <c r="C116" s="286"/>
      <c r="D116" s="286"/>
      <c r="E116" s="286"/>
      <c r="F116" s="286"/>
      <c r="G116" s="286"/>
      <c r="H116" s="286"/>
      <c r="I116" s="286"/>
      <c r="J116" s="286"/>
    </row>
    <row r="117" spans="1:10">
      <c r="A117" s="286"/>
      <c r="B117" s="286"/>
      <c r="C117" s="286"/>
      <c r="D117" s="286"/>
      <c r="E117" s="286"/>
      <c r="F117" s="286"/>
      <c r="G117" s="286"/>
      <c r="H117" s="286"/>
      <c r="I117" s="286"/>
      <c r="J117" s="286"/>
    </row>
    <row r="118" spans="1:10">
      <c r="A118" s="286"/>
      <c r="B118" s="286"/>
      <c r="C118" s="286"/>
      <c r="D118" s="286"/>
      <c r="E118" s="286"/>
      <c r="F118" s="286"/>
      <c r="G118" s="286"/>
      <c r="H118" s="286"/>
      <c r="I118" s="286"/>
      <c r="J118" s="286"/>
    </row>
    <row r="119" spans="1:10">
      <c r="A119" s="286"/>
      <c r="B119" s="286"/>
      <c r="C119" s="286"/>
      <c r="D119" s="286"/>
      <c r="E119" s="286"/>
      <c r="F119" s="286"/>
      <c r="G119" s="286"/>
      <c r="H119" s="286"/>
      <c r="I119" s="286"/>
      <c r="J119" s="286"/>
    </row>
    <row r="120" spans="1:10">
      <c r="A120" s="286"/>
      <c r="B120" s="286"/>
      <c r="C120" s="286"/>
      <c r="D120" s="286"/>
      <c r="E120" s="286"/>
      <c r="F120" s="286"/>
      <c r="G120" s="286"/>
      <c r="H120" s="286"/>
      <c r="I120" s="286"/>
      <c r="J120" s="286"/>
    </row>
    <row r="121" spans="1:10">
      <c r="A121" s="286"/>
      <c r="B121" s="286"/>
      <c r="C121" s="286"/>
      <c r="D121" s="286"/>
      <c r="E121" s="286"/>
      <c r="F121" s="286"/>
      <c r="G121" s="286"/>
      <c r="H121" s="286"/>
      <c r="I121" s="286"/>
      <c r="J121" s="286"/>
    </row>
    <row r="122" spans="1:10">
      <c r="A122" s="286"/>
      <c r="B122" s="286"/>
      <c r="C122" s="286"/>
      <c r="D122" s="286"/>
      <c r="E122" s="286"/>
      <c r="F122" s="286"/>
      <c r="G122" s="286"/>
      <c r="H122" s="286"/>
      <c r="I122" s="286"/>
      <c r="J122" s="286"/>
    </row>
    <row r="123" spans="1:10">
      <c r="A123" s="286"/>
      <c r="B123" s="286"/>
      <c r="C123" s="286"/>
      <c r="D123" s="286"/>
      <c r="E123" s="286"/>
      <c r="F123" s="286"/>
      <c r="G123" s="286"/>
      <c r="H123" s="286"/>
      <c r="I123" s="286"/>
      <c r="J123" s="286"/>
    </row>
    <row r="124" spans="1:10">
      <c r="A124" s="286"/>
      <c r="B124" s="286"/>
      <c r="C124" s="286"/>
      <c r="D124" s="286"/>
      <c r="E124" s="286"/>
      <c r="F124" s="286"/>
      <c r="G124" s="286"/>
      <c r="H124" s="286"/>
      <c r="I124" s="286"/>
      <c r="J124" s="286"/>
    </row>
    <row r="125" spans="1:10">
      <c r="A125" s="286"/>
      <c r="B125" s="286"/>
      <c r="C125" s="286"/>
      <c r="D125" s="286"/>
      <c r="E125" s="286"/>
      <c r="F125" s="286"/>
      <c r="G125" s="286"/>
      <c r="H125" s="286"/>
      <c r="I125" s="286"/>
      <c r="J125" s="286"/>
    </row>
    <row r="126" spans="1:10">
      <c r="A126" s="286"/>
      <c r="B126" s="286"/>
      <c r="C126" s="286"/>
      <c r="D126" s="286"/>
      <c r="E126" s="286"/>
      <c r="F126" s="286"/>
      <c r="G126" s="286"/>
      <c r="H126" s="286"/>
      <c r="I126" s="286"/>
      <c r="J126" s="286"/>
    </row>
    <row r="127" spans="1:10">
      <c r="A127" s="286"/>
      <c r="B127" s="286"/>
      <c r="C127" s="286"/>
      <c r="D127" s="286"/>
      <c r="E127" s="286"/>
      <c r="F127" s="286"/>
      <c r="G127" s="286"/>
      <c r="H127" s="286"/>
      <c r="I127" s="286"/>
      <c r="J127" s="286"/>
    </row>
    <row r="128" spans="1:10">
      <c r="A128" s="286"/>
      <c r="B128" s="286"/>
      <c r="C128" s="286"/>
      <c r="D128" s="286"/>
      <c r="E128" s="286"/>
      <c r="F128" s="286"/>
      <c r="G128" s="286"/>
      <c r="H128" s="286"/>
      <c r="I128" s="286"/>
      <c r="J128" s="286"/>
    </row>
    <row r="129" spans="1:10">
      <c r="A129" s="286"/>
      <c r="B129" s="286"/>
      <c r="C129" s="286"/>
      <c r="D129" s="286"/>
      <c r="E129" s="286"/>
      <c r="F129" s="286"/>
      <c r="G129" s="286"/>
      <c r="H129" s="286"/>
      <c r="I129" s="286"/>
      <c r="J129" s="286"/>
    </row>
    <row r="130" spans="1:10">
      <c r="A130" s="286"/>
      <c r="B130" s="286"/>
      <c r="C130" s="286"/>
      <c r="D130" s="286"/>
      <c r="E130" s="286"/>
      <c r="F130" s="286"/>
      <c r="G130" s="286"/>
      <c r="H130" s="286"/>
      <c r="I130" s="286"/>
      <c r="J130" s="286"/>
    </row>
    <row r="131" spans="1:10">
      <c r="A131" s="286"/>
      <c r="B131" s="286"/>
      <c r="C131" s="286"/>
      <c r="D131" s="286"/>
      <c r="E131" s="286"/>
      <c r="F131" s="286"/>
      <c r="G131" s="286"/>
      <c r="H131" s="286"/>
      <c r="I131" s="286"/>
      <c r="J131" s="286"/>
    </row>
    <row r="132" spans="1:10">
      <c r="A132" s="286"/>
      <c r="B132" s="286"/>
      <c r="C132" s="286"/>
      <c r="D132" s="286"/>
      <c r="E132" s="286"/>
      <c r="F132" s="286"/>
      <c r="G132" s="286"/>
      <c r="H132" s="286"/>
      <c r="I132" s="286"/>
      <c r="J132" s="286"/>
    </row>
    <row r="133" spans="1:10">
      <c r="A133" s="286"/>
      <c r="B133" s="286"/>
      <c r="C133" s="286"/>
      <c r="D133" s="286"/>
      <c r="E133" s="286"/>
      <c r="F133" s="286"/>
      <c r="G133" s="286"/>
      <c r="H133" s="286"/>
      <c r="I133" s="286"/>
      <c r="J133" s="286"/>
    </row>
    <row r="134" spans="1:10">
      <c r="A134" s="286"/>
      <c r="B134" s="286"/>
      <c r="C134" s="286"/>
      <c r="D134" s="286"/>
      <c r="E134" s="286"/>
      <c r="F134" s="286"/>
      <c r="G134" s="286"/>
      <c r="H134" s="286"/>
      <c r="I134" s="286"/>
      <c r="J134" s="286"/>
    </row>
    <row r="135" spans="1:10">
      <c r="A135" s="286"/>
      <c r="B135" s="286"/>
      <c r="C135" s="286"/>
      <c r="D135" s="286"/>
      <c r="E135" s="286"/>
      <c r="F135" s="286"/>
      <c r="G135" s="286"/>
      <c r="H135" s="286"/>
      <c r="I135" s="286"/>
      <c r="J135" s="286"/>
    </row>
    <row r="136" spans="1:10">
      <c r="A136" s="286"/>
      <c r="B136" s="286"/>
      <c r="C136" s="286"/>
      <c r="D136" s="286"/>
      <c r="E136" s="286"/>
      <c r="F136" s="286"/>
      <c r="G136" s="286"/>
      <c r="H136" s="286"/>
      <c r="I136" s="286"/>
      <c r="J136" s="286"/>
    </row>
    <row r="137" spans="1:10">
      <c r="A137" s="286"/>
      <c r="B137" s="286"/>
      <c r="C137" s="286"/>
      <c r="D137" s="286"/>
      <c r="E137" s="286"/>
      <c r="F137" s="286"/>
      <c r="G137" s="286"/>
      <c r="H137" s="286"/>
      <c r="I137" s="286"/>
      <c r="J137" s="286"/>
    </row>
    <row r="138" spans="1:10">
      <c r="A138" s="286"/>
      <c r="B138" s="286"/>
      <c r="C138" s="286"/>
      <c r="D138" s="286"/>
      <c r="E138" s="286"/>
      <c r="F138" s="286"/>
      <c r="G138" s="286"/>
      <c r="H138" s="286"/>
      <c r="I138" s="286"/>
      <c r="J138" s="286"/>
    </row>
    <row r="139" spans="1:10">
      <c r="A139" s="286"/>
      <c r="B139" s="286"/>
      <c r="C139" s="286"/>
      <c r="D139" s="286"/>
      <c r="E139" s="286"/>
      <c r="F139" s="286"/>
      <c r="G139" s="286"/>
      <c r="H139" s="286"/>
      <c r="I139" s="286"/>
      <c r="J139" s="286"/>
    </row>
    <row r="140" spans="1:10">
      <c r="A140" s="286"/>
      <c r="B140" s="286"/>
      <c r="C140" s="286"/>
      <c r="D140" s="286"/>
      <c r="E140" s="286"/>
      <c r="F140" s="286"/>
      <c r="G140" s="286"/>
      <c r="H140" s="286"/>
      <c r="I140" s="286"/>
      <c r="J140" s="286"/>
    </row>
    <row r="141" spans="1:10">
      <c r="A141" s="286"/>
      <c r="B141" s="286"/>
      <c r="C141" s="286"/>
      <c r="D141" s="286"/>
      <c r="E141" s="286"/>
      <c r="F141" s="286"/>
      <c r="G141" s="286"/>
      <c r="H141" s="286"/>
      <c r="I141" s="286"/>
      <c r="J141" s="286"/>
    </row>
    <row r="142" spans="1:10">
      <c r="A142" s="286"/>
      <c r="B142" s="286"/>
      <c r="C142" s="286"/>
      <c r="D142" s="286"/>
      <c r="E142" s="286"/>
      <c r="F142" s="286"/>
      <c r="G142" s="286"/>
      <c r="H142" s="286"/>
      <c r="I142" s="286"/>
      <c r="J142" s="286"/>
    </row>
    <row r="143" spans="1:10">
      <c r="A143" s="286"/>
      <c r="B143" s="286"/>
      <c r="C143" s="286"/>
      <c r="D143" s="286"/>
      <c r="E143" s="286"/>
      <c r="F143" s="286"/>
      <c r="G143" s="286"/>
      <c r="H143" s="286"/>
      <c r="I143" s="286"/>
      <c r="J143" s="286"/>
    </row>
    <row r="144" spans="1:10">
      <c r="A144" s="286"/>
      <c r="B144" s="286"/>
      <c r="C144" s="286"/>
      <c r="D144" s="286"/>
      <c r="E144" s="286"/>
      <c r="F144" s="286"/>
      <c r="G144" s="286"/>
      <c r="H144" s="286"/>
      <c r="I144" s="286"/>
      <c r="J144" s="286"/>
    </row>
    <row r="145" spans="1:10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</row>
    <row r="146" spans="1:10">
      <c r="A146" s="286"/>
      <c r="B146" s="286"/>
      <c r="C146" s="286"/>
      <c r="D146" s="286"/>
      <c r="E146" s="286"/>
      <c r="F146" s="286"/>
      <c r="G146" s="286"/>
      <c r="H146" s="286"/>
      <c r="I146" s="286"/>
      <c r="J146" s="286"/>
    </row>
    <row r="147" spans="1:10">
      <c r="A147" s="286"/>
      <c r="B147" s="286"/>
      <c r="C147" s="286"/>
      <c r="D147" s="286"/>
      <c r="E147" s="286"/>
      <c r="F147" s="286"/>
      <c r="G147" s="286"/>
      <c r="H147" s="286"/>
      <c r="I147" s="286"/>
      <c r="J147" s="286"/>
    </row>
    <row r="148" spans="1:10">
      <c r="A148" s="286"/>
      <c r="B148" s="286"/>
      <c r="C148" s="286"/>
      <c r="D148" s="286"/>
      <c r="E148" s="286"/>
      <c r="F148" s="286"/>
      <c r="G148" s="286"/>
      <c r="H148" s="286"/>
      <c r="I148" s="286"/>
      <c r="J148" s="286"/>
    </row>
    <row r="149" spans="1:10">
      <c r="A149" s="286"/>
      <c r="B149" s="286"/>
      <c r="C149" s="286"/>
      <c r="D149" s="286"/>
      <c r="E149" s="286"/>
      <c r="F149" s="286"/>
      <c r="G149" s="286"/>
      <c r="H149" s="286"/>
      <c r="I149" s="286"/>
      <c r="J149" s="286"/>
    </row>
    <row r="150" spans="1:10">
      <c r="A150" s="286"/>
      <c r="B150" s="286"/>
      <c r="C150" s="286"/>
      <c r="D150" s="286"/>
      <c r="E150" s="286"/>
      <c r="F150" s="286"/>
      <c r="G150" s="286"/>
      <c r="H150" s="286"/>
      <c r="I150" s="286"/>
      <c r="J150" s="286"/>
    </row>
    <row r="151" spans="1:10">
      <c r="A151" s="286"/>
      <c r="B151" s="286"/>
      <c r="C151" s="286"/>
      <c r="D151" s="286"/>
      <c r="E151" s="286"/>
      <c r="F151" s="286"/>
      <c r="G151" s="286"/>
      <c r="H151" s="286"/>
      <c r="I151" s="286"/>
      <c r="J151" s="286"/>
    </row>
    <row r="152" spans="1:10">
      <c r="A152" s="286"/>
      <c r="B152" s="286"/>
      <c r="C152" s="286"/>
      <c r="D152" s="286"/>
      <c r="E152" s="286"/>
      <c r="F152" s="286"/>
      <c r="G152" s="286"/>
      <c r="H152" s="286"/>
      <c r="I152" s="286"/>
      <c r="J152" s="286"/>
    </row>
    <row r="153" spans="1:10">
      <c r="A153" s="286"/>
      <c r="B153" s="286"/>
      <c r="C153" s="286"/>
      <c r="D153" s="286"/>
      <c r="E153" s="286"/>
      <c r="F153" s="286"/>
      <c r="G153" s="286"/>
      <c r="H153" s="286"/>
      <c r="I153" s="286"/>
      <c r="J153" s="286"/>
    </row>
    <row r="154" spans="1:10">
      <c r="A154" s="286"/>
      <c r="B154" s="286"/>
      <c r="C154" s="286"/>
      <c r="D154" s="286"/>
      <c r="E154" s="286"/>
      <c r="F154" s="286"/>
      <c r="G154" s="286"/>
      <c r="H154" s="286"/>
      <c r="I154" s="286"/>
      <c r="J154" s="286"/>
    </row>
    <row r="155" spans="1:10">
      <c r="A155" s="286"/>
      <c r="B155" s="286"/>
      <c r="C155" s="286"/>
      <c r="D155" s="286"/>
      <c r="E155" s="286"/>
      <c r="F155" s="286"/>
      <c r="G155" s="286"/>
      <c r="H155" s="286"/>
      <c r="I155" s="286"/>
      <c r="J155" s="286"/>
    </row>
    <row r="156" spans="1:10">
      <c r="A156" s="286"/>
      <c r="B156" s="286"/>
      <c r="C156" s="286"/>
      <c r="D156" s="286"/>
      <c r="E156" s="286"/>
      <c r="F156" s="286"/>
      <c r="G156" s="286"/>
      <c r="H156" s="286"/>
      <c r="I156" s="286"/>
      <c r="J156" s="286"/>
    </row>
    <row r="157" spans="1:10">
      <c r="A157" s="286"/>
      <c r="B157" s="286"/>
      <c r="C157" s="286"/>
      <c r="D157" s="286"/>
      <c r="E157" s="286"/>
      <c r="F157" s="286"/>
      <c r="G157" s="286"/>
      <c r="H157" s="286"/>
      <c r="I157" s="286"/>
      <c r="J157" s="286"/>
    </row>
    <row r="158" spans="1:10">
      <c r="A158" s="286"/>
      <c r="B158" s="286"/>
      <c r="C158" s="286"/>
      <c r="D158" s="286"/>
      <c r="E158" s="286"/>
      <c r="F158" s="286"/>
      <c r="G158" s="286"/>
      <c r="H158" s="286"/>
      <c r="I158" s="286"/>
      <c r="J158" s="286"/>
    </row>
    <row r="159" spans="1:10">
      <c r="A159" s="286"/>
      <c r="B159" s="286"/>
      <c r="C159" s="286"/>
      <c r="D159" s="286"/>
      <c r="E159" s="286"/>
      <c r="F159" s="286"/>
      <c r="G159" s="286"/>
      <c r="H159" s="286"/>
      <c r="I159" s="286"/>
      <c r="J159" s="286"/>
    </row>
    <row r="160" spans="1:10">
      <c r="A160" s="286"/>
      <c r="B160" s="286"/>
      <c r="C160" s="286"/>
      <c r="D160" s="286"/>
      <c r="E160" s="286"/>
      <c r="F160" s="286"/>
      <c r="G160" s="286"/>
      <c r="H160" s="286"/>
      <c r="I160" s="286"/>
      <c r="J160" s="286"/>
    </row>
    <row r="161" spans="1:10">
      <c r="A161" s="286"/>
      <c r="B161" s="286"/>
      <c r="C161" s="286"/>
      <c r="D161" s="286"/>
      <c r="E161" s="286"/>
      <c r="F161" s="286"/>
      <c r="G161" s="286"/>
      <c r="H161" s="286"/>
      <c r="I161" s="286"/>
      <c r="J161" s="286"/>
    </row>
    <row r="162" spans="1:10">
      <c r="A162" s="286"/>
      <c r="B162" s="286"/>
      <c r="C162" s="286"/>
      <c r="D162" s="286"/>
      <c r="E162" s="286"/>
      <c r="F162" s="286"/>
      <c r="G162" s="286"/>
      <c r="H162" s="286"/>
      <c r="I162" s="286"/>
      <c r="J162" s="286"/>
    </row>
    <row r="163" spans="1:10">
      <c r="A163" s="286"/>
      <c r="B163" s="286"/>
      <c r="C163" s="286"/>
      <c r="D163" s="286"/>
      <c r="E163" s="286"/>
      <c r="F163" s="286"/>
      <c r="G163" s="286"/>
      <c r="H163" s="286"/>
      <c r="I163" s="286"/>
      <c r="J163" s="286"/>
    </row>
    <row r="164" spans="1:10">
      <c r="A164" s="286"/>
      <c r="B164" s="286"/>
      <c r="C164" s="286"/>
      <c r="D164" s="286"/>
      <c r="E164" s="286"/>
      <c r="F164" s="286"/>
      <c r="G164" s="286"/>
      <c r="H164" s="286"/>
      <c r="I164" s="286"/>
      <c r="J164" s="286"/>
    </row>
    <row r="165" spans="1:10">
      <c r="A165" s="286"/>
      <c r="B165" s="286"/>
      <c r="C165" s="286"/>
      <c r="D165" s="286"/>
      <c r="E165" s="286"/>
      <c r="F165" s="286"/>
      <c r="G165" s="286"/>
      <c r="H165" s="286"/>
      <c r="I165" s="286"/>
      <c r="J165" s="286"/>
    </row>
    <row r="166" spans="1:10">
      <c r="A166" s="286"/>
      <c r="B166" s="286"/>
      <c r="C166" s="286"/>
      <c r="D166" s="286"/>
      <c r="E166" s="286"/>
      <c r="F166" s="286"/>
      <c r="G166" s="286"/>
      <c r="H166" s="286"/>
      <c r="I166" s="286"/>
      <c r="J166" s="286"/>
    </row>
    <row r="167" spans="1:10">
      <c r="A167" s="286"/>
      <c r="B167" s="286"/>
      <c r="C167" s="286"/>
      <c r="D167" s="286"/>
      <c r="E167" s="286"/>
      <c r="F167" s="286"/>
      <c r="G167" s="286"/>
      <c r="H167" s="286"/>
      <c r="I167" s="286"/>
      <c r="J167" s="286"/>
    </row>
    <row r="168" spans="1:10">
      <c r="A168" s="286"/>
      <c r="B168" s="286"/>
      <c r="C168" s="286"/>
      <c r="D168" s="286"/>
      <c r="E168" s="286"/>
      <c r="F168" s="286"/>
      <c r="G168" s="286"/>
      <c r="H168" s="286"/>
      <c r="I168" s="286"/>
      <c r="J168" s="286"/>
    </row>
    <row r="169" spans="1:10">
      <c r="A169" s="286"/>
      <c r="B169" s="286"/>
      <c r="C169" s="286"/>
      <c r="D169" s="286"/>
      <c r="E169" s="286"/>
      <c r="F169" s="286"/>
      <c r="G169" s="286"/>
      <c r="H169" s="286"/>
      <c r="I169" s="286"/>
      <c r="J169" s="286"/>
    </row>
  </sheetData>
  <mergeCells count="59">
    <mergeCell ref="B72:F72"/>
    <mergeCell ref="B73:F73"/>
    <mergeCell ref="B74:F74"/>
    <mergeCell ref="B75:F75"/>
    <mergeCell ref="B76:F76"/>
    <mergeCell ref="B71:F71"/>
    <mergeCell ref="B59:F59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69:F69"/>
    <mergeCell ref="B58:F58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6:F56"/>
    <mergeCell ref="B57:F57"/>
    <mergeCell ref="B46:F46"/>
    <mergeCell ref="B24:F24"/>
    <mergeCell ref="A36:J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23:F23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11:F11"/>
    <mergeCell ref="A6:J6"/>
    <mergeCell ref="B7:F7"/>
    <mergeCell ref="B8:F8"/>
    <mergeCell ref="B9:F9"/>
    <mergeCell ref="B10:F10"/>
  </mergeCells>
  <conditionalFormatting sqref="M1:M1048576">
    <cfRule type="duplicateValues" dxfId="0" priority="1"/>
  </conditionalFormatting>
  <pageMargins left="0.54" right="0.49" top="0.5" bottom="0.35" header="0.24" footer="0.24"/>
  <pageSetup scale="57" orientation="portrait" r:id="rId1"/>
  <headerFooter alignWithMargins="0">
    <oddFooter>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53"/>
  <sheetViews>
    <sheetView tabSelected="1" topLeftCell="A28" workbookViewId="0">
      <selection activeCell="O37" sqref="O37"/>
    </sheetView>
  </sheetViews>
  <sheetFormatPr defaultRowHeight="15"/>
  <cols>
    <col min="4" max="4" width="9.28515625" customWidth="1"/>
    <col min="7" max="7" width="10.5703125" customWidth="1"/>
  </cols>
  <sheetData>
    <row r="1" spans="1:10">
      <c r="A1" s="186"/>
      <c r="B1" s="187"/>
      <c r="C1" s="187"/>
      <c r="D1" s="187"/>
      <c r="E1" s="187"/>
      <c r="F1" s="187"/>
      <c r="G1" s="187"/>
      <c r="H1" s="187"/>
      <c r="I1" s="187"/>
      <c r="J1" s="188"/>
    </row>
    <row r="2" spans="1:10">
      <c r="A2" s="189"/>
      <c r="B2" s="190"/>
      <c r="C2" s="190"/>
      <c r="D2" s="190"/>
      <c r="E2" s="190"/>
      <c r="F2" s="190"/>
      <c r="G2" s="190"/>
      <c r="H2" s="190"/>
      <c r="I2" s="190"/>
      <c r="J2" s="191"/>
    </row>
    <row r="3" spans="1:10" ht="15.75">
      <c r="A3" s="189"/>
      <c r="B3" s="192" t="s">
        <v>381</v>
      </c>
      <c r="C3" s="190"/>
      <c r="D3" s="190"/>
      <c r="E3" s="190"/>
      <c r="F3" s="193" t="s">
        <v>395</v>
      </c>
      <c r="G3" s="193"/>
      <c r="H3" s="193"/>
      <c r="I3" s="193"/>
      <c r="J3" s="194"/>
    </row>
    <row r="4" spans="1:10">
      <c r="A4" s="189"/>
      <c r="B4" s="190"/>
      <c r="C4" s="190"/>
      <c r="D4" s="190"/>
      <c r="E4" s="190"/>
      <c r="F4" s="193"/>
      <c r="G4" s="193" t="s">
        <v>396</v>
      </c>
      <c r="H4" s="193"/>
      <c r="I4" s="193"/>
      <c r="J4" s="194"/>
    </row>
    <row r="5" spans="1:10">
      <c r="A5" s="189"/>
      <c r="B5" s="190"/>
      <c r="C5" s="190"/>
      <c r="D5" s="190"/>
      <c r="E5" s="190"/>
      <c r="F5" s="193" t="s">
        <v>382</v>
      </c>
      <c r="G5" s="190"/>
      <c r="H5" s="190"/>
      <c r="I5" s="190"/>
      <c r="J5" s="191"/>
    </row>
    <row r="6" spans="1:10">
      <c r="A6" s="189"/>
      <c r="B6" s="190"/>
      <c r="C6" s="190"/>
      <c r="D6" s="190"/>
      <c r="E6" s="190"/>
      <c r="F6" s="190"/>
      <c r="G6" s="190"/>
      <c r="H6" s="195"/>
      <c r="I6" s="190"/>
      <c r="J6" s="191"/>
    </row>
    <row r="7" spans="1:10">
      <c r="A7" s="189"/>
      <c r="B7" s="190"/>
      <c r="C7" s="190"/>
      <c r="D7" s="190"/>
      <c r="E7" s="190"/>
      <c r="F7" s="190"/>
      <c r="G7" s="190"/>
      <c r="H7" s="190"/>
      <c r="I7" s="190"/>
      <c r="J7" s="191"/>
    </row>
    <row r="8" spans="1:10">
      <c r="A8" s="189"/>
      <c r="B8" s="190"/>
      <c r="C8" s="190"/>
      <c r="D8" s="190"/>
      <c r="E8" s="190"/>
      <c r="F8" s="190"/>
      <c r="G8" s="190"/>
      <c r="H8" s="190"/>
      <c r="I8" s="190"/>
      <c r="J8" s="191"/>
    </row>
    <row r="9" spans="1:10">
      <c r="A9" s="189"/>
      <c r="B9" s="190"/>
      <c r="C9" s="190"/>
      <c r="D9" s="190"/>
      <c r="E9" s="190"/>
      <c r="F9" s="190"/>
      <c r="G9" s="190"/>
      <c r="H9" s="190"/>
      <c r="I9" s="190"/>
      <c r="J9" s="191"/>
    </row>
    <row r="10" spans="1:10">
      <c r="A10" s="189"/>
      <c r="B10" s="190"/>
      <c r="C10" s="190"/>
      <c r="D10" s="190"/>
      <c r="E10" s="190"/>
      <c r="F10" s="190"/>
      <c r="G10" s="190"/>
      <c r="H10" s="190"/>
      <c r="I10" s="190"/>
      <c r="J10" s="191"/>
    </row>
    <row r="11" spans="1:10">
      <c r="A11" s="189"/>
      <c r="B11" s="195"/>
      <c r="C11" s="190"/>
      <c r="D11" s="190"/>
      <c r="E11" s="196"/>
      <c r="F11" s="190"/>
      <c r="G11" s="190"/>
      <c r="H11" s="190"/>
      <c r="I11" s="190"/>
      <c r="J11" s="191"/>
    </row>
    <row r="12" spans="1:10">
      <c r="A12" s="189"/>
      <c r="B12" s="190"/>
      <c r="C12" s="190"/>
      <c r="D12" s="190"/>
      <c r="E12" s="190"/>
      <c r="F12" s="190"/>
      <c r="G12" s="190"/>
      <c r="H12" s="190"/>
      <c r="I12" s="190"/>
      <c r="J12" s="191"/>
    </row>
    <row r="13" spans="1:10">
      <c r="A13" s="189"/>
      <c r="B13" s="195"/>
      <c r="C13" s="190"/>
      <c r="D13" s="190"/>
      <c r="E13" s="193"/>
      <c r="F13" s="190"/>
      <c r="G13" s="190"/>
      <c r="H13" s="190"/>
      <c r="I13" s="190"/>
      <c r="J13" s="191"/>
    </row>
    <row r="14" spans="1:10">
      <c r="A14" s="189"/>
      <c r="B14" s="190"/>
      <c r="C14" s="190"/>
      <c r="D14" s="190"/>
      <c r="E14" s="190"/>
      <c r="F14" s="190"/>
      <c r="G14" s="190"/>
      <c r="H14" s="190"/>
      <c r="I14" s="190"/>
      <c r="J14" s="191"/>
    </row>
    <row r="15" spans="1:10">
      <c r="A15" s="189"/>
      <c r="B15" s="190"/>
      <c r="C15" s="190"/>
      <c r="D15" s="190"/>
      <c r="E15" s="190"/>
      <c r="F15" s="190"/>
      <c r="G15" s="190"/>
      <c r="H15" s="190"/>
      <c r="I15" s="190"/>
      <c r="J15" s="191"/>
    </row>
    <row r="16" spans="1:10">
      <c r="A16" s="189"/>
      <c r="B16" s="195" t="s">
        <v>383</v>
      </c>
      <c r="C16" s="190"/>
      <c r="D16" s="190"/>
      <c r="E16" s="196" t="s">
        <v>397</v>
      </c>
      <c r="F16" s="190"/>
      <c r="G16" s="190"/>
      <c r="H16" s="190"/>
      <c r="I16" s="190"/>
      <c r="J16" s="191"/>
    </row>
    <row r="17" spans="1:10">
      <c r="A17" s="189"/>
      <c r="B17" s="190"/>
      <c r="C17" s="190"/>
      <c r="D17" s="190"/>
      <c r="E17" s="190"/>
      <c r="F17" s="190"/>
      <c r="G17" s="190"/>
      <c r="H17" s="190"/>
      <c r="I17" s="190"/>
      <c r="J17" s="191"/>
    </row>
    <row r="18" spans="1:10">
      <c r="A18" s="189"/>
      <c r="B18" s="195" t="s">
        <v>398</v>
      </c>
      <c r="C18" s="190"/>
      <c r="D18" s="190"/>
      <c r="E18" s="193" t="s">
        <v>399</v>
      </c>
      <c r="F18" s="190"/>
      <c r="G18" s="190"/>
      <c r="H18" s="190"/>
      <c r="I18" s="190"/>
      <c r="J18" s="191"/>
    </row>
    <row r="19" spans="1:10">
      <c r="A19" s="189"/>
      <c r="B19" s="190"/>
      <c r="C19" s="190"/>
      <c r="D19" s="190"/>
      <c r="E19" s="190"/>
      <c r="F19" s="190"/>
      <c r="G19" s="190"/>
      <c r="H19" s="190"/>
      <c r="I19" s="190"/>
      <c r="J19" s="191"/>
    </row>
    <row r="20" spans="1:10">
      <c r="A20" s="189"/>
      <c r="B20" s="190"/>
      <c r="C20" s="190"/>
      <c r="D20" s="190"/>
      <c r="E20" s="190"/>
      <c r="F20" s="190"/>
      <c r="G20" s="190"/>
      <c r="H20" s="190"/>
      <c r="I20" s="190"/>
      <c r="J20" s="191"/>
    </row>
    <row r="21" spans="1:10">
      <c r="A21" s="189"/>
      <c r="B21" s="190"/>
      <c r="C21" s="190"/>
      <c r="D21" s="190"/>
      <c r="E21" s="190"/>
      <c r="F21" s="190"/>
      <c r="G21" s="190"/>
      <c r="H21" s="190"/>
      <c r="I21" s="190"/>
      <c r="J21" s="191"/>
    </row>
    <row r="22" spans="1:10">
      <c r="A22" s="189"/>
      <c r="B22" s="190"/>
      <c r="C22" s="190"/>
      <c r="D22" s="190"/>
      <c r="E22" s="190"/>
      <c r="F22" s="190"/>
      <c r="G22" s="190"/>
      <c r="H22" s="190"/>
      <c r="I22" s="190"/>
      <c r="J22" s="191"/>
    </row>
    <row r="23" spans="1:10">
      <c r="A23" s="189"/>
      <c r="B23" s="190"/>
      <c r="C23" s="190"/>
      <c r="D23" s="190"/>
      <c r="E23" s="190"/>
      <c r="F23" s="190"/>
      <c r="G23" s="190"/>
      <c r="H23" s="190"/>
      <c r="I23" s="190"/>
      <c r="J23" s="191"/>
    </row>
    <row r="24" spans="1:10">
      <c r="A24" s="189"/>
      <c r="B24" s="190"/>
      <c r="C24" s="190"/>
      <c r="D24" s="190"/>
      <c r="E24" s="190"/>
      <c r="F24" s="190"/>
      <c r="G24" s="190"/>
      <c r="H24" s="190"/>
      <c r="I24" s="190"/>
      <c r="J24" s="191"/>
    </row>
    <row r="25" spans="1:10">
      <c r="A25" s="189"/>
      <c r="B25" s="197" t="s">
        <v>384</v>
      </c>
      <c r="C25" s="190"/>
      <c r="D25" s="190"/>
      <c r="E25" s="193" t="s">
        <v>400</v>
      </c>
      <c r="F25" s="190"/>
      <c r="G25" s="198"/>
      <c r="H25" s="190"/>
      <c r="I25" s="190"/>
      <c r="J25" s="191"/>
    </row>
    <row r="26" spans="1:10">
      <c r="A26" s="189"/>
      <c r="B26" s="190"/>
      <c r="C26" s="190"/>
      <c r="D26" s="190"/>
      <c r="E26" s="190"/>
      <c r="F26" s="190"/>
      <c r="G26" s="190"/>
      <c r="H26" s="190"/>
      <c r="I26" s="190"/>
      <c r="J26" s="191"/>
    </row>
    <row r="27" spans="1:10">
      <c r="A27" s="189"/>
      <c r="B27" s="190"/>
      <c r="C27" s="190"/>
      <c r="D27" s="190"/>
      <c r="E27" s="190"/>
      <c r="F27" s="190"/>
      <c r="G27" s="190"/>
      <c r="H27" s="190"/>
      <c r="I27" s="190"/>
      <c r="J27" s="191"/>
    </row>
    <row r="28" spans="1:10">
      <c r="A28" s="189"/>
      <c r="B28" s="190"/>
      <c r="C28" s="190"/>
      <c r="D28" s="190"/>
      <c r="E28" s="190"/>
      <c r="F28" s="190"/>
      <c r="G28" s="190"/>
      <c r="H28" s="190"/>
      <c r="I28" s="190"/>
      <c r="J28" s="191"/>
    </row>
    <row r="29" spans="1:10">
      <c r="A29" s="189"/>
      <c r="B29" s="190"/>
      <c r="C29" s="190"/>
      <c r="D29" s="190"/>
      <c r="E29" s="190"/>
      <c r="F29" s="190"/>
      <c r="G29" s="190"/>
      <c r="H29" s="190"/>
      <c r="I29" s="190"/>
      <c r="J29" s="191"/>
    </row>
    <row r="30" spans="1:10">
      <c r="A30" s="189"/>
      <c r="B30" s="190"/>
      <c r="C30" s="190"/>
      <c r="D30" s="190"/>
      <c r="E30" s="190"/>
      <c r="F30" s="190"/>
      <c r="G30" s="190"/>
      <c r="H30" s="190"/>
      <c r="I30" s="190"/>
      <c r="J30" s="191"/>
    </row>
    <row r="31" spans="1:10">
      <c r="A31" s="189"/>
      <c r="B31" s="190"/>
      <c r="C31" s="190"/>
      <c r="D31" s="190"/>
      <c r="E31" s="190"/>
      <c r="F31" s="190"/>
      <c r="G31" s="190"/>
      <c r="H31" s="190"/>
      <c r="I31" s="190"/>
      <c r="J31" s="191"/>
    </row>
    <row r="32" spans="1:10">
      <c r="A32" s="189"/>
      <c r="B32" s="190"/>
      <c r="C32" s="190"/>
      <c r="D32" s="190"/>
      <c r="E32" s="190"/>
      <c r="F32" s="190"/>
      <c r="G32" s="190"/>
      <c r="H32" s="190"/>
      <c r="I32" s="190"/>
      <c r="J32" s="191"/>
    </row>
    <row r="33" spans="1:10">
      <c r="A33" s="189"/>
      <c r="B33" s="197" t="s">
        <v>385</v>
      </c>
      <c r="C33" s="190"/>
      <c r="D33" s="190"/>
      <c r="E33" s="193"/>
      <c r="F33" s="190"/>
      <c r="G33" s="190"/>
      <c r="H33" s="190"/>
      <c r="I33" s="190"/>
      <c r="J33" s="191"/>
    </row>
    <row r="34" spans="1:10">
      <c r="A34" s="189"/>
      <c r="B34" s="190"/>
      <c r="C34" s="190"/>
      <c r="D34" s="190"/>
      <c r="E34" s="193"/>
      <c r="F34" s="190"/>
      <c r="G34" s="190"/>
      <c r="H34" s="190"/>
      <c r="I34" s="190"/>
      <c r="J34" s="191"/>
    </row>
    <row r="35" spans="1:10">
      <c r="A35" s="189"/>
      <c r="B35" s="190"/>
      <c r="C35" s="193" t="s">
        <v>401</v>
      </c>
      <c r="D35" s="190"/>
      <c r="E35" s="190"/>
      <c r="F35" s="190"/>
      <c r="G35" s="190"/>
      <c r="H35" s="190"/>
      <c r="I35" s="190"/>
      <c r="J35" s="191"/>
    </row>
    <row r="36" spans="1:10">
      <c r="A36" s="189"/>
      <c r="B36" s="190"/>
      <c r="C36" s="190"/>
      <c r="D36" s="190"/>
      <c r="E36" s="190"/>
      <c r="F36" s="190"/>
      <c r="G36" s="190"/>
      <c r="H36" s="190"/>
      <c r="I36" s="190"/>
      <c r="J36" s="191"/>
    </row>
    <row r="37" spans="1:10">
      <c r="A37" s="189"/>
      <c r="B37" s="190"/>
      <c r="C37" s="190"/>
      <c r="D37" s="190"/>
      <c r="E37" s="190"/>
      <c r="F37" s="190"/>
      <c r="G37" s="190"/>
      <c r="H37" s="190"/>
      <c r="I37" s="190"/>
      <c r="J37" s="191"/>
    </row>
    <row r="38" spans="1:10">
      <c r="A38" s="189"/>
      <c r="B38" s="190"/>
      <c r="C38" s="190"/>
      <c r="D38" s="190"/>
      <c r="E38" s="190"/>
      <c r="F38" s="190"/>
      <c r="G38" s="190"/>
      <c r="H38" s="190"/>
      <c r="I38" s="190"/>
      <c r="J38" s="191"/>
    </row>
    <row r="39" spans="1:10">
      <c r="A39" s="189"/>
      <c r="B39" s="199"/>
      <c r="C39" s="200" t="s">
        <v>87</v>
      </c>
      <c r="D39" s="200"/>
      <c r="E39" s="200" t="s">
        <v>386</v>
      </c>
      <c r="F39" s="200"/>
      <c r="G39" s="200"/>
      <c r="H39" s="200"/>
      <c r="I39" s="201"/>
      <c r="J39" s="191"/>
    </row>
    <row r="40" spans="1:10">
      <c r="A40" s="189"/>
      <c r="B40" s="202"/>
      <c r="C40" s="190"/>
      <c r="D40" s="190"/>
      <c r="E40" s="190" t="s">
        <v>387</v>
      </c>
      <c r="F40" s="190"/>
      <c r="G40" s="190"/>
      <c r="H40" s="190"/>
      <c r="I40" s="203"/>
      <c r="J40" s="191"/>
    </row>
    <row r="41" spans="1:10">
      <c r="A41" s="189"/>
      <c r="B41" s="202"/>
      <c r="C41" s="190"/>
      <c r="D41" s="190"/>
      <c r="E41" s="190"/>
      <c r="F41" s="190"/>
      <c r="G41" s="190"/>
      <c r="H41" s="190"/>
      <c r="I41" s="203"/>
      <c r="J41" s="191"/>
    </row>
    <row r="42" spans="1:10">
      <c r="A42" s="189"/>
      <c r="B42" s="202" t="s">
        <v>388</v>
      </c>
      <c r="C42" s="190"/>
      <c r="D42" s="204" t="s">
        <v>408</v>
      </c>
      <c r="E42" s="205"/>
      <c r="F42" s="206" t="s">
        <v>389</v>
      </c>
      <c r="G42" s="207" t="s">
        <v>409</v>
      </c>
      <c r="H42" s="208"/>
      <c r="I42" s="203"/>
      <c r="J42" s="191"/>
    </row>
    <row r="43" spans="1:10">
      <c r="A43" s="189"/>
      <c r="B43" s="202"/>
      <c r="C43" s="190"/>
      <c r="D43" s="190"/>
      <c r="E43" s="190"/>
      <c r="F43" s="190"/>
      <c r="G43" s="190"/>
      <c r="H43" s="190"/>
      <c r="I43" s="203"/>
      <c r="J43" s="191"/>
    </row>
    <row r="44" spans="1:10">
      <c r="A44" s="189"/>
      <c r="B44" s="202"/>
      <c r="C44" s="190"/>
      <c r="D44" s="190"/>
      <c r="E44" s="190"/>
      <c r="F44" s="190"/>
      <c r="G44" s="190"/>
      <c r="H44" s="190"/>
      <c r="I44" s="203"/>
      <c r="J44" s="191"/>
    </row>
    <row r="45" spans="1:10">
      <c r="A45" s="189"/>
      <c r="B45" s="202" t="s">
        <v>390</v>
      </c>
      <c r="C45" s="190"/>
      <c r="D45" s="204" t="s">
        <v>1326</v>
      </c>
      <c r="E45" s="208"/>
      <c r="F45" s="208"/>
      <c r="G45" s="208"/>
      <c r="H45" s="208"/>
      <c r="I45" s="203"/>
      <c r="J45" s="191"/>
    </row>
    <row r="46" spans="1:10">
      <c r="A46" s="189"/>
      <c r="B46" s="202"/>
      <c r="C46" s="190"/>
      <c r="D46" s="190"/>
      <c r="E46" s="190"/>
      <c r="F46" s="190"/>
      <c r="G46" s="190"/>
      <c r="H46" s="190"/>
      <c r="I46" s="203"/>
      <c r="J46" s="191"/>
    </row>
    <row r="47" spans="1:10">
      <c r="A47" s="189"/>
      <c r="B47" s="202" t="s">
        <v>391</v>
      </c>
      <c r="C47" s="190"/>
      <c r="D47" s="208" t="s">
        <v>1322</v>
      </c>
      <c r="E47" s="208"/>
      <c r="F47" s="190" t="s">
        <v>392</v>
      </c>
      <c r="G47" s="204" t="s">
        <v>1327</v>
      </c>
      <c r="H47" s="208"/>
      <c r="I47" s="203"/>
      <c r="J47" s="191"/>
    </row>
    <row r="48" spans="1:10">
      <c r="A48" s="189"/>
      <c r="B48" s="202"/>
      <c r="C48" s="190"/>
      <c r="D48" s="190"/>
      <c r="E48" s="190"/>
      <c r="F48" s="190"/>
      <c r="G48" s="209"/>
      <c r="H48" s="190"/>
      <c r="I48" s="203"/>
      <c r="J48" s="191"/>
    </row>
    <row r="49" spans="1:10">
      <c r="A49" s="189"/>
      <c r="B49" s="202" t="s">
        <v>393</v>
      </c>
      <c r="C49" s="190"/>
      <c r="D49" s="210" t="s">
        <v>394</v>
      </c>
      <c r="E49" s="208"/>
      <c r="F49" s="208"/>
      <c r="G49" s="208"/>
      <c r="H49" s="208"/>
      <c r="I49" s="203"/>
      <c r="J49" s="191"/>
    </row>
    <row r="50" spans="1:10">
      <c r="A50" s="189"/>
      <c r="B50" s="211"/>
      <c r="C50" s="212"/>
      <c r="D50" s="212"/>
      <c r="E50" s="212"/>
      <c r="F50" s="212"/>
      <c r="G50" s="212"/>
      <c r="H50" s="212"/>
      <c r="I50" s="213"/>
      <c r="J50" s="214"/>
    </row>
    <row r="51" spans="1:10">
      <c r="A51" s="189"/>
      <c r="B51" s="190"/>
      <c r="C51" s="190"/>
      <c r="D51" s="190"/>
      <c r="E51" s="190"/>
      <c r="F51" s="190"/>
      <c r="G51" s="190"/>
      <c r="H51" s="190"/>
      <c r="I51" s="190"/>
      <c r="J51" s="214"/>
    </row>
    <row r="52" spans="1:10">
      <c r="A52" s="189"/>
      <c r="B52" s="190"/>
      <c r="C52" s="190"/>
      <c r="D52" s="190"/>
      <c r="E52" s="190"/>
      <c r="F52" s="190"/>
      <c r="G52" s="190"/>
      <c r="H52" s="190"/>
      <c r="I52" s="190"/>
      <c r="J52" s="191"/>
    </row>
    <row r="53" spans="1:10" ht="15.75" thickBot="1">
      <c r="A53" s="215"/>
      <c r="B53" s="216"/>
      <c r="C53" s="216"/>
      <c r="D53" s="216"/>
      <c r="E53" s="216"/>
      <c r="F53" s="216"/>
      <c r="G53" s="216"/>
      <c r="H53" s="216"/>
      <c r="I53" s="216"/>
      <c r="J53" s="217"/>
    </row>
  </sheetData>
  <pageMargins left="0.7" right="0.7" top="0.75" bottom="0.75" header="0.3" footer="0.3"/>
  <pageSetup paperSize="9" scale="9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3"/>
  <sheetViews>
    <sheetView topLeftCell="A40" workbookViewId="0">
      <selection sqref="A1:XFD1048576"/>
    </sheetView>
  </sheetViews>
  <sheetFormatPr defaultRowHeight="15"/>
  <cols>
    <col min="2" max="2" width="45.5703125" customWidth="1"/>
    <col min="5" max="6" width="11" style="61" bestFit="1" customWidth="1"/>
  </cols>
  <sheetData>
    <row r="1" spans="1:9">
      <c r="A1" s="126"/>
      <c r="B1" s="126"/>
      <c r="D1" s="126"/>
      <c r="E1" s="128"/>
      <c r="F1" s="128"/>
      <c r="G1" s="126"/>
    </row>
    <row r="3" spans="1:9">
      <c r="A3" s="126"/>
      <c r="B3" s="126"/>
      <c r="F3" s="128"/>
      <c r="G3" s="127"/>
      <c r="I3" s="126"/>
    </row>
    <row r="4" spans="1:9">
      <c r="A4" s="126"/>
      <c r="B4" s="126"/>
      <c r="F4" s="128"/>
      <c r="G4" s="127"/>
      <c r="I4" s="126"/>
    </row>
    <row r="5" spans="1:9">
      <c r="A5" s="126"/>
      <c r="B5" s="126"/>
      <c r="E5" s="128"/>
      <c r="G5" s="127"/>
      <c r="I5" s="126"/>
    </row>
    <row r="6" spans="1:9">
      <c r="A6" s="126"/>
      <c r="B6" s="126"/>
      <c r="E6" s="128"/>
      <c r="G6" s="127"/>
      <c r="I6" s="126"/>
    </row>
    <row r="7" spans="1:9">
      <c r="A7" s="126"/>
      <c r="B7" s="126"/>
      <c r="E7" s="128"/>
      <c r="G7" s="127"/>
      <c r="I7" s="126"/>
    </row>
    <row r="8" spans="1:9">
      <c r="A8" s="126"/>
      <c r="B8" s="126"/>
      <c r="F8" s="128"/>
      <c r="G8" s="127"/>
      <c r="I8" s="126"/>
    </row>
    <row r="9" spans="1:9">
      <c r="A9" s="126"/>
      <c r="B9" s="126"/>
      <c r="E9" s="128"/>
      <c r="F9" s="128"/>
      <c r="G9" s="127"/>
      <c r="I9" s="126"/>
    </row>
    <row r="10" spans="1:9">
      <c r="A10" s="126"/>
      <c r="B10" s="126"/>
      <c r="E10" s="128"/>
      <c r="F10" s="128"/>
      <c r="G10" s="127"/>
      <c r="I10" s="126"/>
    </row>
    <row r="11" spans="1:9">
      <c r="A11" s="126"/>
      <c r="B11" s="126"/>
      <c r="E11" s="128"/>
      <c r="F11" s="128"/>
      <c r="G11" s="127"/>
      <c r="I11" s="126"/>
    </row>
    <row r="12" spans="1:9">
      <c r="A12" s="126"/>
      <c r="B12" s="126"/>
      <c r="E12" s="128"/>
      <c r="G12" s="127"/>
      <c r="I12" s="126"/>
    </row>
    <row r="13" spans="1:9">
      <c r="A13" s="126"/>
      <c r="B13" s="126"/>
      <c r="E13" s="128"/>
      <c r="F13" s="128"/>
      <c r="G13" s="127"/>
      <c r="I13" s="126"/>
    </row>
    <row r="14" spans="1:9">
      <c r="A14" s="126"/>
      <c r="B14" s="126"/>
      <c r="E14" s="128"/>
      <c r="F14" s="128"/>
      <c r="G14" s="127"/>
      <c r="I14" s="126"/>
    </row>
    <row r="15" spans="1:9">
      <c r="A15" s="126"/>
      <c r="B15" s="126"/>
      <c r="E15" s="128"/>
      <c r="F15" s="128"/>
      <c r="G15" s="127"/>
      <c r="I15" s="126"/>
    </row>
    <row r="16" spans="1:9">
      <c r="A16" s="126"/>
      <c r="B16" s="126"/>
      <c r="E16" s="128"/>
      <c r="G16" s="127"/>
      <c r="I16" s="126"/>
    </row>
    <row r="17" spans="1:9">
      <c r="A17" s="126"/>
      <c r="B17" s="126"/>
      <c r="E17" s="128"/>
      <c r="F17" s="128"/>
      <c r="G17" s="127"/>
      <c r="I17" s="126"/>
    </row>
    <row r="18" spans="1:9">
      <c r="A18" s="126"/>
      <c r="B18" s="126"/>
      <c r="E18" s="128"/>
      <c r="G18" s="127"/>
      <c r="I18" s="126"/>
    </row>
    <row r="19" spans="1:9">
      <c r="A19" s="126"/>
      <c r="B19" s="126"/>
      <c r="E19" s="128"/>
      <c r="G19" s="127"/>
      <c r="I19" s="126"/>
    </row>
    <row r="20" spans="1:9">
      <c r="A20" s="126"/>
      <c r="B20" s="126"/>
      <c r="F20" s="128"/>
      <c r="G20" s="127"/>
      <c r="I20" s="126"/>
    </row>
    <row r="21" spans="1:9">
      <c r="A21" s="126"/>
      <c r="B21" s="126"/>
      <c r="F21" s="128"/>
      <c r="G21" s="127"/>
      <c r="I21" s="126"/>
    </row>
    <row r="22" spans="1:9">
      <c r="A22" s="126"/>
      <c r="B22" s="126"/>
      <c r="E22" s="128"/>
      <c r="G22" s="127"/>
      <c r="I22" s="126"/>
    </row>
    <row r="23" spans="1:9">
      <c r="A23" s="126"/>
      <c r="B23" s="126"/>
      <c r="E23" s="128"/>
      <c r="G23" s="127"/>
      <c r="I23" s="126"/>
    </row>
    <row r="24" spans="1:9">
      <c r="A24" s="126"/>
      <c r="B24" s="126"/>
      <c r="F24" s="128"/>
      <c r="G24" s="127"/>
      <c r="I24" s="126"/>
    </row>
    <row r="25" spans="1:9">
      <c r="A25" s="126"/>
      <c r="B25" s="126"/>
      <c r="E25" s="128"/>
      <c r="F25" s="128"/>
      <c r="G25" s="127"/>
      <c r="I25" s="126"/>
    </row>
    <row r="26" spans="1:9">
      <c r="A26" s="126"/>
      <c r="B26" s="126"/>
      <c r="E26" s="128"/>
      <c r="G26" s="127"/>
      <c r="I26" s="126"/>
    </row>
    <row r="27" spans="1:9">
      <c r="A27" s="126"/>
      <c r="E27" s="128"/>
      <c r="F27" s="128"/>
      <c r="G27" s="127"/>
      <c r="I27" s="126"/>
    </row>
    <row r="28" spans="1:9">
      <c r="A28" s="126"/>
      <c r="B28" s="126"/>
      <c r="E28" s="128"/>
      <c r="F28" s="128"/>
      <c r="G28" s="127"/>
      <c r="I28" s="126"/>
    </row>
    <row r="29" spans="1:9">
      <c r="A29" s="126"/>
      <c r="B29" s="126"/>
      <c r="E29" s="128"/>
      <c r="F29" s="128"/>
      <c r="G29" s="127"/>
      <c r="I29" s="126"/>
    </row>
    <row r="30" spans="1:9">
      <c r="A30" s="126"/>
      <c r="B30" s="126"/>
      <c r="E30" s="128"/>
      <c r="G30" s="127"/>
      <c r="I30" s="126"/>
    </row>
    <row r="31" spans="1:9">
      <c r="A31" s="126"/>
      <c r="B31" s="126"/>
      <c r="E31" s="128"/>
      <c r="G31" s="127"/>
      <c r="I31" s="126"/>
    </row>
    <row r="32" spans="1:9">
      <c r="A32" s="126"/>
      <c r="B32" s="126"/>
      <c r="E32" s="128"/>
      <c r="G32" s="127"/>
      <c r="I32" s="126"/>
    </row>
    <row r="33" spans="1:9">
      <c r="A33" s="126"/>
      <c r="B33" s="126"/>
      <c r="E33" s="128"/>
      <c r="G33" s="127"/>
      <c r="I33" s="126"/>
    </row>
    <row r="34" spans="1:9">
      <c r="A34" s="126"/>
      <c r="B34" s="126"/>
      <c r="E34" s="128"/>
      <c r="G34" s="127"/>
      <c r="I34" s="126"/>
    </row>
    <row r="35" spans="1:9">
      <c r="A35" s="126"/>
      <c r="B35" s="126"/>
      <c r="E35" s="128"/>
      <c r="G35" s="127"/>
      <c r="I35" s="126"/>
    </row>
    <row r="36" spans="1:9">
      <c r="A36" s="126"/>
      <c r="B36" s="126"/>
      <c r="E36" s="128"/>
      <c r="G36" s="127"/>
      <c r="I36" s="126"/>
    </row>
    <row r="37" spans="1:9">
      <c r="A37" s="126"/>
      <c r="B37" s="126"/>
      <c r="E37" s="128"/>
      <c r="G37" s="127"/>
      <c r="I37" s="126"/>
    </row>
    <row r="38" spans="1:9">
      <c r="A38" s="126"/>
      <c r="B38" s="126"/>
      <c r="E38" s="128"/>
      <c r="G38" s="127"/>
      <c r="I38" s="126"/>
    </row>
    <row r="39" spans="1:9">
      <c r="A39" s="126"/>
      <c r="B39" s="126"/>
      <c r="E39" s="128"/>
      <c r="G39" s="127"/>
      <c r="I39" s="126"/>
    </row>
    <row r="40" spans="1:9">
      <c r="A40" s="126"/>
      <c r="B40" s="126"/>
      <c r="E40" s="128"/>
      <c r="G40" s="127"/>
      <c r="I40" s="126"/>
    </row>
    <row r="41" spans="1:9">
      <c r="A41" s="126"/>
      <c r="B41" s="126"/>
      <c r="E41" s="128"/>
      <c r="G41" s="127"/>
      <c r="I41" s="126"/>
    </row>
    <row r="42" spans="1:9">
      <c r="A42" s="126"/>
      <c r="B42" s="126"/>
      <c r="E42" s="128"/>
      <c r="G42" s="127"/>
      <c r="I42" s="126"/>
    </row>
    <row r="43" spans="1:9">
      <c r="A43" s="126"/>
      <c r="B43" s="126"/>
      <c r="E43" s="128"/>
      <c r="G43" s="127"/>
      <c r="I43" s="126"/>
    </row>
    <row r="44" spans="1:9">
      <c r="A44" s="126"/>
      <c r="B44" s="126"/>
      <c r="E44" s="128"/>
      <c r="G44" s="127"/>
      <c r="I44" s="126"/>
    </row>
    <row r="45" spans="1:9">
      <c r="A45" s="126"/>
      <c r="B45" s="126"/>
      <c r="E45" s="128"/>
      <c r="G45" s="127"/>
      <c r="I45" s="126"/>
    </row>
    <row r="46" spans="1:9">
      <c r="A46" s="126"/>
      <c r="B46" s="126"/>
      <c r="E46" s="128"/>
      <c r="G46" s="127"/>
      <c r="I46" s="126"/>
    </row>
    <row r="47" spans="1:9">
      <c r="A47" s="126"/>
      <c r="B47" s="126"/>
      <c r="E47" s="128"/>
      <c r="G47" s="127"/>
      <c r="I47" s="126"/>
    </row>
    <row r="48" spans="1:9">
      <c r="A48" s="126"/>
      <c r="B48" s="126"/>
      <c r="E48" s="128"/>
      <c r="G48" s="127"/>
      <c r="I48" s="126"/>
    </row>
    <row r="49" spans="1:9">
      <c r="A49" s="126"/>
      <c r="B49" s="126"/>
      <c r="E49" s="128"/>
      <c r="G49" s="127"/>
      <c r="I49" s="126"/>
    </row>
    <row r="50" spans="1:9">
      <c r="A50" s="126"/>
      <c r="B50" s="126"/>
      <c r="E50" s="128"/>
      <c r="G50" s="127"/>
      <c r="I50" s="126"/>
    </row>
    <row r="51" spans="1:9">
      <c r="A51" s="126"/>
      <c r="B51" s="126"/>
      <c r="E51" s="128"/>
      <c r="F51" s="128"/>
      <c r="G51" s="127"/>
      <c r="I51" s="126"/>
    </row>
    <row r="52" spans="1:9">
      <c r="A52" s="126"/>
      <c r="B52" s="126"/>
      <c r="F52" s="128"/>
      <c r="G52" s="127"/>
      <c r="I52" s="126"/>
    </row>
    <row r="53" spans="1:9">
      <c r="A53" s="126"/>
      <c r="B53" s="126"/>
      <c r="F53" s="128"/>
      <c r="G53" s="127"/>
      <c r="I53" s="126"/>
    </row>
    <row r="54" spans="1:9">
      <c r="A54" s="126"/>
      <c r="B54" s="126"/>
      <c r="F54" s="128"/>
      <c r="G54" s="127"/>
      <c r="I54" s="126"/>
    </row>
    <row r="55" spans="1:9">
      <c r="A55" s="126"/>
      <c r="E55" s="128"/>
      <c r="G55" s="127"/>
      <c r="I55" s="126"/>
    </row>
    <row r="56" spans="1:9">
      <c r="A56" s="126"/>
      <c r="B56" s="126"/>
      <c r="F56" s="128"/>
      <c r="G56" s="127"/>
      <c r="I56" s="126"/>
    </row>
    <row r="57" spans="1:9">
      <c r="A57" s="126"/>
      <c r="B57" s="126"/>
      <c r="D57" s="126"/>
      <c r="E57" s="128"/>
      <c r="F57" s="128"/>
      <c r="G57" s="126"/>
    </row>
    <row r="59" spans="1:9">
      <c r="E59" s="125"/>
      <c r="F59" s="125"/>
      <c r="G59" s="124"/>
      <c r="I59" s="126"/>
    </row>
    <row r="60" spans="1:9" ht="18">
      <c r="A60" s="129"/>
    </row>
    <row r="61" spans="1:9">
      <c r="A61" s="126"/>
      <c r="B61" s="126"/>
      <c r="E61" s="128"/>
      <c r="F61" s="128"/>
      <c r="G61" s="127"/>
      <c r="I61" s="126"/>
    </row>
    <row r="62" spans="1:9">
      <c r="A62" s="126"/>
      <c r="B62" s="126"/>
      <c r="E62" s="128"/>
      <c r="F62" s="128"/>
      <c r="G62" s="127"/>
      <c r="I62" s="126"/>
    </row>
    <row r="63" spans="1:9">
      <c r="E63" s="128"/>
      <c r="F63" s="128"/>
      <c r="G63" s="127"/>
    </row>
    <row r="64" spans="1:9">
      <c r="A64" s="126"/>
      <c r="B64" s="126"/>
      <c r="E64" s="128"/>
      <c r="F64" s="128"/>
      <c r="G64" s="127"/>
      <c r="I64" s="126"/>
    </row>
    <row r="65" spans="1:9">
      <c r="E65" s="128"/>
      <c r="F65" s="128"/>
      <c r="G65" s="127"/>
    </row>
    <row r="66" spans="1:9">
      <c r="A66" s="126"/>
      <c r="B66" s="126"/>
      <c r="E66" s="128"/>
      <c r="F66" s="128"/>
      <c r="G66" s="127"/>
      <c r="I66" s="126"/>
    </row>
    <row r="67" spans="1:9">
      <c r="E67" s="128"/>
      <c r="F67" s="128"/>
      <c r="G67" s="127"/>
    </row>
    <row r="68" spans="1:9">
      <c r="A68" s="126"/>
      <c r="B68" s="126"/>
      <c r="E68" s="128"/>
      <c r="G68" s="127"/>
      <c r="I68" s="126"/>
    </row>
    <row r="69" spans="1:9">
      <c r="A69" s="126"/>
      <c r="B69" s="126"/>
      <c r="F69" s="128"/>
      <c r="G69" s="127"/>
      <c r="I69" s="126"/>
    </row>
    <row r="70" spans="1:9">
      <c r="F70" s="128"/>
      <c r="G70" s="127"/>
    </row>
    <row r="71" spans="1:9">
      <c r="A71" s="126"/>
      <c r="B71" s="126"/>
      <c r="F71" s="128"/>
      <c r="G71" s="127"/>
      <c r="I71" s="126"/>
    </row>
    <row r="72" spans="1:9">
      <c r="F72" s="128"/>
      <c r="G72" s="127"/>
    </row>
    <row r="73" spans="1:9">
      <c r="C73" s="126"/>
      <c r="E73" s="125"/>
      <c r="F73" s="125"/>
      <c r="G73" s="124"/>
      <c r="I73" s="126"/>
    </row>
    <row r="74" spans="1:9">
      <c r="E74" s="128"/>
      <c r="F74" s="128"/>
      <c r="G74" s="127"/>
    </row>
    <row r="75" spans="1:9" ht="18">
      <c r="A75" s="129"/>
    </row>
    <row r="76" spans="1:9">
      <c r="A76" s="126"/>
      <c r="B76" s="126"/>
      <c r="E76" s="128"/>
      <c r="F76" s="128"/>
      <c r="G76" s="127"/>
      <c r="I76" s="126"/>
    </row>
    <row r="77" spans="1:9">
      <c r="A77" s="126"/>
      <c r="B77" s="126"/>
      <c r="E77" s="128"/>
      <c r="F77" s="128"/>
      <c r="G77" s="127"/>
      <c r="I77" s="126"/>
    </row>
    <row r="78" spans="1:9">
      <c r="E78" s="128"/>
      <c r="F78" s="128"/>
      <c r="G78" s="127"/>
    </row>
    <row r="79" spans="1:9">
      <c r="A79" s="126"/>
      <c r="B79" s="126"/>
      <c r="F79" s="128"/>
      <c r="G79" s="127"/>
      <c r="I79" s="126"/>
    </row>
    <row r="80" spans="1:9">
      <c r="F80" s="128"/>
      <c r="G80" s="127"/>
    </row>
    <row r="81" spans="1:9">
      <c r="A81" s="126"/>
      <c r="B81" s="126"/>
      <c r="E81" s="128"/>
      <c r="G81" s="127"/>
      <c r="I81" s="126"/>
    </row>
    <row r="82" spans="1:9">
      <c r="E82" s="128"/>
      <c r="G82" s="127"/>
    </row>
    <row r="83" spans="1:9">
      <c r="C83" s="126"/>
      <c r="E83" s="125"/>
      <c r="F83" s="125"/>
      <c r="G83" s="124"/>
      <c r="I83" s="126"/>
    </row>
    <row r="84" spans="1:9">
      <c r="E84" s="128"/>
      <c r="F84" s="128"/>
      <c r="G84" s="127"/>
    </row>
    <row r="85" spans="1:9" ht="18">
      <c r="A85" s="129"/>
    </row>
    <row r="86" spans="1:9">
      <c r="A86" s="126"/>
      <c r="B86" s="126"/>
      <c r="E86" s="128"/>
      <c r="F86" s="128"/>
      <c r="G86" s="127"/>
      <c r="I86" s="126"/>
    </row>
    <row r="87" spans="1:9">
      <c r="A87" s="126"/>
      <c r="B87" s="126"/>
      <c r="E87" s="128"/>
      <c r="F87" s="128"/>
      <c r="G87" s="127"/>
      <c r="I87" s="126"/>
    </row>
    <row r="88" spans="1:9">
      <c r="E88" s="128"/>
      <c r="F88" s="128"/>
      <c r="G88" s="127"/>
    </row>
    <row r="89" spans="1:9">
      <c r="A89" s="126"/>
      <c r="B89" s="126"/>
      <c r="E89" s="128"/>
      <c r="F89" s="128"/>
      <c r="G89" s="127"/>
      <c r="I89" s="126"/>
    </row>
    <row r="90" spans="1:9">
      <c r="E90" s="128"/>
      <c r="F90" s="128"/>
      <c r="G90" s="127"/>
    </row>
    <row r="91" spans="1:9">
      <c r="A91" s="126"/>
      <c r="B91" s="126"/>
      <c r="E91" s="128"/>
      <c r="G91" s="127"/>
      <c r="I91" s="126"/>
    </row>
    <row r="92" spans="1:9">
      <c r="C92" s="126"/>
      <c r="E92" s="125"/>
      <c r="F92" s="125"/>
      <c r="G92" s="124"/>
      <c r="I92" s="126"/>
    </row>
    <row r="93" spans="1:9">
      <c r="C93" s="126"/>
      <c r="D93" s="124"/>
      <c r="E93" s="125"/>
      <c r="F93" s="125"/>
      <c r="G93" s="1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workbookViewId="0">
      <selection sqref="A1:XFD1048576"/>
    </sheetView>
  </sheetViews>
  <sheetFormatPr defaultRowHeight="15"/>
  <cols>
    <col min="1" max="6" width="9.140625" style="343"/>
    <col min="7" max="8" width="11.85546875" style="346" customWidth="1"/>
    <col min="9" max="9" width="10.5703125" style="343" bestFit="1" customWidth="1"/>
    <col min="10" max="16384" width="9.140625" style="343"/>
  </cols>
  <sheetData>
    <row r="1" spans="1:8">
      <c r="A1" s="342"/>
      <c r="C1" s="342"/>
      <c r="G1" s="344"/>
      <c r="H1" s="344"/>
    </row>
    <row r="2" spans="1:8" ht="18">
      <c r="A2" s="345"/>
    </row>
    <row r="3" spans="1:8">
      <c r="A3" s="342"/>
      <c r="C3" s="342"/>
      <c r="H3" s="344"/>
    </row>
    <row r="4" spans="1:8">
      <c r="A4" s="342"/>
      <c r="C4" s="342"/>
      <c r="H4" s="344"/>
    </row>
    <row r="5" spans="1:8">
      <c r="A5" s="342"/>
      <c r="C5" s="342"/>
      <c r="H5" s="344"/>
    </row>
    <row r="6" spans="1:8">
      <c r="A6" s="342"/>
      <c r="C6" s="342"/>
      <c r="H6" s="344"/>
    </row>
    <row r="7" spans="1:8">
      <c r="A7" s="342"/>
      <c r="C7" s="342"/>
      <c r="H7" s="344"/>
    </row>
    <row r="8" spans="1:8">
      <c r="A8" s="342"/>
      <c r="C8" s="342"/>
      <c r="H8" s="344"/>
    </row>
    <row r="9" spans="1:8">
      <c r="A9" s="342"/>
      <c r="C9" s="342"/>
      <c r="H9" s="344"/>
    </row>
    <row r="10" spans="1:8">
      <c r="A10" s="342"/>
      <c r="C10" s="342"/>
      <c r="H10" s="344"/>
    </row>
    <row r="11" spans="1:8">
      <c r="A11" s="342"/>
      <c r="C11" s="342"/>
      <c r="H11" s="344"/>
    </row>
    <row r="12" spans="1:8">
      <c r="A12" s="342"/>
      <c r="C12" s="342"/>
      <c r="H12" s="344"/>
    </row>
    <row r="13" spans="1:8">
      <c r="H13" s="347"/>
    </row>
    <row r="14" spans="1:8" ht="18">
      <c r="A14" s="345"/>
    </row>
    <row r="15" spans="1:8">
      <c r="A15" s="342"/>
      <c r="C15" s="342"/>
      <c r="G15" s="344"/>
    </row>
    <row r="16" spans="1:8">
      <c r="A16" s="342"/>
      <c r="C16" s="342"/>
      <c r="G16" s="344"/>
    </row>
    <row r="17" spans="1:9">
      <c r="A17" s="342"/>
      <c r="C17" s="342"/>
      <c r="G17" s="344"/>
      <c r="I17" s="348"/>
    </row>
    <row r="18" spans="1:9">
      <c r="A18" s="342"/>
      <c r="C18" s="342"/>
      <c r="G18" s="344"/>
    </row>
    <row r="19" spans="1:9">
      <c r="A19" s="342"/>
      <c r="C19" s="342"/>
      <c r="G19" s="344"/>
    </row>
    <row r="20" spans="1:9">
      <c r="A20" s="342"/>
      <c r="C20" s="342"/>
      <c r="G20" s="344"/>
    </row>
    <row r="21" spans="1:9">
      <c r="A21" s="342"/>
      <c r="C21" s="342"/>
      <c r="G21" s="344"/>
    </row>
    <row r="22" spans="1:9">
      <c r="A22" s="342"/>
      <c r="C22" s="342"/>
      <c r="G22" s="344"/>
    </row>
    <row r="23" spans="1:9">
      <c r="A23" s="342"/>
      <c r="C23" s="342"/>
      <c r="G23" s="344"/>
    </row>
    <row r="24" spans="1:9">
      <c r="A24" s="342"/>
      <c r="C24" s="342"/>
      <c r="G24" s="344"/>
    </row>
    <row r="25" spans="1:9">
      <c r="A25" s="342"/>
      <c r="C25" s="342"/>
      <c r="G25" s="344"/>
    </row>
    <row r="26" spans="1:9">
      <c r="A26" s="342"/>
      <c r="C26" s="342"/>
      <c r="G26" s="344"/>
    </row>
    <row r="27" spans="1:9">
      <c r="A27" s="342"/>
      <c r="C27" s="342"/>
      <c r="G27" s="344"/>
      <c r="I27" s="348"/>
    </row>
    <row r="28" spans="1:9">
      <c r="A28" s="342"/>
      <c r="C28" s="342"/>
      <c r="G28" s="344"/>
    </row>
    <row r="29" spans="1:9">
      <c r="A29" s="342"/>
      <c r="C29" s="342"/>
      <c r="G29" s="344"/>
    </row>
    <row r="30" spans="1:9">
      <c r="A30" s="342"/>
      <c r="C30" s="342"/>
      <c r="G30" s="344"/>
    </row>
    <row r="31" spans="1:9">
      <c r="A31" s="342"/>
      <c r="C31" s="342"/>
      <c r="G31" s="344"/>
    </row>
    <row r="32" spans="1:9">
      <c r="A32" s="342"/>
      <c r="C32" s="342"/>
      <c r="G32" s="344"/>
    </row>
    <row r="33" spans="7:7">
      <c r="G33" s="347"/>
    </row>
  </sheetData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B1:J29"/>
  <sheetViews>
    <sheetView workbookViewId="0">
      <selection sqref="A1:XFD1048576"/>
    </sheetView>
  </sheetViews>
  <sheetFormatPr defaultRowHeight="15"/>
  <cols>
    <col min="1" max="5" width="9.140625" style="263"/>
    <col min="6" max="7" width="15.42578125" style="263" customWidth="1"/>
    <col min="8" max="9" width="9.140625" style="263"/>
    <col min="10" max="10" width="15.28515625" style="263" customWidth="1"/>
    <col min="11" max="16384" width="9.140625" style="263"/>
  </cols>
  <sheetData>
    <row r="1" spans="2:10">
      <c r="B1" s="264"/>
      <c r="C1" s="264"/>
      <c r="G1" s="264"/>
      <c r="J1" s="264"/>
    </row>
    <row r="2" spans="2:10" ht="18">
      <c r="B2" s="265"/>
    </row>
    <row r="3" spans="2:10">
      <c r="B3" s="264"/>
      <c r="C3" s="264"/>
      <c r="J3" s="261"/>
    </row>
    <row r="4" spans="2:10">
      <c r="B4" s="264"/>
      <c r="C4" s="264"/>
      <c r="J4" s="261"/>
    </row>
    <row r="5" spans="2:10">
      <c r="B5" s="264"/>
      <c r="C5" s="264"/>
      <c r="J5" s="261"/>
    </row>
    <row r="6" spans="2:10">
      <c r="J6" s="262"/>
    </row>
    <row r="7" spans="2:10" ht="18">
      <c r="B7" s="265"/>
    </row>
    <row r="8" spans="2:10">
      <c r="B8" s="264"/>
      <c r="C8" s="264"/>
      <c r="G8" s="261"/>
    </row>
    <row r="9" spans="2:10">
      <c r="B9" s="264"/>
      <c r="C9" s="264"/>
      <c r="G9" s="261"/>
    </row>
    <row r="10" spans="2:10">
      <c r="B10" s="264"/>
      <c r="C10" s="264"/>
      <c r="G10" s="261"/>
    </row>
    <row r="11" spans="2:10">
      <c r="B11" s="264"/>
      <c r="C11" s="264"/>
      <c r="G11" s="261"/>
    </row>
    <row r="12" spans="2:10">
      <c r="B12" s="264"/>
      <c r="C12" s="264"/>
      <c r="G12" s="261"/>
    </row>
    <row r="13" spans="2:10">
      <c r="B13" s="264"/>
      <c r="C13" s="264"/>
      <c r="G13" s="261"/>
    </row>
    <row r="14" spans="2:10">
      <c r="B14" s="264"/>
      <c r="C14" s="264"/>
      <c r="G14" s="261"/>
    </row>
    <row r="15" spans="2:10">
      <c r="B15" s="264"/>
      <c r="C15" s="264"/>
      <c r="G15" s="261"/>
    </row>
    <row r="16" spans="2:10">
      <c r="B16" s="264"/>
      <c r="C16" s="264"/>
      <c r="G16" s="261"/>
    </row>
    <row r="17" spans="2:10">
      <c r="B17" s="264"/>
      <c r="C17" s="264"/>
      <c r="G17" s="261"/>
    </row>
    <row r="18" spans="2:10">
      <c r="B18" s="264"/>
      <c r="C18" s="264"/>
      <c r="G18" s="261"/>
    </row>
    <row r="19" spans="2:10">
      <c r="B19" s="264"/>
      <c r="C19" s="264"/>
      <c r="G19" s="261"/>
    </row>
    <row r="20" spans="2:10">
      <c r="B20" s="264"/>
      <c r="C20" s="264"/>
      <c r="G20" s="261"/>
    </row>
    <row r="21" spans="2:10">
      <c r="B21" s="264"/>
      <c r="C21" s="264"/>
      <c r="G21" s="261"/>
    </row>
    <row r="22" spans="2:10">
      <c r="B22" s="264"/>
      <c r="C22" s="264"/>
      <c r="G22" s="349"/>
      <c r="H22" s="350"/>
      <c r="I22" s="350"/>
      <c r="J22" s="350"/>
    </row>
    <row r="23" spans="2:10">
      <c r="B23" s="264"/>
      <c r="C23" s="264"/>
      <c r="G23" s="261"/>
    </row>
    <row r="24" spans="2:10">
      <c r="B24" s="264"/>
      <c r="C24" s="264"/>
      <c r="G24" s="261"/>
    </row>
    <row r="25" spans="2:10">
      <c r="B25" s="264"/>
      <c r="C25" s="264"/>
      <c r="G25" s="261"/>
    </row>
    <row r="26" spans="2:10">
      <c r="B26" s="264"/>
      <c r="C26" s="264"/>
      <c r="G26" s="261"/>
    </row>
    <row r="27" spans="2:10">
      <c r="B27" s="264"/>
      <c r="C27" s="264"/>
      <c r="G27" s="261"/>
    </row>
    <row r="28" spans="2:10">
      <c r="G28" s="262"/>
    </row>
    <row r="29" spans="2:10">
      <c r="B29" s="266"/>
      <c r="J29" s="262"/>
    </row>
  </sheetData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N37"/>
  <sheetViews>
    <sheetView workbookViewId="0">
      <selection activeCell="D17" sqref="D17"/>
    </sheetView>
  </sheetViews>
  <sheetFormatPr defaultRowHeight="15"/>
  <cols>
    <col min="1" max="1" width="31.42578125" customWidth="1"/>
    <col min="2" max="2" width="13.42578125" customWidth="1"/>
    <col min="3" max="3" width="14.140625" customWidth="1"/>
    <col min="4" max="4" width="13.42578125" customWidth="1"/>
    <col min="5" max="5" width="29.28515625" customWidth="1"/>
    <col min="6" max="7" width="13.42578125" bestFit="1" customWidth="1"/>
    <col min="8" max="8" width="13.28515625" bestFit="1" customWidth="1"/>
    <col min="9" max="9" width="14.140625" customWidth="1"/>
  </cols>
  <sheetData>
    <row r="1" spans="1:14">
      <c r="I1" s="226"/>
      <c r="J1" s="227"/>
      <c r="K1" s="227"/>
      <c r="L1" s="227"/>
      <c r="M1" s="227"/>
      <c r="N1" s="228"/>
    </row>
    <row r="2" spans="1:14">
      <c r="A2" s="119" t="s">
        <v>185</v>
      </c>
      <c r="B2">
        <v>2010</v>
      </c>
      <c r="E2" s="118" t="s">
        <v>185</v>
      </c>
      <c r="I2" s="229">
        <v>2009</v>
      </c>
      <c r="J2" s="116"/>
      <c r="K2" s="116"/>
      <c r="L2" s="221" t="s">
        <v>185</v>
      </c>
      <c r="M2" s="116"/>
      <c r="N2" s="230"/>
    </row>
    <row r="3" spans="1:14">
      <c r="A3" t="s">
        <v>178</v>
      </c>
      <c r="B3" s="61">
        <v>1942908</v>
      </c>
      <c r="C3" s="113"/>
      <c r="E3" s="118" t="s">
        <v>198</v>
      </c>
      <c r="F3" s="61"/>
      <c r="I3" s="231">
        <v>1521600</v>
      </c>
      <c r="J3" s="170"/>
      <c r="K3" s="116"/>
      <c r="L3" s="221" t="s">
        <v>198</v>
      </c>
      <c r="M3" s="146">
        <v>121500</v>
      </c>
      <c r="N3" s="230"/>
    </row>
    <row r="4" spans="1:14">
      <c r="A4" t="s">
        <v>180</v>
      </c>
      <c r="B4" s="61">
        <v>291439</v>
      </c>
      <c r="E4" t="s">
        <v>179</v>
      </c>
      <c r="I4" s="231">
        <v>250720</v>
      </c>
      <c r="J4" s="116"/>
      <c r="K4" s="116"/>
      <c r="L4" s="116" t="s">
        <v>179</v>
      </c>
      <c r="M4" s="116"/>
      <c r="N4" s="230">
        <v>121500</v>
      </c>
    </row>
    <row r="5" spans="1:14">
      <c r="A5" t="s">
        <v>181</v>
      </c>
      <c r="B5" s="61">
        <v>184573</v>
      </c>
      <c r="I5" s="231">
        <v>144551</v>
      </c>
      <c r="J5" s="116"/>
      <c r="K5" s="116"/>
      <c r="L5" s="116"/>
      <c r="M5" s="116"/>
      <c r="N5" s="230"/>
    </row>
    <row r="6" spans="1:14">
      <c r="A6" t="s">
        <v>182</v>
      </c>
      <c r="B6" s="61">
        <v>66060</v>
      </c>
      <c r="D6" s="61">
        <f>B6/2</f>
        <v>33030</v>
      </c>
      <c r="I6" s="231">
        <v>51734</v>
      </c>
      <c r="J6" s="116"/>
      <c r="K6" s="146">
        <f>I6/2</f>
        <v>25867</v>
      </c>
      <c r="L6" s="116"/>
      <c r="M6" s="116"/>
      <c r="N6" s="230"/>
    </row>
    <row r="7" spans="1:14">
      <c r="A7" t="s">
        <v>179</v>
      </c>
      <c r="B7" s="61">
        <v>386441</v>
      </c>
      <c r="C7" s="61"/>
      <c r="D7" s="123">
        <f>D6+B4</f>
        <v>324469</v>
      </c>
      <c r="E7" s="122" t="s">
        <v>197</v>
      </c>
      <c r="I7" s="231"/>
      <c r="J7" s="146">
        <v>447005</v>
      </c>
      <c r="K7" s="232">
        <f>K6+I4</f>
        <v>276587</v>
      </c>
      <c r="L7" s="233" t="s">
        <v>197</v>
      </c>
      <c r="M7" s="116"/>
      <c r="N7" s="230"/>
    </row>
    <row r="8" spans="1:14">
      <c r="A8" t="s">
        <v>183</v>
      </c>
      <c r="B8" s="61">
        <v>0</v>
      </c>
      <c r="C8" t="s">
        <v>184</v>
      </c>
      <c r="I8" s="231">
        <v>10000</v>
      </c>
      <c r="J8" s="116" t="s">
        <v>184</v>
      </c>
      <c r="K8" s="116"/>
      <c r="L8" s="116"/>
      <c r="M8" s="116"/>
      <c r="N8" s="230"/>
    </row>
    <row r="9" spans="1:14">
      <c r="A9" t="s">
        <v>130</v>
      </c>
      <c r="B9" s="61">
        <v>3544</v>
      </c>
      <c r="I9" s="229"/>
      <c r="J9" s="116"/>
      <c r="K9" s="116"/>
      <c r="L9" s="116"/>
      <c r="M9" s="116"/>
      <c r="N9" s="230"/>
    </row>
    <row r="10" spans="1:14">
      <c r="A10" t="s">
        <v>183</v>
      </c>
      <c r="B10" s="61">
        <v>38908</v>
      </c>
      <c r="I10" s="229"/>
      <c r="J10" s="116"/>
      <c r="K10" s="116"/>
      <c r="L10" s="116"/>
      <c r="M10" s="116"/>
      <c r="N10" s="230"/>
    </row>
    <row r="11" spans="1:14">
      <c r="A11" t="s">
        <v>1266</v>
      </c>
      <c r="B11">
        <v>203183</v>
      </c>
      <c r="I11" s="229"/>
      <c r="J11" s="116"/>
      <c r="K11" s="116"/>
      <c r="L11" s="116"/>
      <c r="M11" s="116"/>
      <c r="N11" s="230"/>
    </row>
    <row r="12" spans="1:14">
      <c r="I12" s="229">
        <v>2009</v>
      </c>
      <c r="J12" s="116"/>
      <c r="K12" s="116"/>
      <c r="L12" s="116"/>
      <c r="M12" s="116"/>
      <c r="N12" s="230"/>
    </row>
    <row r="13" spans="1:14" ht="15.75" thickBot="1">
      <c r="I13" s="231">
        <v>42903798</v>
      </c>
      <c r="J13" s="116"/>
      <c r="K13" s="116"/>
      <c r="L13" s="116"/>
      <c r="M13" s="116"/>
      <c r="N13" s="230"/>
    </row>
    <row r="14" spans="1:14">
      <c r="A14" s="279" t="s">
        <v>156</v>
      </c>
      <c r="B14" s="228">
        <v>2010</v>
      </c>
      <c r="I14" s="231">
        <v>42903798</v>
      </c>
      <c r="J14" s="116"/>
      <c r="K14" s="116"/>
      <c r="L14" s="116"/>
      <c r="M14" s="116"/>
      <c r="N14" s="230"/>
    </row>
    <row r="15" spans="1:14">
      <c r="A15" s="229" t="s">
        <v>186</v>
      </c>
      <c r="B15" s="242">
        <f>'SHITJE 09'!D17</f>
        <v>186942475</v>
      </c>
      <c r="I15" s="231">
        <v>8580759</v>
      </c>
      <c r="J15" s="116"/>
      <c r="K15" s="116"/>
      <c r="L15" s="116"/>
      <c r="M15" s="116"/>
      <c r="N15" s="230"/>
    </row>
    <row r="16" spans="1:14">
      <c r="A16" s="229" t="s">
        <v>187</v>
      </c>
      <c r="B16" s="242">
        <f>B15</f>
        <v>186942475</v>
      </c>
      <c r="I16" s="234">
        <v>16519</v>
      </c>
      <c r="J16" s="116"/>
      <c r="K16" s="116"/>
      <c r="L16" s="116"/>
      <c r="M16" s="116"/>
      <c r="N16" s="230"/>
    </row>
    <row r="17" spans="1:14">
      <c r="A17" s="229" t="s">
        <v>188</v>
      </c>
      <c r="B17" s="242">
        <f>'SHITJE 09'!E17</f>
        <v>37388495</v>
      </c>
      <c r="F17" s="113"/>
      <c r="I17" s="231">
        <v>1885083</v>
      </c>
      <c r="J17" s="116"/>
      <c r="K17" s="116"/>
      <c r="L17" s="116"/>
      <c r="M17" s="116"/>
      <c r="N17" s="230"/>
    </row>
    <row r="18" spans="1:14">
      <c r="A18" s="229" t="s">
        <v>189</v>
      </c>
      <c r="B18" s="280">
        <v>249200</v>
      </c>
      <c r="I18" s="231">
        <v>326822100</v>
      </c>
      <c r="J18" s="116"/>
      <c r="K18" s="116"/>
      <c r="L18" s="116"/>
      <c r="M18" s="116"/>
      <c r="N18" s="230"/>
    </row>
    <row r="19" spans="1:14">
      <c r="A19" s="229" t="s">
        <v>190</v>
      </c>
      <c r="B19" s="242">
        <f>BLERJE!C14</f>
        <v>4482276</v>
      </c>
      <c r="I19" s="234">
        <v>6536420</v>
      </c>
      <c r="J19" s="116"/>
      <c r="K19" s="116"/>
      <c r="L19" s="116"/>
      <c r="M19" s="116"/>
      <c r="N19" s="230"/>
    </row>
    <row r="20" spans="1:14">
      <c r="A20" s="229" t="s">
        <v>191</v>
      </c>
      <c r="B20" s="242">
        <f>BLERJE!D14</f>
        <v>93040440</v>
      </c>
      <c r="I20" s="231">
        <v>11290868</v>
      </c>
      <c r="J20" s="116"/>
      <c r="K20" s="116"/>
      <c r="L20" s="116"/>
      <c r="M20" s="116"/>
      <c r="N20" s="230"/>
    </row>
    <row r="21" spans="1:14">
      <c r="A21" s="229" t="s">
        <v>192</v>
      </c>
      <c r="B21" s="281">
        <f>B20*0.2</f>
        <v>18608088</v>
      </c>
      <c r="I21" s="234">
        <v>2258173</v>
      </c>
      <c r="J21" s="116"/>
      <c r="K21" s="116"/>
      <c r="L21" s="116"/>
      <c r="M21" s="116"/>
      <c r="N21" s="230"/>
    </row>
    <row r="22" spans="1:14">
      <c r="A22" s="229" t="s">
        <v>193</v>
      </c>
      <c r="B22" s="242">
        <f>BLERJE!E14</f>
        <v>89620184</v>
      </c>
      <c r="I22" s="235">
        <v>-1299163</v>
      </c>
      <c r="J22" s="116"/>
      <c r="K22" s="116"/>
      <c r="L22" s="116"/>
      <c r="M22" s="116"/>
      <c r="N22" s="230"/>
    </row>
    <row r="23" spans="1:14" ht="15.75" thickBot="1">
      <c r="A23" s="229" t="s">
        <v>194</v>
      </c>
      <c r="B23" s="281">
        <f>B22*0.2</f>
        <v>17924036.800000001</v>
      </c>
      <c r="I23" s="236">
        <f>I15-I16-I19-I21+I22</f>
        <v>-1529516</v>
      </c>
      <c r="J23" s="237"/>
      <c r="K23" s="237"/>
      <c r="L23" s="237"/>
      <c r="M23" s="237"/>
      <c r="N23" s="238"/>
    </row>
    <row r="24" spans="1:14">
      <c r="A24" s="282" t="s">
        <v>943</v>
      </c>
      <c r="B24" s="283">
        <f>I23</f>
        <v>-1529516</v>
      </c>
      <c r="F24" s="358"/>
    </row>
    <row r="25" spans="1:14" ht="15.75" thickBot="1">
      <c r="A25" s="284" t="s">
        <v>944</v>
      </c>
      <c r="B25" s="285">
        <f>B17-B18-B21-B23+B24</f>
        <v>-922345.80000000075</v>
      </c>
      <c r="F25" s="358"/>
    </row>
    <row r="27" spans="1:14">
      <c r="F27" s="358"/>
      <c r="G27" s="358"/>
      <c r="H27" s="358"/>
    </row>
    <row r="28" spans="1:14" ht="15.75" thickBot="1">
      <c r="A28" s="421" t="s">
        <v>1267</v>
      </c>
      <c r="B28" s="421"/>
      <c r="C28" s="421"/>
      <c r="D28" s="421"/>
      <c r="F28" s="358"/>
      <c r="G28" s="358"/>
      <c r="H28" s="358"/>
    </row>
    <row r="29" spans="1:14" ht="15.75" thickTop="1">
      <c r="C29" t="s">
        <v>1136</v>
      </c>
      <c r="D29" t="s">
        <v>1265</v>
      </c>
      <c r="F29" s="358"/>
      <c r="G29" s="358"/>
      <c r="H29" s="358"/>
    </row>
    <row r="30" spans="1:14">
      <c r="A30">
        <v>641</v>
      </c>
      <c r="C30" s="358">
        <f>B3</f>
        <v>1942908</v>
      </c>
      <c r="D30" s="358"/>
      <c r="F30" s="358"/>
      <c r="G30" s="358"/>
      <c r="H30" s="358"/>
    </row>
    <row r="31" spans="1:14">
      <c r="A31">
        <v>644</v>
      </c>
      <c r="C31" s="358">
        <f>D7</f>
        <v>324469</v>
      </c>
      <c r="D31" s="358"/>
      <c r="G31" s="358"/>
      <c r="H31" s="358"/>
    </row>
    <row r="32" spans="1:14">
      <c r="A32">
        <v>442</v>
      </c>
      <c r="C32" s="358"/>
      <c r="D32" s="358">
        <v>135110</v>
      </c>
    </row>
    <row r="33" spans="1:4">
      <c r="A33">
        <v>431</v>
      </c>
      <c r="C33" s="358"/>
      <c r="D33" s="358">
        <f>B4+B5+B6</f>
        <v>542072</v>
      </c>
    </row>
    <row r="34" spans="1:4">
      <c r="A34">
        <v>421</v>
      </c>
      <c r="C34" s="358"/>
      <c r="D34" s="358">
        <v>1590195</v>
      </c>
    </row>
    <row r="35" spans="1:4">
      <c r="C35" s="351">
        <f>SUM(C30:C33)</f>
        <v>2267377</v>
      </c>
      <c r="D35" s="351">
        <f>SUM(D30:D34)</f>
        <v>2267377</v>
      </c>
    </row>
    <row r="36" spans="1:4">
      <c r="D36" s="113"/>
    </row>
    <row r="37" spans="1:4">
      <c r="D37" s="113">
        <f>C35-D35</f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B1:O17"/>
  <sheetViews>
    <sheetView zoomScale="85" zoomScaleNormal="85" workbookViewId="0">
      <selection sqref="A1:XFD1048576"/>
    </sheetView>
  </sheetViews>
  <sheetFormatPr defaultRowHeight="15"/>
  <cols>
    <col min="2" max="2" width="12.140625" customWidth="1"/>
    <col min="3" max="3" width="21.42578125" customWidth="1"/>
    <col min="4" max="5" width="17" customWidth="1"/>
    <col min="6" max="6" width="15.28515625" customWidth="1"/>
    <col min="9" max="9" width="12.7109375" customWidth="1"/>
    <col min="12" max="12" width="12.28515625" customWidth="1"/>
    <col min="13" max="13" width="12.42578125" customWidth="1"/>
    <col min="14" max="14" width="13.5703125" customWidth="1"/>
    <col min="15" max="15" width="11.7109375" customWidth="1"/>
  </cols>
  <sheetData>
    <row r="1" spans="2:15">
      <c r="B1" s="244">
        <v>2010</v>
      </c>
      <c r="C1" s="227" t="s">
        <v>171</v>
      </c>
      <c r="D1" s="227" t="s">
        <v>170</v>
      </c>
      <c r="E1" s="227" t="s">
        <v>942</v>
      </c>
      <c r="F1" s="228" t="s">
        <v>156</v>
      </c>
      <c r="I1" s="50" t="s">
        <v>410</v>
      </c>
      <c r="K1" s="118">
        <v>2009</v>
      </c>
      <c r="L1" t="s">
        <v>169</v>
      </c>
      <c r="M1" t="s">
        <v>170</v>
      </c>
      <c r="N1" t="s">
        <v>171</v>
      </c>
    </row>
    <row r="2" spans="2:15">
      <c r="B2" s="229" t="s">
        <v>157</v>
      </c>
      <c r="C2" s="146">
        <v>42000</v>
      </c>
      <c r="D2" s="146">
        <v>796750</v>
      </c>
      <c r="E2" s="146">
        <v>2640892</v>
      </c>
      <c r="F2" s="242">
        <f>(D2+E2)*0.2</f>
        <v>687528.4</v>
      </c>
      <c r="I2">
        <f>SUM(J2:L2)</f>
        <v>1928922</v>
      </c>
      <c r="K2" t="s">
        <v>157</v>
      </c>
      <c r="L2" s="61">
        <v>1928922</v>
      </c>
      <c r="M2" s="61"/>
      <c r="N2" s="61">
        <v>110250</v>
      </c>
    </row>
    <row r="3" spans="2:15">
      <c r="B3" s="229" t="s">
        <v>158</v>
      </c>
      <c r="C3" s="146">
        <v>161228</v>
      </c>
      <c r="D3" s="146">
        <v>4158945</v>
      </c>
      <c r="E3" s="146">
        <v>535286</v>
      </c>
      <c r="F3" s="242">
        <f t="shared" ref="F3:F13" si="0">(D3+E3)*0.2</f>
        <v>938846.20000000007</v>
      </c>
      <c r="I3">
        <f t="shared" ref="I3:I13" si="1">SUM(J3:L3)</f>
        <v>426371</v>
      </c>
      <c r="K3" t="s">
        <v>158</v>
      </c>
      <c r="L3" s="61">
        <v>426371</v>
      </c>
      <c r="M3" s="61"/>
      <c r="N3" s="61">
        <v>29000</v>
      </c>
    </row>
    <row r="4" spans="2:15">
      <c r="B4" s="229" t="s">
        <v>159</v>
      </c>
      <c r="C4" s="146">
        <v>246450</v>
      </c>
      <c r="D4" s="146">
        <v>3250600</v>
      </c>
      <c r="E4" s="146">
        <v>756992</v>
      </c>
      <c r="F4" s="242">
        <f t="shared" si="0"/>
        <v>801518.4</v>
      </c>
      <c r="I4">
        <f t="shared" si="1"/>
        <v>771299</v>
      </c>
      <c r="K4" t="s">
        <v>159</v>
      </c>
      <c r="L4" s="61">
        <v>771299</v>
      </c>
      <c r="M4" s="61">
        <v>301855</v>
      </c>
      <c r="N4" s="61">
        <v>39360</v>
      </c>
    </row>
    <row r="5" spans="2:15">
      <c r="B5" s="229" t="s">
        <v>160</v>
      </c>
      <c r="C5" s="146">
        <v>165585</v>
      </c>
      <c r="D5" s="146">
        <v>333170</v>
      </c>
      <c r="E5" s="146">
        <v>2707002</v>
      </c>
      <c r="F5" s="242">
        <f t="shared" si="0"/>
        <v>608034.4</v>
      </c>
      <c r="I5">
        <f t="shared" si="1"/>
        <v>386573.5</v>
      </c>
      <c r="K5" t="s">
        <v>160</v>
      </c>
      <c r="L5" s="61">
        <v>386573.5</v>
      </c>
      <c r="M5" s="61"/>
      <c r="N5" s="61">
        <v>29000</v>
      </c>
    </row>
    <row r="6" spans="2:15">
      <c r="B6" s="229" t="s">
        <v>161</v>
      </c>
      <c r="C6" s="146">
        <v>549815</v>
      </c>
      <c r="D6" s="146">
        <v>17431995</v>
      </c>
      <c r="E6" s="146">
        <v>6572918</v>
      </c>
      <c r="F6" s="242">
        <f t="shared" si="0"/>
        <v>4800982.6000000006</v>
      </c>
      <c r="I6">
        <f t="shared" si="1"/>
        <v>68889</v>
      </c>
      <c r="K6" t="s">
        <v>161</v>
      </c>
      <c r="L6" s="61">
        <v>68889</v>
      </c>
      <c r="M6" s="61">
        <v>4676400</v>
      </c>
      <c r="N6" s="61">
        <v>29000</v>
      </c>
    </row>
    <row r="7" spans="2:15">
      <c r="B7" s="229" t="s">
        <v>162</v>
      </c>
      <c r="C7" s="146">
        <v>523918</v>
      </c>
      <c r="D7" s="146">
        <v>16241765</v>
      </c>
      <c r="E7" s="146">
        <v>2683538</v>
      </c>
      <c r="F7" s="242">
        <f t="shared" si="0"/>
        <v>3785060.6</v>
      </c>
      <c r="I7">
        <f t="shared" si="1"/>
        <v>890331</v>
      </c>
      <c r="K7" t="s">
        <v>162</v>
      </c>
      <c r="L7" s="61">
        <v>890331</v>
      </c>
      <c r="M7" s="61">
        <v>616385</v>
      </c>
      <c r="N7" s="61">
        <v>29000</v>
      </c>
    </row>
    <row r="8" spans="2:15">
      <c r="B8" s="229" t="s">
        <v>163</v>
      </c>
      <c r="C8" s="146">
        <v>132710</v>
      </c>
      <c r="D8" s="146">
        <v>13175845</v>
      </c>
      <c r="E8" s="146">
        <v>5337669</v>
      </c>
      <c r="F8" s="242">
        <f t="shared" si="0"/>
        <v>3702702.8000000003</v>
      </c>
      <c r="I8">
        <f t="shared" si="1"/>
        <v>46516</v>
      </c>
      <c r="K8" t="s">
        <v>163</v>
      </c>
      <c r="L8" s="61">
        <v>46516</v>
      </c>
      <c r="M8" s="61">
        <v>9137605</v>
      </c>
      <c r="N8" s="61">
        <v>653709</v>
      </c>
    </row>
    <row r="9" spans="2:15">
      <c r="B9" s="229" t="s">
        <v>164</v>
      </c>
      <c r="C9" s="146">
        <v>469549</v>
      </c>
      <c r="D9" s="146">
        <v>1223430</v>
      </c>
      <c r="E9" s="146">
        <v>15817364</v>
      </c>
      <c r="F9" s="242">
        <f t="shared" si="0"/>
        <v>3408158.8000000003</v>
      </c>
      <c r="I9">
        <f t="shared" si="1"/>
        <v>1145581</v>
      </c>
      <c r="K9" t="s">
        <v>164</v>
      </c>
      <c r="L9" s="61">
        <v>1145581</v>
      </c>
      <c r="M9" s="61">
        <v>104860</v>
      </c>
      <c r="N9" s="61">
        <v>70446</v>
      </c>
    </row>
    <row r="10" spans="2:15">
      <c r="B10" s="229" t="s">
        <v>165</v>
      </c>
      <c r="C10" s="146">
        <v>219004</v>
      </c>
      <c r="D10" s="146">
        <v>5588700</v>
      </c>
      <c r="E10" s="146">
        <v>13854236</v>
      </c>
      <c r="F10" s="242">
        <f t="shared" si="0"/>
        <v>3888587.2</v>
      </c>
      <c r="I10">
        <f t="shared" si="1"/>
        <v>2315496</v>
      </c>
      <c r="K10" t="s">
        <v>165</v>
      </c>
      <c r="L10" s="61">
        <v>2315496</v>
      </c>
      <c r="M10" s="61">
        <v>7461620</v>
      </c>
      <c r="N10" s="61">
        <v>280446</v>
      </c>
    </row>
    <row r="11" spans="2:15">
      <c r="B11" s="229" t="s">
        <v>166</v>
      </c>
      <c r="C11" s="146">
        <v>817617</v>
      </c>
      <c r="D11" s="146">
        <v>22837635</v>
      </c>
      <c r="E11" s="146">
        <v>6040768</v>
      </c>
      <c r="F11" s="242">
        <f t="shared" si="0"/>
        <v>5775680.6000000006</v>
      </c>
      <c r="I11">
        <f t="shared" si="1"/>
        <v>540044</v>
      </c>
      <c r="K11" t="s">
        <v>166</v>
      </c>
      <c r="L11" s="61">
        <v>540044</v>
      </c>
      <c r="M11" s="61">
        <v>1447265</v>
      </c>
      <c r="N11" s="61">
        <v>90177</v>
      </c>
    </row>
    <row r="12" spans="2:15">
      <c r="B12" s="229" t="s">
        <v>167</v>
      </c>
      <c r="C12" s="146">
        <v>148878</v>
      </c>
      <c r="D12" s="146">
        <v>3131670</v>
      </c>
      <c r="E12" s="146">
        <v>15249355</v>
      </c>
      <c r="F12" s="242">
        <f t="shared" si="0"/>
        <v>3676205</v>
      </c>
      <c r="I12">
        <f t="shared" si="1"/>
        <v>2557002</v>
      </c>
      <c r="K12" t="s">
        <v>167</v>
      </c>
      <c r="L12" s="61">
        <v>2557002</v>
      </c>
      <c r="M12" s="61">
        <v>5445150</v>
      </c>
      <c r="N12" s="61">
        <v>351396.5</v>
      </c>
    </row>
    <row r="13" spans="2:15" ht="15.75" thickBot="1">
      <c r="B13" s="229" t="s">
        <v>168</v>
      </c>
      <c r="C13" s="146">
        <v>1005522</v>
      </c>
      <c r="D13" s="146">
        <v>4869935</v>
      </c>
      <c r="E13" s="146">
        <v>17424164</v>
      </c>
      <c r="F13" s="242">
        <f t="shared" si="0"/>
        <v>4458819.8</v>
      </c>
      <c r="I13">
        <f t="shared" si="1"/>
        <v>213844</v>
      </c>
      <c r="K13" t="s">
        <v>168</v>
      </c>
      <c r="L13" s="61">
        <v>213844</v>
      </c>
      <c r="M13" s="61">
        <v>3490960</v>
      </c>
      <c r="N13" s="61">
        <v>173299.5</v>
      </c>
    </row>
    <row r="14" spans="2:15" ht="15.75" thickBot="1">
      <c r="B14" s="243"/>
      <c r="C14" s="240">
        <f>SUM(C2:C13)</f>
        <v>4482276</v>
      </c>
      <c r="D14" s="240">
        <f t="shared" ref="D14:E14" si="2">SUM(D2:D13)</f>
        <v>93040440</v>
      </c>
      <c r="E14" s="240">
        <f t="shared" si="2"/>
        <v>89620184</v>
      </c>
      <c r="F14" s="241">
        <f>SUM(F2:F13)</f>
        <v>36532124.799999997</v>
      </c>
      <c r="I14" s="239">
        <f>SUM(I2:I13)</f>
        <v>11290868.5</v>
      </c>
      <c r="L14" s="113">
        <f>SUM(L2:L13)</f>
        <v>11290868.5</v>
      </c>
      <c r="M14" s="61">
        <f>SUM(M1:M13)</f>
        <v>32682100</v>
      </c>
      <c r="N14" s="61">
        <f>SUM(N1:N13)</f>
        <v>1885084</v>
      </c>
      <c r="O14" s="113">
        <f>SUM(L14:N14)</f>
        <v>45858052.5</v>
      </c>
    </row>
    <row r="15" spans="2:15">
      <c r="D15" s="113"/>
    </row>
    <row r="16" spans="2:15">
      <c r="D16" s="113"/>
      <c r="E16" s="113">
        <f>SUM(D14:E14)</f>
        <v>182660624</v>
      </c>
    </row>
    <row r="17" spans="5:5">
      <c r="E17" s="113">
        <f>SUM(C14:E14)</f>
        <v>187142900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S486"/>
  <sheetViews>
    <sheetView zoomScale="85" zoomScaleNormal="85" workbookViewId="0">
      <selection sqref="A1:XFD1048576"/>
    </sheetView>
  </sheetViews>
  <sheetFormatPr defaultRowHeight="15"/>
  <cols>
    <col min="1" max="1" width="12.28515625" customWidth="1"/>
    <col min="2" max="2" width="31.85546875" customWidth="1"/>
    <col min="3" max="3" width="22.7109375" customWidth="1"/>
    <col min="4" max="4" width="12.28515625" customWidth="1"/>
    <col min="5" max="6" width="14.42578125" bestFit="1" customWidth="1"/>
    <col min="7" max="7" width="14.28515625" bestFit="1" customWidth="1"/>
    <col min="8" max="8" width="13.28515625" bestFit="1" customWidth="1"/>
    <col min="9" max="9" width="14.28515625" bestFit="1" customWidth="1"/>
  </cols>
  <sheetData>
    <row r="1" spans="1:7">
      <c r="C1" s="245" t="s">
        <v>411</v>
      </c>
      <c r="F1" s="222"/>
      <c r="G1" s="222"/>
    </row>
    <row r="2" spans="1:7">
      <c r="A2" s="245" t="s">
        <v>412</v>
      </c>
      <c r="F2" s="222"/>
      <c r="G2" s="222"/>
    </row>
    <row r="3" spans="1:7" ht="15.75" thickBot="1">
      <c r="A3" s="245" t="s">
        <v>413</v>
      </c>
      <c r="B3" t="s">
        <v>199</v>
      </c>
      <c r="C3" s="245" t="s">
        <v>414</v>
      </c>
      <c r="D3" s="245" t="s">
        <v>415</v>
      </c>
      <c r="E3" s="245"/>
      <c r="F3" s="222"/>
      <c r="G3" s="222"/>
    </row>
    <row r="4" spans="1:7">
      <c r="A4" s="253"/>
      <c r="B4" s="227"/>
      <c r="C4" s="254" t="s">
        <v>416</v>
      </c>
      <c r="D4" s="254" t="s">
        <v>417</v>
      </c>
      <c r="E4" s="255" t="s">
        <v>156</v>
      </c>
      <c r="F4" s="222"/>
      <c r="G4" s="222"/>
    </row>
    <row r="5" spans="1:7">
      <c r="A5" s="256" t="s">
        <v>418</v>
      </c>
      <c r="B5" s="116">
        <v>6082223.6600000001</v>
      </c>
      <c r="C5" s="257">
        <f>B5/1.2</f>
        <v>5068519.7166666668</v>
      </c>
      <c r="D5" s="257">
        <v>6985261</v>
      </c>
      <c r="E5" s="258">
        <f>D5*0.2</f>
        <v>1397052.2000000002</v>
      </c>
      <c r="F5" s="246"/>
      <c r="G5" s="246"/>
    </row>
    <row r="6" spans="1:7">
      <c r="A6" s="256" t="s">
        <v>419</v>
      </c>
      <c r="B6" s="116">
        <v>9240133.4800000004</v>
      </c>
      <c r="C6" s="257">
        <f t="shared" ref="C6:C16" si="0">B6/1.2</f>
        <v>7700111.2333333343</v>
      </c>
      <c r="D6" s="257">
        <v>7700068</v>
      </c>
      <c r="E6" s="258">
        <f t="shared" ref="E6:E18" si="1">D6*0.2</f>
        <v>1540013.6</v>
      </c>
      <c r="F6" s="246"/>
      <c r="G6" s="246"/>
    </row>
    <row r="7" spans="1:7">
      <c r="A7" s="256" t="s">
        <v>420</v>
      </c>
      <c r="B7" s="116">
        <v>346534.5</v>
      </c>
      <c r="C7" s="257">
        <f t="shared" si="0"/>
        <v>288778.75</v>
      </c>
      <c r="D7" s="257">
        <v>288780</v>
      </c>
      <c r="E7" s="258">
        <f t="shared" si="1"/>
        <v>57756</v>
      </c>
      <c r="F7" s="246"/>
      <c r="G7" s="246"/>
    </row>
    <row r="8" spans="1:7">
      <c r="A8" s="256" t="s">
        <v>421</v>
      </c>
      <c r="B8" s="116">
        <v>2074100.5</v>
      </c>
      <c r="C8" s="257">
        <f t="shared" si="0"/>
        <v>1728417.0833333335</v>
      </c>
      <c r="D8" s="257">
        <v>7495221</v>
      </c>
      <c r="E8" s="258">
        <f t="shared" si="1"/>
        <v>1499044.2000000002</v>
      </c>
      <c r="F8" s="246"/>
      <c r="G8" s="246"/>
    </row>
    <row r="9" spans="1:7">
      <c r="A9" s="256" t="s">
        <v>422</v>
      </c>
      <c r="B9" s="116">
        <v>26352085.5</v>
      </c>
      <c r="C9" s="257">
        <f t="shared" si="0"/>
        <v>21960071.25</v>
      </c>
      <c r="D9" s="257">
        <v>21871578</v>
      </c>
      <c r="E9" s="258">
        <f t="shared" si="1"/>
        <v>4374315.6000000006</v>
      </c>
      <c r="F9" s="246"/>
      <c r="G9" s="246"/>
    </row>
    <row r="10" spans="1:7">
      <c r="A10" s="256" t="s">
        <v>423</v>
      </c>
      <c r="B10" s="116">
        <v>1396654.65</v>
      </c>
      <c r="C10" s="257">
        <f t="shared" si="0"/>
        <v>1163878.875</v>
      </c>
      <c r="D10" s="257">
        <v>13330210</v>
      </c>
      <c r="E10" s="258">
        <f t="shared" si="1"/>
        <v>2666042</v>
      </c>
      <c r="F10" s="246"/>
      <c r="G10" s="246"/>
    </row>
    <row r="11" spans="1:7">
      <c r="A11" s="256" t="s">
        <v>424</v>
      </c>
      <c r="B11" s="116">
        <v>44966416.549999997</v>
      </c>
      <c r="C11" s="257">
        <f t="shared" si="0"/>
        <v>37472013.791666664</v>
      </c>
      <c r="D11" s="257">
        <v>27610570</v>
      </c>
      <c r="E11" s="258">
        <f t="shared" si="1"/>
        <v>5522114</v>
      </c>
      <c r="F11" s="246"/>
      <c r="G11" s="246"/>
    </row>
    <row r="12" spans="1:7">
      <c r="A12" s="256" t="s">
        <v>425</v>
      </c>
      <c r="B12" s="116">
        <v>19417408.5</v>
      </c>
      <c r="C12" s="257">
        <f t="shared" si="0"/>
        <v>16181173.75</v>
      </c>
      <c r="D12" s="257">
        <v>15976098</v>
      </c>
      <c r="E12" s="258">
        <f t="shared" si="1"/>
        <v>3195219.6</v>
      </c>
      <c r="F12" s="246"/>
      <c r="G12" s="246"/>
    </row>
    <row r="13" spans="1:7">
      <c r="A13" s="229" t="s">
        <v>426</v>
      </c>
      <c r="B13" s="116">
        <v>8842099.5</v>
      </c>
      <c r="C13" s="257">
        <f t="shared" si="0"/>
        <v>7368416.25</v>
      </c>
      <c r="D13" s="257">
        <v>19421510</v>
      </c>
      <c r="E13" s="258">
        <f t="shared" si="1"/>
        <v>3884302</v>
      </c>
      <c r="F13" s="246"/>
      <c r="G13" s="246"/>
    </row>
    <row r="14" spans="1:7">
      <c r="A14" s="229" t="s">
        <v>427</v>
      </c>
      <c r="B14" s="116">
        <v>19626995.5</v>
      </c>
      <c r="C14" s="257">
        <f t="shared" si="0"/>
        <v>16355829.583333334</v>
      </c>
      <c r="D14" s="257">
        <v>14581154</v>
      </c>
      <c r="E14" s="258">
        <f t="shared" si="1"/>
        <v>2916230.8000000003</v>
      </c>
      <c r="F14" s="246"/>
      <c r="G14" s="246"/>
    </row>
    <row r="15" spans="1:7">
      <c r="A15" s="229" t="s">
        <v>428</v>
      </c>
      <c r="B15" s="116">
        <v>52430535.5</v>
      </c>
      <c r="C15" s="257">
        <f t="shared" si="0"/>
        <v>43692112.916666672</v>
      </c>
      <c r="D15" s="257">
        <v>34001026</v>
      </c>
      <c r="E15" s="258">
        <f t="shared" si="1"/>
        <v>6800205.2000000002</v>
      </c>
      <c r="F15" s="246"/>
      <c r="G15" s="246"/>
    </row>
    <row r="16" spans="1:7">
      <c r="A16" s="229" t="s">
        <v>429</v>
      </c>
      <c r="B16" s="116">
        <v>20416888.5</v>
      </c>
      <c r="C16" s="257">
        <f t="shared" si="0"/>
        <v>17014073.75</v>
      </c>
      <c r="D16" s="257">
        <v>17680999</v>
      </c>
      <c r="E16" s="258">
        <f t="shared" si="1"/>
        <v>3536199.8000000003</v>
      </c>
      <c r="F16" s="246"/>
      <c r="G16" s="246"/>
    </row>
    <row r="17" spans="1:19">
      <c r="A17" s="229"/>
      <c r="B17" s="116">
        <f>SUM(B5:B16)</f>
        <v>211192076.34</v>
      </c>
      <c r="C17" s="257">
        <f>SUM(C5:C16)</f>
        <v>175993396.94999999</v>
      </c>
      <c r="D17" s="257">
        <f>SUM(D5:D16)</f>
        <v>186942475</v>
      </c>
      <c r="E17" s="258">
        <f t="shared" si="1"/>
        <v>37388495</v>
      </c>
      <c r="F17" s="246"/>
      <c r="G17" s="246"/>
    </row>
    <row r="18" spans="1:19">
      <c r="A18" s="229"/>
      <c r="B18" s="116"/>
      <c r="C18" s="116"/>
      <c r="D18" s="259">
        <f>14990827.88+171631148.9</f>
        <v>186621976.78</v>
      </c>
      <c r="E18" s="258">
        <f t="shared" si="1"/>
        <v>37324395.355999999</v>
      </c>
      <c r="F18" s="222"/>
      <c r="G18" s="222"/>
    </row>
    <row r="19" spans="1:19" ht="15.75" thickBot="1">
      <c r="A19" s="243"/>
      <c r="B19" s="237"/>
      <c r="C19" s="237"/>
      <c r="D19" s="260">
        <f>+D17-D18</f>
        <v>320498.21999999881</v>
      </c>
      <c r="E19" s="238"/>
    </row>
    <row r="20" spans="1:19" ht="30">
      <c r="B20" s="247" t="s">
        <v>430</v>
      </c>
    </row>
    <row r="21" spans="1:19">
      <c r="B21" s="248" t="s">
        <v>431</v>
      </c>
    </row>
    <row r="22" spans="1:19">
      <c r="P22" s="249" t="s">
        <v>432</v>
      </c>
    </row>
    <row r="23" spans="1:19">
      <c r="B23" s="248" t="s">
        <v>433</v>
      </c>
      <c r="C23" s="249" t="s">
        <v>434</v>
      </c>
    </row>
    <row r="24" spans="1:19">
      <c r="B24" s="248" t="s">
        <v>435</v>
      </c>
      <c r="G24" s="239" t="s">
        <v>436</v>
      </c>
      <c r="J24" s="239" t="s">
        <v>437</v>
      </c>
      <c r="L24" s="239" t="s">
        <v>438</v>
      </c>
      <c r="M24" s="250">
        <v>2010</v>
      </c>
      <c r="R24" s="126" t="s">
        <v>334</v>
      </c>
      <c r="S24" s="126" t="s">
        <v>439</v>
      </c>
    </row>
    <row r="25" spans="1:19">
      <c r="B25" s="251" t="s">
        <v>440</v>
      </c>
      <c r="M25" s="239" t="s">
        <v>441</v>
      </c>
      <c r="P25" s="239" t="s">
        <v>442</v>
      </c>
    </row>
    <row r="26" spans="1:19">
      <c r="B26" s="239" t="s">
        <v>443</v>
      </c>
      <c r="I26" s="239" t="s">
        <v>444</v>
      </c>
      <c r="J26" s="239" t="s">
        <v>445</v>
      </c>
      <c r="L26" s="239" t="s">
        <v>446</v>
      </c>
      <c r="M26" s="239" t="s">
        <v>447</v>
      </c>
      <c r="O26" s="239" t="s">
        <v>448</v>
      </c>
      <c r="P26" s="239" t="s">
        <v>449</v>
      </c>
    </row>
    <row r="27" spans="1:19">
      <c r="B27" s="132" t="s">
        <v>450</v>
      </c>
      <c r="C27" s="239" t="s">
        <v>451</v>
      </c>
      <c r="D27" s="239" t="s">
        <v>452</v>
      </c>
      <c r="E27" s="239" t="s">
        <v>453</v>
      </c>
      <c r="H27" s="239" t="s">
        <v>454</v>
      </c>
      <c r="I27" s="239" t="s">
        <v>455</v>
      </c>
      <c r="J27" s="239" t="s">
        <v>456</v>
      </c>
      <c r="L27" s="239" t="s">
        <v>457</v>
      </c>
      <c r="M27" s="239" t="s">
        <v>458</v>
      </c>
      <c r="O27" s="239" t="s">
        <v>459</v>
      </c>
      <c r="P27" s="239" t="s">
        <v>460</v>
      </c>
      <c r="Q27" s="239" t="s">
        <v>156</v>
      </c>
    </row>
    <row r="28" spans="1:19">
      <c r="A28" s="245" t="s">
        <v>413</v>
      </c>
      <c r="B28" s="248" t="s">
        <v>461</v>
      </c>
      <c r="C28" s="248" t="s">
        <v>462</v>
      </c>
      <c r="D28" s="248" t="s">
        <v>463</v>
      </c>
      <c r="E28" s="248" t="s">
        <v>464</v>
      </c>
      <c r="F28" s="245" t="s">
        <v>465</v>
      </c>
      <c r="G28" s="245" t="s">
        <v>466</v>
      </c>
      <c r="H28" s="248" t="s">
        <v>447</v>
      </c>
      <c r="I28" s="248" t="s">
        <v>467</v>
      </c>
      <c r="J28" s="248" t="s">
        <v>468</v>
      </c>
      <c r="K28" s="245" t="s">
        <v>469</v>
      </c>
      <c r="L28" s="248" t="s">
        <v>470</v>
      </c>
      <c r="M28" s="248" t="s">
        <v>471</v>
      </c>
      <c r="N28" s="245" t="s">
        <v>472</v>
      </c>
      <c r="O28" s="248" t="s">
        <v>473</v>
      </c>
      <c r="P28" s="248" t="s">
        <v>474</v>
      </c>
      <c r="Q28" s="248" t="s">
        <v>475</v>
      </c>
    </row>
    <row r="29" spans="1:19">
      <c r="A29" t="str">
        <f>MID(C29,4,2)</f>
        <v>01</v>
      </c>
      <c r="B29" s="130" t="s">
        <v>476</v>
      </c>
      <c r="C29" s="130" t="s">
        <v>477</v>
      </c>
      <c r="D29" s="130" t="s">
        <v>478</v>
      </c>
      <c r="E29" s="130" t="s">
        <v>479</v>
      </c>
      <c r="I29" s="130" t="s">
        <v>480</v>
      </c>
      <c r="L29" s="252">
        <v>15000</v>
      </c>
      <c r="M29" s="252">
        <v>0</v>
      </c>
      <c r="O29" s="252">
        <v>0</v>
      </c>
      <c r="P29" s="252">
        <v>12500</v>
      </c>
      <c r="Q29" s="252">
        <v>2500</v>
      </c>
    </row>
    <row r="30" spans="1:19">
      <c r="A30" t="str">
        <f t="shared" ref="A30:A93" si="2">MID(C30,4,2)</f>
        <v>01</v>
      </c>
      <c r="B30" s="130" t="s">
        <v>481</v>
      </c>
      <c r="C30" s="130" t="s">
        <v>482</v>
      </c>
      <c r="D30" s="130" t="s">
        <v>483</v>
      </c>
      <c r="E30" s="130" t="s">
        <v>484</v>
      </c>
      <c r="H30" s="130" t="s">
        <v>485</v>
      </c>
      <c r="I30" s="130" t="s">
        <v>486</v>
      </c>
      <c r="L30" s="252">
        <v>1453203.98</v>
      </c>
      <c r="M30" s="252">
        <v>0</v>
      </c>
      <c r="O30" s="252">
        <v>0</v>
      </c>
      <c r="P30" s="252">
        <v>1211003.32</v>
      </c>
      <c r="Q30" s="252">
        <v>242200.66</v>
      </c>
    </row>
    <row r="31" spans="1:19">
      <c r="A31" t="str">
        <f t="shared" si="2"/>
        <v>01</v>
      </c>
      <c r="B31" s="130" t="s">
        <v>487</v>
      </c>
      <c r="C31" s="130" t="s">
        <v>482</v>
      </c>
      <c r="D31" s="130" t="s">
        <v>488</v>
      </c>
      <c r="E31" s="130" t="s">
        <v>337</v>
      </c>
      <c r="I31" s="130" t="s">
        <v>489</v>
      </c>
      <c r="L31" s="252">
        <v>11899.2</v>
      </c>
      <c r="M31" s="252">
        <v>0</v>
      </c>
      <c r="O31" s="252">
        <v>0</v>
      </c>
      <c r="P31" s="252">
        <v>9916</v>
      </c>
      <c r="Q31" s="252">
        <v>1983.2</v>
      </c>
    </row>
    <row r="32" spans="1:19">
      <c r="A32" t="str">
        <f t="shared" si="2"/>
        <v>01</v>
      </c>
      <c r="B32" s="130" t="s">
        <v>490</v>
      </c>
      <c r="C32" s="130" t="s">
        <v>482</v>
      </c>
      <c r="D32" s="130" t="s">
        <v>491</v>
      </c>
      <c r="E32" s="130" t="s">
        <v>492</v>
      </c>
      <c r="I32" s="130" t="s">
        <v>493</v>
      </c>
      <c r="L32" s="252">
        <v>4031983.98</v>
      </c>
      <c r="M32" s="252">
        <v>0</v>
      </c>
      <c r="O32" s="252">
        <v>0</v>
      </c>
      <c r="P32" s="252">
        <v>3359986.65</v>
      </c>
      <c r="Q32" s="252">
        <v>671997.33</v>
      </c>
    </row>
    <row r="33" spans="1:17">
      <c r="A33" t="str">
        <f t="shared" si="2"/>
        <v>01</v>
      </c>
      <c r="B33" s="130" t="s">
        <v>494</v>
      </c>
      <c r="C33" s="130" t="s">
        <v>495</v>
      </c>
      <c r="D33" s="130" t="s">
        <v>496</v>
      </c>
      <c r="E33" s="130" t="s">
        <v>337</v>
      </c>
      <c r="I33" s="130" t="s">
        <v>489</v>
      </c>
      <c r="L33" s="252">
        <v>41850</v>
      </c>
      <c r="M33" s="252">
        <v>0</v>
      </c>
      <c r="O33" s="252">
        <v>0</v>
      </c>
      <c r="P33" s="252">
        <v>34875</v>
      </c>
      <c r="Q33" s="252">
        <v>6975</v>
      </c>
    </row>
    <row r="34" spans="1:17">
      <c r="A34" t="str">
        <f t="shared" si="2"/>
        <v>01</v>
      </c>
      <c r="B34" s="130" t="s">
        <v>497</v>
      </c>
      <c r="C34" s="130" t="s">
        <v>498</v>
      </c>
      <c r="D34" s="130" t="s">
        <v>499</v>
      </c>
      <c r="E34" s="130" t="s">
        <v>500</v>
      </c>
      <c r="I34" s="130" t="s">
        <v>501</v>
      </c>
      <c r="L34" s="252">
        <v>488250</v>
      </c>
      <c r="M34" s="252">
        <v>0</v>
      </c>
      <c r="O34" s="252">
        <v>0</v>
      </c>
      <c r="P34" s="252">
        <v>406875</v>
      </c>
      <c r="Q34" s="252">
        <v>81375</v>
      </c>
    </row>
    <row r="35" spans="1:17">
      <c r="A35" t="str">
        <f t="shared" si="2"/>
        <v>01</v>
      </c>
      <c r="B35" s="130" t="s">
        <v>502</v>
      </c>
      <c r="C35" s="130" t="s">
        <v>498</v>
      </c>
      <c r="D35" s="130" t="s">
        <v>503</v>
      </c>
      <c r="E35" s="130" t="s">
        <v>336</v>
      </c>
      <c r="I35" s="130" t="s">
        <v>504</v>
      </c>
      <c r="L35" s="252">
        <v>40036.5</v>
      </c>
      <c r="M35" s="252">
        <v>0</v>
      </c>
      <c r="O35" s="252">
        <v>0</v>
      </c>
      <c r="P35" s="252">
        <v>33480</v>
      </c>
      <c r="Q35" s="252">
        <v>6556.5</v>
      </c>
    </row>
    <row r="36" spans="1:17">
      <c r="A36" t="str">
        <f t="shared" si="2"/>
        <v>02</v>
      </c>
      <c r="B36" s="130" t="s">
        <v>505</v>
      </c>
      <c r="C36" s="130" t="s">
        <v>506</v>
      </c>
      <c r="D36" s="130" t="s">
        <v>507</v>
      </c>
      <c r="E36" s="130" t="s">
        <v>338</v>
      </c>
      <c r="I36" s="130" t="s">
        <v>508</v>
      </c>
      <c r="L36" s="252">
        <v>9200383.9800000004</v>
      </c>
      <c r="M36" s="252">
        <v>0</v>
      </c>
      <c r="O36" s="252">
        <v>0</v>
      </c>
      <c r="P36" s="252">
        <v>7666986.6500000004</v>
      </c>
      <c r="Q36" s="252">
        <v>1533397.33</v>
      </c>
    </row>
    <row r="37" spans="1:17">
      <c r="A37" t="str">
        <f t="shared" si="2"/>
        <v>02</v>
      </c>
      <c r="B37" s="130" t="s">
        <v>509</v>
      </c>
      <c r="C37" s="130" t="s">
        <v>510</v>
      </c>
      <c r="D37" s="130" t="s">
        <v>511</v>
      </c>
      <c r="E37" s="130" t="s">
        <v>336</v>
      </c>
      <c r="I37" s="130" t="s">
        <v>504</v>
      </c>
      <c r="L37" s="252">
        <v>39749.5</v>
      </c>
      <c r="M37" s="252">
        <v>0</v>
      </c>
      <c r="O37" s="252">
        <v>0</v>
      </c>
      <c r="P37" s="252">
        <v>33240</v>
      </c>
      <c r="Q37" s="252">
        <v>6509.5</v>
      </c>
    </row>
    <row r="38" spans="1:17">
      <c r="A38" t="str">
        <f t="shared" si="2"/>
        <v>03</v>
      </c>
      <c r="B38" s="130" t="s">
        <v>512</v>
      </c>
      <c r="C38" s="130" t="s">
        <v>513</v>
      </c>
      <c r="D38" s="130" t="s">
        <v>514</v>
      </c>
      <c r="E38" s="130" t="s">
        <v>515</v>
      </c>
      <c r="I38" s="130" t="s">
        <v>516</v>
      </c>
      <c r="L38" s="252">
        <v>186528</v>
      </c>
      <c r="M38" s="252">
        <v>0</v>
      </c>
      <c r="O38" s="252">
        <v>0</v>
      </c>
      <c r="P38" s="252">
        <v>155440.46</v>
      </c>
      <c r="Q38" s="252">
        <v>31087.54</v>
      </c>
    </row>
    <row r="39" spans="1:17">
      <c r="A39" t="str">
        <f t="shared" si="2"/>
        <v>03</v>
      </c>
      <c r="B39" s="130" t="s">
        <v>517</v>
      </c>
      <c r="C39" s="130" t="s">
        <v>518</v>
      </c>
      <c r="D39" s="130" t="s">
        <v>519</v>
      </c>
      <c r="E39" s="130" t="s">
        <v>520</v>
      </c>
      <c r="I39" s="130" t="s">
        <v>521</v>
      </c>
      <c r="L39" s="252">
        <v>41431.5</v>
      </c>
      <c r="M39" s="252">
        <v>0</v>
      </c>
      <c r="O39" s="252">
        <v>0</v>
      </c>
      <c r="P39" s="252">
        <v>34527.64</v>
      </c>
      <c r="Q39" s="252">
        <v>6903.86</v>
      </c>
    </row>
    <row r="40" spans="1:17">
      <c r="A40" t="str">
        <f t="shared" si="2"/>
        <v>03</v>
      </c>
      <c r="B40" s="130" t="s">
        <v>522</v>
      </c>
      <c r="C40" s="130" t="s">
        <v>518</v>
      </c>
      <c r="D40" s="130" t="s">
        <v>523</v>
      </c>
      <c r="E40" s="130" t="s">
        <v>524</v>
      </c>
      <c r="I40" s="130" t="s">
        <v>525</v>
      </c>
      <c r="L40" s="252">
        <v>78538.5</v>
      </c>
      <c r="M40" s="252">
        <v>0</v>
      </c>
      <c r="O40" s="252">
        <v>0</v>
      </c>
      <c r="P40" s="252">
        <v>65450.61</v>
      </c>
      <c r="Q40" s="252">
        <v>13087.89</v>
      </c>
    </row>
    <row r="41" spans="1:17">
      <c r="A41" t="str">
        <f t="shared" si="2"/>
        <v>03</v>
      </c>
      <c r="B41" s="130" t="s">
        <v>526</v>
      </c>
      <c r="C41" s="130" t="s">
        <v>527</v>
      </c>
      <c r="D41" s="130" t="s">
        <v>528</v>
      </c>
      <c r="E41" s="130" t="s">
        <v>336</v>
      </c>
      <c r="I41" s="130" t="s">
        <v>504</v>
      </c>
      <c r="L41" s="252">
        <v>40036.5</v>
      </c>
      <c r="M41" s="252">
        <v>0</v>
      </c>
      <c r="O41" s="252">
        <v>0</v>
      </c>
      <c r="P41" s="252">
        <v>33480</v>
      </c>
      <c r="Q41" s="252">
        <v>6556.5</v>
      </c>
    </row>
    <row r="42" spans="1:17">
      <c r="A42" t="str">
        <f t="shared" si="2"/>
        <v>04</v>
      </c>
      <c r="B42" s="130" t="s">
        <v>529</v>
      </c>
      <c r="C42" s="130" t="s">
        <v>530</v>
      </c>
      <c r="D42" s="130" t="s">
        <v>531</v>
      </c>
      <c r="E42" s="130" t="s">
        <v>532</v>
      </c>
      <c r="I42" s="130" t="s">
        <v>533</v>
      </c>
      <c r="L42" s="252">
        <v>1435200</v>
      </c>
      <c r="M42" s="252">
        <v>0</v>
      </c>
      <c r="O42" s="252">
        <v>0</v>
      </c>
      <c r="P42" s="252">
        <v>1196000</v>
      </c>
      <c r="Q42" s="252">
        <v>239200</v>
      </c>
    </row>
    <row r="43" spans="1:17">
      <c r="A43" t="str">
        <f t="shared" si="2"/>
        <v>04</v>
      </c>
      <c r="B43" s="130" t="s">
        <v>279</v>
      </c>
      <c r="C43" s="130" t="s">
        <v>534</v>
      </c>
      <c r="D43" s="130" t="s">
        <v>535</v>
      </c>
      <c r="E43" s="130" t="s">
        <v>338</v>
      </c>
      <c r="H43" s="130" t="s">
        <v>485</v>
      </c>
      <c r="I43" s="130" t="s">
        <v>508</v>
      </c>
      <c r="L43" s="252">
        <v>393617</v>
      </c>
      <c r="M43" s="252">
        <v>0</v>
      </c>
      <c r="O43" s="252">
        <v>0</v>
      </c>
      <c r="P43" s="252">
        <v>327968</v>
      </c>
      <c r="Q43" s="252">
        <v>65649</v>
      </c>
    </row>
    <row r="44" spans="1:17">
      <c r="A44" t="str">
        <f t="shared" si="2"/>
        <v>04</v>
      </c>
      <c r="B44" s="130" t="s">
        <v>536</v>
      </c>
      <c r="C44" s="130" t="s">
        <v>537</v>
      </c>
      <c r="D44" s="130" t="s">
        <v>538</v>
      </c>
      <c r="E44" s="130" t="s">
        <v>539</v>
      </c>
      <c r="I44" s="130" t="s">
        <v>540</v>
      </c>
      <c r="L44" s="252">
        <v>205534</v>
      </c>
      <c r="M44" s="252">
        <v>0</v>
      </c>
      <c r="O44" s="252">
        <v>0</v>
      </c>
      <c r="P44" s="252">
        <v>171280.18</v>
      </c>
      <c r="Q44" s="252">
        <v>34253.82</v>
      </c>
    </row>
    <row r="45" spans="1:17">
      <c r="A45" t="str">
        <f t="shared" si="2"/>
        <v>04</v>
      </c>
      <c r="B45" s="130" t="s">
        <v>541</v>
      </c>
      <c r="C45" s="130" t="s">
        <v>542</v>
      </c>
      <c r="D45" s="130" t="s">
        <v>543</v>
      </c>
      <c r="E45" s="130" t="s">
        <v>336</v>
      </c>
      <c r="I45" s="130" t="s">
        <v>504</v>
      </c>
      <c r="L45" s="252">
        <v>39749.5</v>
      </c>
      <c r="M45" s="252">
        <v>0</v>
      </c>
      <c r="O45" s="252">
        <v>0</v>
      </c>
      <c r="P45" s="252">
        <v>33240</v>
      </c>
      <c r="Q45" s="252">
        <v>6509.5</v>
      </c>
    </row>
    <row r="46" spans="1:17">
      <c r="A46" t="str">
        <f t="shared" si="2"/>
        <v>05</v>
      </c>
      <c r="B46" s="130" t="s">
        <v>544</v>
      </c>
      <c r="C46" s="130" t="s">
        <v>545</v>
      </c>
      <c r="D46" s="130" t="s">
        <v>546</v>
      </c>
      <c r="E46" s="130" t="s">
        <v>547</v>
      </c>
      <c r="H46" s="130" t="s">
        <v>485</v>
      </c>
      <c r="I46" s="130" t="s">
        <v>548</v>
      </c>
      <c r="L46" s="252">
        <v>12464000</v>
      </c>
      <c r="M46" s="252">
        <v>0</v>
      </c>
      <c r="O46" s="252">
        <v>0</v>
      </c>
      <c r="P46" s="252">
        <v>10386667</v>
      </c>
      <c r="Q46" s="252">
        <v>2077333</v>
      </c>
    </row>
    <row r="47" spans="1:17">
      <c r="A47" t="str">
        <f t="shared" si="2"/>
        <v>05</v>
      </c>
      <c r="B47" s="130" t="s">
        <v>549</v>
      </c>
      <c r="C47" s="130" t="s">
        <v>550</v>
      </c>
      <c r="D47" s="130" t="s">
        <v>551</v>
      </c>
      <c r="E47" s="130" t="s">
        <v>552</v>
      </c>
      <c r="H47" s="130" t="s">
        <v>485</v>
      </c>
      <c r="I47" s="130" t="s">
        <v>553</v>
      </c>
      <c r="L47" s="252">
        <v>13848336</v>
      </c>
      <c r="M47" s="252">
        <v>0</v>
      </c>
      <c r="O47" s="252">
        <v>0</v>
      </c>
      <c r="P47" s="252">
        <v>11540280</v>
      </c>
      <c r="Q47" s="252">
        <v>2308056</v>
      </c>
    </row>
    <row r="48" spans="1:17">
      <c r="A48" t="str">
        <f t="shared" si="2"/>
        <v>05</v>
      </c>
      <c r="B48" s="130" t="s">
        <v>554</v>
      </c>
      <c r="C48" s="130" t="s">
        <v>555</v>
      </c>
      <c r="D48" s="130" t="s">
        <v>556</v>
      </c>
      <c r="E48" s="130" t="s">
        <v>336</v>
      </c>
      <c r="I48" s="130" t="s">
        <v>504</v>
      </c>
      <c r="L48" s="252">
        <v>39749.5</v>
      </c>
      <c r="M48" s="252">
        <v>0</v>
      </c>
      <c r="O48" s="252">
        <v>0</v>
      </c>
      <c r="P48" s="252">
        <v>33240</v>
      </c>
      <c r="Q48" s="252">
        <v>6509.5</v>
      </c>
    </row>
    <row r="49" spans="1:17">
      <c r="A49" t="str">
        <f t="shared" si="2"/>
        <v>06</v>
      </c>
      <c r="B49" s="130" t="s">
        <v>557</v>
      </c>
      <c r="C49" s="130" t="s">
        <v>558</v>
      </c>
      <c r="D49" s="130" t="s">
        <v>559</v>
      </c>
      <c r="E49" s="130" t="s">
        <v>560</v>
      </c>
      <c r="I49" s="130" t="s">
        <v>561</v>
      </c>
      <c r="L49" s="252">
        <v>16744.650000000001</v>
      </c>
      <c r="M49" s="252">
        <v>0</v>
      </c>
      <c r="O49" s="252">
        <v>0</v>
      </c>
      <c r="P49" s="252">
        <v>13953.88</v>
      </c>
      <c r="Q49" s="252">
        <v>2790.77</v>
      </c>
    </row>
    <row r="50" spans="1:17">
      <c r="A50" t="str">
        <f t="shared" si="2"/>
        <v>06</v>
      </c>
      <c r="B50" s="130" t="s">
        <v>562</v>
      </c>
      <c r="C50" s="130" t="s">
        <v>563</v>
      </c>
      <c r="D50" s="130" t="s">
        <v>564</v>
      </c>
      <c r="E50" s="130" t="s">
        <v>565</v>
      </c>
      <c r="I50" s="130" t="s">
        <v>566</v>
      </c>
      <c r="L50" s="252">
        <v>1328388</v>
      </c>
      <c r="M50" s="252">
        <v>0</v>
      </c>
      <c r="O50" s="252">
        <v>0</v>
      </c>
      <c r="P50" s="252">
        <v>1106990</v>
      </c>
      <c r="Q50" s="252">
        <v>221398</v>
      </c>
    </row>
    <row r="51" spans="1:17">
      <c r="A51" t="str">
        <f t="shared" si="2"/>
        <v>06</v>
      </c>
      <c r="B51" s="130" t="s">
        <v>567</v>
      </c>
      <c r="C51" s="130" t="s">
        <v>568</v>
      </c>
      <c r="D51" s="130" t="s">
        <v>569</v>
      </c>
      <c r="E51" s="130" t="s">
        <v>565</v>
      </c>
      <c r="I51" s="130" t="s">
        <v>566</v>
      </c>
      <c r="L51" s="252">
        <v>11772.5</v>
      </c>
      <c r="M51" s="252">
        <v>0</v>
      </c>
      <c r="O51" s="252">
        <v>0</v>
      </c>
      <c r="P51" s="252">
        <v>9833.5</v>
      </c>
      <c r="Q51" s="252">
        <v>1939</v>
      </c>
    </row>
    <row r="52" spans="1:17">
      <c r="A52" t="str">
        <f t="shared" si="2"/>
        <v>06</v>
      </c>
      <c r="B52" s="130" t="s">
        <v>570</v>
      </c>
      <c r="C52" s="130" t="s">
        <v>571</v>
      </c>
      <c r="D52" s="130" t="s">
        <v>572</v>
      </c>
      <c r="E52" s="130" t="s">
        <v>336</v>
      </c>
      <c r="I52" s="130" t="s">
        <v>504</v>
      </c>
      <c r="L52" s="252">
        <v>39749.5</v>
      </c>
      <c r="M52" s="252">
        <v>0</v>
      </c>
      <c r="O52" s="252">
        <v>0</v>
      </c>
      <c r="P52" s="252">
        <v>33240</v>
      </c>
      <c r="Q52" s="252">
        <v>6509.5</v>
      </c>
    </row>
    <row r="53" spans="1:17">
      <c r="A53" t="str">
        <f t="shared" si="2"/>
        <v>07</v>
      </c>
      <c r="B53" s="130" t="s">
        <v>573</v>
      </c>
      <c r="C53" s="130" t="s">
        <v>574</v>
      </c>
      <c r="D53" s="130" t="s">
        <v>575</v>
      </c>
      <c r="E53" s="130" t="s">
        <v>552</v>
      </c>
      <c r="H53" s="130" t="s">
        <v>485</v>
      </c>
      <c r="I53" s="130" t="s">
        <v>553</v>
      </c>
      <c r="L53" s="252">
        <v>15927071.85</v>
      </c>
      <c r="M53" s="252">
        <v>0</v>
      </c>
      <c r="O53" s="252">
        <v>0</v>
      </c>
      <c r="P53" s="252">
        <v>13272559.880000001</v>
      </c>
      <c r="Q53" s="252">
        <v>2654511.9700000002</v>
      </c>
    </row>
    <row r="54" spans="1:17">
      <c r="A54" t="str">
        <f t="shared" si="2"/>
        <v>07</v>
      </c>
      <c r="B54" s="130" t="s">
        <v>576</v>
      </c>
      <c r="C54" s="130" t="s">
        <v>577</v>
      </c>
      <c r="D54" s="130" t="s">
        <v>578</v>
      </c>
      <c r="E54" s="130" t="s">
        <v>552</v>
      </c>
      <c r="H54" s="130" t="s">
        <v>485</v>
      </c>
      <c r="I54" s="130" t="s">
        <v>553</v>
      </c>
      <c r="L54" s="252">
        <v>6205248</v>
      </c>
      <c r="M54" s="252">
        <v>0</v>
      </c>
      <c r="O54" s="252">
        <v>0</v>
      </c>
      <c r="P54" s="252">
        <v>5171040</v>
      </c>
      <c r="Q54" s="252">
        <v>1034208</v>
      </c>
    </row>
    <row r="55" spans="1:17">
      <c r="A55" t="str">
        <f t="shared" si="2"/>
        <v>07</v>
      </c>
      <c r="B55" s="130" t="s">
        <v>579</v>
      </c>
      <c r="C55" s="130" t="s">
        <v>580</v>
      </c>
      <c r="D55" s="130" t="s">
        <v>581</v>
      </c>
      <c r="E55" s="130" t="s">
        <v>552</v>
      </c>
      <c r="I55" s="130" t="s">
        <v>553</v>
      </c>
      <c r="L55" s="252">
        <v>592946</v>
      </c>
      <c r="M55" s="252">
        <v>0</v>
      </c>
      <c r="O55" s="252">
        <v>0</v>
      </c>
      <c r="P55" s="252">
        <v>494122</v>
      </c>
      <c r="Q55" s="252">
        <v>98824</v>
      </c>
    </row>
    <row r="56" spans="1:17">
      <c r="A56" t="str">
        <f t="shared" si="2"/>
        <v/>
      </c>
      <c r="B56" s="130" t="s">
        <v>582</v>
      </c>
    </row>
    <row r="57" spans="1:17">
      <c r="A57" t="str">
        <f t="shared" si="2"/>
        <v/>
      </c>
      <c r="B57" s="130" t="s">
        <v>583</v>
      </c>
      <c r="K57" s="126" t="s">
        <v>584</v>
      </c>
      <c r="L57" s="132" t="s">
        <v>585</v>
      </c>
      <c r="M57" s="132" t="s">
        <v>333</v>
      </c>
      <c r="O57" s="132" t="s">
        <v>333</v>
      </c>
      <c r="P57" s="132" t="s">
        <v>586</v>
      </c>
      <c r="Q57" s="132" t="s">
        <v>587</v>
      </c>
    </row>
    <row r="58" spans="1:17">
      <c r="A58" t="str">
        <f t="shared" si="2"/>
        <v/>
      </c>
      <c r="B58" s="130" t="s">
        <v>588</v>
      </c>
      <c r="K58" s="126" t="s">
        <v>589</v>
      </c>
      <c r="L58" s="133">
        <v>77331244.939999998</v>
      </c>
      <c r="M58" s="133">
        <v>0</v>
      </c>
      <c r="O58" s="133">
        <v>0</v>
      </c>
      <c r="P58" s="133">
        <v>64443381.770000003</v>
      </c>
      <c r="Q58" s="133">
        <v>12887863.17</v>
      </c>
    </row>
    <row r="59" spans="1:17">
      <c r="A59" t="str">
        <f t="shared" si="2"/>
        <v/>
      </c>
      <c r="L59" s="130" t="s">
        <v>590</v>
      </c>
    </row>
    <row r="60" spans="1:17">
      <c r="A60" t="str">
        <f t="shared" si="2"/>
        <v/>
      </c>
      <c r="L60" s="130" t="s">
        <v>591</v>
      </c>
      <c r="P60" s="130" t="s">
        <v>592</v>
      </c>
      <c r="Q60" s="239" t="s">
        <v>593</v>
      </c>
    </row>
    <row r="61" spans="1:17" ht="30">
      <c r="A61" t="str">
        <f t="shared" si="2"/>
        <v/>
      </c>
      <c r="B61" s="247" t="s">
        <v>430</v>
      </c>
    </row>
    <row r="62" spans="1:17">
      <c r="A62" t="str">
        <f t="shared" si="2"/>
        <v/>
      </c>
      <c r="B62" s="248" t="s">
        <v>431</v>
      </c>
      <c r="P62" s="249" t="s">
        <v>432</v>
      </c>
    </row>
    <row r="63" spans="1:17">
      <c r="B63" s="248" t="s">
        <v>433</v>
      </c>
      <c r="C63" s="249" t="s">
        <v>434</v>
      </c>
    </row>
    <row r="64" spans="1:17">
      <c r="B64" s="248" t="s">
        <v>435</v>
      </c>
      <c r="G64" s="239" t="s">
        <v>436</v>
      </c>
      <c r="J64" s="239" t="s">
        <v>437</v>
      </c>
      <c r="L64" s="239" t="s">
        <v>438</v>
      </c>
      <c r="M64" s="250">
        <v>2010</v>
      </c>
    </row>
    <row r="65" spans="1:19">
      <c r="R65" s="126" t="s">
        <v>334</v>
      </c>
      <c r="S65" s="126" t="s">
        <v>439</v>
      </c>
    </row>
    <row r="66" spans="1:19">
      <c r="B66" s="251" t="s">
        <v>440</v>
      </c>
      <c r="J66" s="239" t="s">
        <v>445</v>
      </c>
      <c r="L66" s="239" t="s">
        <v>446</v>
      </c>
      <c r="M66" s="239" t="s">
        <v>441</v>
      </c>
      <c r="P66" s="239" t="s">
        <v>442</v>
      </c>
    </row>
    <row r="67" spans="1:19">
      <c r="B67" s="239" t="s">
        <v>443</v>
      </c>
      <c r="C67" s="239" t="s">
        <v>451</v>
      </c>
      <c r="D67" s="239" t="s">
        <v>452</v>
      </c>
      <c r="E67" s="239" t="s">
        <v>453</v>
      </c>
      <c r="H67" s="239" t="s">
        <v>454</v>
      </c>
      <c r="I67" s="239" t="s">
        <v>444</v>
      </c>
      <c r="J67" s="239" t="s">
        <v>456</v>
      </c>
      <c r="L67" s="239" t="s">
        <v>457</v>
      </c>
      <c r="M67" s="239" t="s">
        <v>447</v>
      </c>
      <c r="O67" s="239" t="s">
        <v>448</v>
      </c>
      <c r="P67" s="239" t="s">
        <v>449</v>
      </c>
      <c r="Q67" s="239" t="s">
        <v>156</v>
      </c>
    </row>
    <row r="68" spans="1:19">
      <c r="A68" t="str">
        <f t="shared" si="2"/>
        <v/>
      </c>
      <c r="B68" s="132" t="s">
        <v>450</v>
      </c>
      <c r="I68" s="239" t="s">
        <v>455</v>
      </c>
      <c r="M68" s="239" t="s">
        <v>458</v>
      </c>
      <c r="O68" s="239" t="s">
        <v>459</v>
      </c>
      <c r="P68" s="239" t="s">
        <v>460</v>
      </c>
    </row>
    <row r="69" spans="1:19">
      <c r="A69" t="str">
        <f t="shared" si="2"/>
        <v/>
      </c>
      <c r="B69" s="248" t="s">
        <v>461</v>
      </c>
      <c r="C69" s="248" t="s">
        <v>462</v>
      </c>
      <c r="D69" s="248" t="s">
        <v>463</v>
      </c>
      <c r="E69" s="248" t="s">
        <v>464</v>
      </c>
      <c r="H69" s="248" t="s">
        <v>447</v>
      </c>
      <c r="I69" s="248" t="s">
        <v>467</v>
      </c>
      <c r="J69" s="248" t="s">
        <v>468</v>
      </c>
      <c r="L69" s="248" t="s">
        <v>470</v>
      </c>
      <c r="M69" s="248" t="s">
        <v>471</v>
      </c>
      <c r="O69" s="248" t="s">
        <v>473</v>
      </c>
      <c r="P69" s="248" t="s">
        <v>474</v>
      </c>
      <c r="Q69" s="248" t="s">
        <v>475</v>
      </c>
    </row>
    <row r="70" spans="1:19">
      <c r="A70" t="str">
        <f t="shared" si="2"/>
        <v>07</v>
      </c>
      <c r="B70" s="130" t="s">
        <v>594</v>
      </c>
      <c r="C70" s="130" t="s">
        <v>595</v>
      </c>
      <c r="D70" s="130" t="s">
        <v>596</v>
      </c>
      <c r="E70" s="130" t="s">
        <v>597</v>
      </c>
      <c r="I70" s="130" t="s">
        <v>598</v>
      </c>
      <c r="L70" s="252">
        <v>2223960</v>
      </c>
      <c r="M70" s="252">
        <v>0</v>
      </c>
      <c r="O70" s="252">
        <v>0</v>
      </c>
      <c r="P70" s="252">
        <v>1853300</v>
      </c>
      <c r="Q70" s="252">
        <v>370660</v>
      </c>
    </row>
    <row r="71" spans="1:19">
      <c r="A71" t="str">
        <f t="shared" si="2"/>
        <v>07</v>
      </c>
      <c r="B71" s="130" t="s">
        <v>599</v>
      </c>
      <c r="C71" s="130" t="s">
        <v>600</v>
      </c>
      <c r="D71" s="130" t="s">
        <v>601</v>
      </c>
      <c r="E71" s="130" t="s">
        <v>602</v>
      </c>
      <c r="I71" s="130" t="s">
        <v>603</v>
      </c>
      <c r="L71" s="252">
        <v>27600</v>
      </c>
      <c r="M71" s="252">
        <v>0</v>
      </c>
      <c r="O71" s="252">
        <v>0</v>
      </c>
      <c r="P71" s="252">
        <v>23000</v>
      </c>
      <c r="Q71" s="252">
        <v>4600</v>
      </c>
    </row>
    <row r="72" spans="1:19">
      <c r="A72" t="str">
        <f t="shared" si="2"/>
        <v>07</v>
      </c>
      <c r="B72" s="130" t="s">
        <v>604</v>
      </c>
      <c r="C72" s="130" t="s">
        <v>605</v>
      </c>
      <c r="D72" s="130" t="s">
        <v>606</v>
      </c>
      <c r="E72" s="130" t="s">
        <v>607</v>
      </c>
      <c r="H72" s="130" t="s">
        <v>608</v>
      </c>
      <c r="I72" s="130" t="s">
        <v>609</v>
      </c>
      <c r="L72" s="252">
        <v>2591599.2000000002</v>
      </c>
      <c r="M72" s="252">
        <v>0</v>
      </c>
      <c r="O72" s="252">
        <v>0</v>
      </c>
      <c r="P72" s="252">
        <v>2159666</v>
      </c>
      <c r="Q72" s="252">
        <v>431933.2</v>
      </c>
    </row>
    <row r="73" spans="1:19">
      <c r="A73" t="str">
        <f t="shared" si="2"/>
        <v>07</v>
      </c>
      <c r="B73" s="130" t="s">
        <v>610</v>
      </c>
      <c r="C73" s="130" t="s">
        <v>611</v>
      </c>
      <c r="D73" s="130" t="s">
        <v>612</v>
      </c>
      <c r="E73" s="130" t="s">
        <v>552</v>
      </c>
      <c r="H73" s="130" t="s">
        <v>485</v>
      </c>
      <c r="I73" s="130" t="s">
        <v>553</v>
      </c>
      <c r="L73" s="252">
        <v>6134384</v>
      </c>
      <c r="M73" s="252">
        <v>0</v>
      </c>
      <c r="O73" s="252">
        <v>0</v>
      </c>
      <c r="P73" s="252">
        <v>5111987</v>
      </c>
      <c r="Q73" s="252">
        <v>1022397</v>
      </c>
    </row>
    <row r="74" spans="1:19">
      <c r="A74" t="str">
        <f t="shared" si="2"/>
        <v>07</v>
      </c>
      <c r="B74" s="130" t="s">
        <v>613</v>
      </c>
      <c r="C74" s="130" t="s">
        <v>614</v>
      </c>
      <c r="D74" s="130" t="s">
        <v>615</v>
      </c>
      <c r="E74" s="130" t="s">
        <v>552</v>
      </c>
      <c r="H74" s="130" t="s">
        <v>485</v>
      </c>
      <c r="I74" s="130" t="s">
        <v>553</v>
      </c>
      <c r="L74" s="252">
        <v>5290784</v>
      </c>
      <c r="M74" s="252">
        <v>0</v>
      </c>
      <c r="O74" s="252">
        <v>0</v>
      </c>
      <c r="P74" s="252">
        <v>4408987</v>
      </c>
      <c r="Q74" s="252">
        <v>881797</v>
      </c>
    </row>
    <row r="75" spans="1:19">
      <c r="A75" t="str">
        <f t="shared" si="2"/>
        <v>07</v>
      </c>
      <c r="B75" s="130" t="s">
        <v>616</v>
      </c>
      <c r="C75" s="130" t="s">
        <v>614</v>
      </c>
      <c r="D75" s="130" t="s">
        <v>617</v>
      </c>
      <c r="E75" s="130" t="s">
        <v>552</v>
      </c>
      <c r="H75" s="130" t="s">
        <v>485</v>
      </c>
      <c r="I75" s="130" t="s">
        <v>553</v>
      </c>
      <c r="L75" s="252">
        <v>5290784</v>
      </c>
      <c r="M75" s="252">
        <v>0</v>
      </c>
      <c r="O75" s="252">
        <v>0</v>
      </c>
      <c r="P75" s="252">
        <v>4408987</v>
      </c>
      <c r="Q75" s="252">
        <v>881797</v>
      </c>
    </row>
    <row r="76" spans="1:19">
      <c r="A76" t="str">
        <f t="shared" si="2"/>
        <v>07</v>
      </c>
      <c r="B76" s="130" t="s">
        <v>618</v>
      </c>
      <c r="C76" s="130" t="s">
        <v>619</v>
      </c>
      <c r="D76" s="130" t="s">
        <v>620</v>
      </c>
      <c r="E76" s="130" t="s">
        <v>336</v>
      </c>
      <c r="I76" s="130" t="s">
        <v>504</v>
      </c>
      <c r="L76" s="252">
        <v>39749.5</v>
      </c>
      <c r="M76" s="252">
        <v>0</v>
      </c>
      <c r="O76" s="252">
        <v>0</v>
      </c>
      <c r="P76" s="252">
        <v>33240</v>
      </c>
      <c r="Q76" s="252">
        <v>6509.5</v>
      </c>
    </row>
    <row r="77" spans="1:19">
      <c r="A77" t="str">
        <f t="shared" si="2"/>
        <v>07</v>
      </c>
      <c r="B77" s="130" t="s">
        <v>621</v>
      </c>
      <c r="C77" s="130" t="s">
        <v>619</v>
      </c>
      <c r="D77" s="130" t="s">
        <v>622</v>
      </c>
      <c r="E77" s="130" t="s">
        <v>552</v>
      </c>
      <c r="I77" s="130" t="s">
        <v>553</v>
      </c>
      <c r="L77" s="252">
        <v>239504</v>
      </c>
      <c r="M77" s="252">
        <v>0</v>
      </c>
      <c r="O77" s="252">
        <v>0</v>
      </c>
      <c r="P77" s="252">
        <v>199587</v>
      </c>
      <c r="Q77" s="252">
        <v>39917</v>
      </c>
    </row>
    <row r="78" spans="1:19">
      <c r="A78" t="str">
        <f t="shared" si="2"/>
        <v>07</v>
      </c>
      <c r="B78" s="130" t="s">
        <v>623</v>
      </c>
      <c r="C78" s="130" t="s">
        <v>619</v>
      </c>
      <c r="D78" s="130" t="s">
        <v>624</v>
      </c>
      <c r="E78" s="130" t="s">
        <v>552</v>
      </c>
      <c r="I78" s="130" t="s">
        <v>553</v>
      </c>
      <c r="L78" s="252">
        <v>32786</v>
      </c>
      <c r="M78" s="252">
        <v>0</v>
      </c>
      <c r="O78" s="252">
        <v>0</v>
      </c>
      <c r="P78" s="252">
        <v>27322</v>
      </c>
      <c r="Q78" s="252">
        <v>5464</v>
      </c>
    </row>
    <row r="79" spans="1:19">
      <c r="A79" t="str">
        <f t="shared" si="2"/>
        <v>07</v>
      </c>
      <c r="B79" s="130" t="s">
        <v>625</v>
      </c>
      <c r="C79" s="130" t="s">
        <v>619</v>
      </c>
      <c r="D79" s="130" t="s">
        <v>626</v>
      </c>
      <c r="E79" s="130" t="s">
        <v>552</v>
      </c>
      <c r="I79" s="130" t="s">
        <v>553</v>
      </c>
      <c r="L79" s="252">
        <v>370000</v>
      </c>
      <c r="M79" s="252">
        <v>0</v>
      </c>
      <c r="O79" s="252">
        <v>0</v>
      </c>
      <c r="P79" s="252">
        <v>308333</v>
      </c>
      <c r="Q79" s="252">
        <v>61667</v>
      </c>
    </row>
    <row r="80" spans="1:19">
      <c r="A80" t="str">
        <f t="shared" si="2"/>
        <v>08</v>
      </c>
      <c r="B80" s="130" t="s">
        <v>627</v>
      </c>
      <c r="C80" s="130" t="s">
        <v>628</v>
      </c>
      <c r="D80" s="130" t="s">
        <v>629</v>
      </c>
      <c r="E80" s="130" t="s">
        <v>552</v>
      </c>
      <c r="H80" s="130" t="s">
        <v>485</v>
      </c>
      <c r="I80" s="130" t="s">
        <v>553</v>
      </c>
      <c r="L80" s="252">
        <v>5290784</v>
      </c>
      <c r="M80" s="252">
        <v>0</v>
      </c>
      <c r="O80" s="252">
        <v>0</v>
      </c>
      <c r="P80" s="252">
        <v>4408987</v>
      </c>
      <c r="Q80" s="252">
        <v>881797</v>
      </c>
    </row>
    <row r="81" spans="1:17">
      <c r="A81" t="str">
        <f t="shared" si="2"/>
        <v>08</v>
      </c>
      <c r="B81" s="130" t="s">
        <v>630</v>
      </c>
      <c r="C81" s="130" t="s">
        <v>628</v>
      </c>
      <c r="D81" s="130" t="s">
        <v>631</v>
      </c>
      <c r="E81" s="130" t="s">
        <v>552</v>
      </c>
      <c r="I81" s="130" t="s">
        <v>553</v>
      </c>
      <c r="L81" s="252">
        <v>442174</v>
      </c>
      <c r="M81" s="252">
        <v>0</v>
      </c>
      <c r="O81" s="252">
        <v>0</v>
      </c>
      <c r="P81" s="252">
        <v>368478</v>
      </c>
      <c r="Q81" s="252">
        <v>73696</v>
      </c>
    </row>
    <row r="82" spans="1:17">
      <c r="A82" t="str">
        <f t="shared" si="2"/>
        <v>08</v>
      </c>
      <c r="B82" s="130" t="s">
        <v>632</v>
      </c>
      <c r="C82" s="130" t="s">
        <v>633</v>
      </c>
      <c r="D82" s="130" t="s">
        <v>634</v>
      </c>
      <c r="E82" s="130" t="s">
        <v>635</v>
      </c>
      <c r="I82" s="130" t="s">
        <v>636</v>
      </c>
      <c r="L82" s="252">
        <v>844192</v>
      </c>
      <c r="M82" s="252">
        <v>0</v>
      </c>
      <c r="O82" s="252">
        <v>0</v>
      </c>
      <c r="P82" s="252">
        <v>703493</v>
      </c>
      <c r="Q82" s="252">
        <v>140699</v>
      </c>
    </row>
    <row r="83" spans="1:17">
      <c r="A83" t="str">
        <f t="shared" si="2"/>
        <v>08</v>
      </c>
      <c r="B83" s="130" t="s">
        <v>637</v>
      </c>
      <c r="C83" s="130" t="s">
        <v>633</v>
      </c>
      <c r="D83" s="130" t="s">
        <v>638</v>
      </c>
      <c r="E83" s="130" t="s">
        <v>484</v>
      </c>
      <c r="H83" s="130" t="s">
        <v>485</v>
      </c>
      <c r="I83" s="130" t="s">
        <v>486</v>
      </c>
      <c r="L83" s="252">
        <v>3724656</v>
      </c>
      <c r="M83" s="252">
        <v>0</v>
      </c>
      <c r="O83" s="252">
        <v>0</v>
      </c>
      <c r="P83" s="252">
        <v>3103880</v>
      </c>
      <c r="Q83" s="252">
        <v>620776</v>
      </c>
    </row>
    <row r="84" spans="1:17">
      <c r="A84" t="str">
        <f t="shared" si="2"/>
        <v>08</v>
      </c>
      <c r="B84" s="130" t="s">
        <v>639</v>
      </c>
      <c r="C84" s="130" t="s">
        <v>640</v>
      </c>
      <c r="D84" s="130" t="s">
        <v>641</v>
      </c>
      <c r="E84" s="130" t="s">
        <v>552</v>
      </c>
      <c r="H84" s="130" t="s">
        <v>485</v>
      </c>
      <c r="I84" s="130" t="s">
        <v>553</v>
      </c>
      <c r="L84" s="252">
        <v>2443106</v>
      </c>
      <c r="M84" s="252">
        <v>0</v>
      </c>
      <c r="O84" s="252">
        <v>0</v>
      </c>
      <c r="P84" s="252">
        <v>2035921</v>
      </c>
      <c r="Q84" s="252">
        <v>407185</v>
      </c>
    </row>
    <row r="85" spans="1:17">
      <c r="A85" t="str">
        <f t="shared" si="2"/>
        <v>08</v>
      </c>
      <c r="B85" s="130" t="s">
        <v>642</v>
      </c>
      <c r="C85" s="130" t="s">
        <v>640</v>
      </c>
      <c r="D85" s="130" t="s">
        <v>643</v>
      </c>
      <c r="E85" s="130" t="s">
        <v>552</v>
      </c>
      <c r="I85" s="130" t="s">
        <v>553</v>
      </c>
      <c r="L85" s="252">
        <v>637240</v>
      </c>
      <c r="M85" s="252">
        <v>0</v>
      </c>
      <c r="O85" s="252">
        <v>0</v>
      </c>
      <c r="P85" s="252">
        <v>531033</v>
      </c>
      <c r="Q85" s="252">
        <v>106207</v>
      </c>
    </row>
    <row r="86" spans="1:17">
      <c r="A86" t="str">
        <f t="shared" si="2"/>
        <v>08</v>
      </c>
      <c r="B86" s="130" t="s">
        <v>644</v>
      </c>
      <c r="C86" s="130" t="s">
        <v>645</v>
      </c>
      <c r="D86" s="130" t="s">
        <v>646</v>
      </c>
      <c r="E86" s="130" t="s">
        <v>552</v>
      </c>
      <c r="I86" s="130" t="s">
        <v>553</v>
      </c>
      <c r="L86" s="252">
        <v>1178197</v>
      </c>
      <c r="M86" s="252">
        <v>0</v>
      </c>
      <c r="O86" s="252">
        <v>0</v>
      </c>
      <c r="P86" s="252">
        <v>981831</v>
      </c>
      <c r="Q86" s="252">
        <v>196366</v>
      </c>
    </row>
    <row r="87" spans="1:17">
      <c r="A87" t="str">
        <f t="shared" si="2"/>
        <v>08</v>
      </c>
      <c r="B87" s="130" t="s">
        <v>647</v>
      </c>
      <c r="C87" s="130" t="s">
        <v>648</v>
      </c>
      <c r="D87" s="130" t="s">
        <v>649</v>
      </c>
      <c r="E87" s="130" t="s">
        <v>552</v>
      </c>
      <c r="I87" s="130" t="s">
        <v>553</v>
      </c>
      <c r="L87" s="252">
        <v>1465200</v>
      </c>
      <c r="M87" s="252">
        <v>0</v>
      </c>
      <c r="O87" s="252">
        <v>0</v>
      </c>
      <c r="P87" s="252">
        <v>1221000</v>
      </c>
      <c r="Q87" s="252">
        <v>244200</v>
      </c>
    </row>
    <row r="88" spans="1:17">
      <c r="A88" t="str">
        <f t="shared" si="2"/>
        <v>08</v>
      </c>
      <c r="B88" s="130" t="s">
        <v>650</v>
      </c>
      <c r="C88" s="130" t="s">
        <v>648</v>
      </c>
      <c r="D88" s="130" t="s">
        <v>651</v>
      </c>
      <c r="E88" s="130" t="s">
        <v>552</v>
      </c>
      <c r="I88" s="130" t="s">
        <v>553</v>
      </c>
      <c r="L88" s="252">
        <v>136919</v>
      </c>
      <c r="M88" s="252">
        <v>0</v>
      </c>
      <c r="O88" s="252">
        <v>0</v>
      </c>
      <c r="P88" s="252">
        <v>114099</v>
      </c>
      <c r="Q88" s="252">
        <v>22820</v>
      </c>
    </row>
    <row r="89" spans="1:17">
      <c r="A89" t="str">
        <f t="shared" si="2"/>
        <v>08</v>
      </c>
      <c r="B89" s="130" t="s">
        <v>652</v>
      </c>
      <c r="C89" s="130" t="s">
        <v>653</v>
      </c>
      <c r="D89" s="130" t="s">
        <v>654</v>
      </c>
      <c r="E89" s="130" t="s">
        <v>338</v>
      </c>
      <c r="I89" s="130" t="s">
        <v>508</v>
      </c>
      <c r="L89" s="252">
        <v>329760</v>
      </c>
      <c r="M89" s="252">
        <v>0</v>
      </c>
      <c r="O89" s="252">
        <v>0</v>
      </c>
      <c r="P89" s="252">
        <v>274800</v>
      </c>
      <c r="Q89" s="252">
        <v>54960</v>
      </c>
    </row>
    <row r="90" spans="1:17">
      <c r="A90" t="str">
        <f t="shared" si="2"/>
        <v>08</v>
      </c>
      <c r="B90" s="130" t="s">
        <v>655</v>
      </c>
      <c r="C90" s="130" t="s">
        <v>656</v>
      </c>
      <c r="D90" s="130" t="s">
        <v>657</v>
      </c>
      <c r="E90" s="130" t="s">
        <v>552</v>
      </c>
      <c r="I90" s="130" t="s">
        <v>553</v>
      </c>
      <c r="L90" s="252">
        <v>740000</v>
      </c>
      <c r="M90" s="252">
        <v>0</v>
      </c>
      <c r="O90" s="252">
        <v>0</v>
      </c>
      <c r="P90" s="252">
        <v>616667</v>
      </c>
      <c r="Q90" s="252">
        <v>123333</v>
      </c>
    </row>
    <row r="91" spans="1:17">
      <c r="A91" t="str">
        <f t="shared" si="2"/>
        <v>08</v>
      </c>
      <c r="B91" s="130" t="s">
        <v>658</v>
      </c>
      <c r="C91" s="130" t="s">
        <v>659</v>
      </c>
      <c r="D91" s="130" t="s">
        <v>660</v>
      </c>
      <c r="E91" s="130" t="s">
        <v>552</v>
      </c>
      <c r="I91" s="130" t="s">
        <v>553</v>
      </c>
      <c r="L91" s="252">
        <v>429734</v>
      </c>
      <c r="M91" s="252">
        <v>0</v>
      </c>
      <c r="O91" s="252">
        <v>0</v>
      </c>
      <c r="P91" s="252">
        <v>358112</v>
      </c>
      <c r="Q91" s="252">
        <v>71622</v>
      </c>
    </row>
    <row r="92" spans="1:17">
      <c r="A92" t="str">
        <f t="shared" si="2"/>
        <v>08</v>
      </c>
      <c r="B92" s="130" t="s">
        <v>661</v>
      </c>
      <c r="C92" s="130" t="s">
        <v>659</v>
      </c>
      <c r="D92" s="130" t="s">
        <v>662</v>
      </c>
      <c r="E92" s="130" t="s">
        <v>552</v>
      </c>
      <c r="I92" s="130" t="s">
        <v>553</v>
      </c>
      <c r="L92" s="252">
        <v>70718</v>
      </c>
      <c r="M92" s="252">
        <v>0</v>
      </c>
      <c r="O92" s="252">
        <v>0</v>
      </c>
      <c r="P92" s="252">
        <v>58932</v>
      </c>
      <c r="Q92" s="252">
        <v>11786</v>
      </c>
    </row>
    <row r="93" spans="1:17">
      <c r="A93" t="str">
        <f t="shared" si="2"/>
        <v>08</v>
      </c>
      <c r="B93" s="130" t="s">
        <v>663</v>
      </c>
      <c r="C93" s="130" t="s">
        <v>659</v>
      </c>
      <c r="D93" s="130" t="s">
        <v>664</v>
      </c>
      <c r="E93" s="130" t="s">
        <v>552</v>
      </c>
      <c r="I93" s="130" t="s">
        <v>553</v>
      </c>
      <c r="L93" s="252">
        <v>100650</v>
      </c>
      <c r="M93" s="252">
        <v>0</v>
      </c>
      <c r="O93" s="252">
        <v>0</v>
      </c>
      <c r="P93" s="252">
        <v>83875</v>
      </c>
      <c r="Q93" s="252">
        <v>16775</v>
      </c>
    </row>
    <row r="94" spans="1:17">
      <c r="A94" t="str">
        <f t="shared" ref="A94:A157" si="3">MID(C94,4,2)</f>
        <v>08</v>
      </c>
      <c r="B94" s="130" t="s">
        <v>665</v>
      </c>
      <c r="C94" s="130" t="s">
        <v>666</v>
      </c>
      <c r="D94" s="130" t="s">
        <v>667</v>
      </c>
      <c r="E94" s="130" t="s">
        <v>552</v>
      </c>
      <c r="I94" s="130" t="s">
        <v>553</v>
      </c>
      <c r="L94" s="252">
        <v>1036000</v>
      </c>
      <c r="M94" s="252">
        <v>0</v>
      </c>
      <c r="O94" s="252">
        <v>0</v>
      </c>
      <c r="P94" s="252">
        <v>863333</v>
      </c>
      <c r="Q94" s="252">
        <v>172667</v>
      </c>
    </row>
    <row r="95" spans="1:17">
      <c r="A95" t="str">
        <f t="shared" si="3"/>
        <v>08</v>
      </c>
      <c r="B95" s="130" t="s">
        <v>668</v>
      </c>
      <c r="C95" s="130" t="s">
        <v>666</v>
      </c>
      <c r="D95" s="130" t="s">
        <v>669</v>
      </c>
      <c r="E95" s="130" t="s">
        <v>552</v>
      </c>
      <c r="I95" s="130" t="s">
        <v>553</v>
      </c>
      <c r="L95" s="252">
        <v>349744</v>
      </c>
      <c r="M95" s="252">
        <v>0</v>
      </c>
      <c r="O95" s="252">
        <v>0</v>
      </c>
      <c r="P95" s="252">
        <v>291453</v>
      </c>
      <c r="Q95" s="252">
        <v>58291</v>
      </c>
    </row>
    <row r="96" spans="1:17">
      <c r="A96" t="str">
        <f t="shared" si="3"/>
        <v>08</v>
      </c>
      <c r="B96" s="130" t="s">
        <v>670</v>
      </c>
      <c r="C96" s="130" t="s">
        <v>666</v>
      </c>
      <c r="D96" s="130" t="s">
        <v>671</v>
      </c>
      <c r="E96" s="130" t="s">
        <v>552</v>
      </c>
      <c r="I96" s="130" t="s">
        <v>553</v>
      </c>
      <c r="L96" s="252">
        <v>105285</v>
      </c>
      <c r="M96" s="252">
        <v>0</v>
      </c>
      <c r="O96" s="252">
        <v>0</v>
      </c>
      <c r="P96" s="252">
        <v>87737.5</v>
      </c>
      <c r="Q96" s="252">
        <v>17547.5</v>
      </c>
    </row>
    <row r="97" spans="1:19">
      <c r="A97" t="str">
        <f t="shared" si="3"/>
        <v>08</v>
      </c>
      <c r="B97" s="130" t="s">
        <v>672</v>
      </c>
      <c r="C97" s="130" t="s">
        <v>666</v>
      </c>
      <c r="D97" s="130" t="s">
        <v>673</v>
      </c>
      <c r="E97" s="130" t="s">
        <v>552</v>
      </c>
      <c r="I97" s="130" t="s">
        <v>553</v>
      </c>
      <c r="L97" s="252">
        <v>53300</v>
      </c>
      <c r="M97" s="252">
        <v>0</v>
      </c>
      <c r="O97" s="252">
        <v>0</v>
      </c>
      <c r="P97" s="252">
        <v>44417</v>
      </c>
      <c r="Q97" s="252">
        <v>8883</v>
      </c>
    </row>
    <row r="98" spans="1:19">
      <c r="A98" t="str">
        <f t="shared" si="3"/>
        <v/>
      </c>
      <c r="B98" s="130" t="s">
        <v>582</v>
      </c>
      <c r="K98" s="126" t="s">
        <v>584</v>
      </c>
      <c r="L98" s="132" t="s">
        <v>674</v>
      </c>
      <c r="M98" s="132" t="s">
        <v>333</v>
      </c>
      <c r="O98" s="132" t="s">
        <v>333</v>
      </c>
      <c r="P98" s="132" t="s">
        <v>675</v>
      </c>
      <c r="Q98" s="132" t="s">
        <v>676</v>
      </c>
    </row>
    <row r="99" spans="1:19">
      <c r="A99" t="str">
        <f t="shared" si="3"/>
        <v/>
      </c>
      <c r="B99" s="130" t="s">
        <v>583</v>
      </c>
      <c r="K99" s="126" t="s">
        <v>589</v>
      </c>
      <c r="L99" s="133">
        <v>120574638.64</v>
      </c>
      <c r="M99" s="133">
        <v>0</v>
      </c>
      <c r="O99" s="133">
        <v>0</v>
      </c>
      <c r="P99" s="133">
        <v>100479659.27</v>
      </c>
      <c r="Q99" s="133">
        <v>20094979.370000001</v>
      </c>
    </row>
    <row r="100" spans="1:19">
      <c r="A100" t="str">
        <f t="shared" si="3"/>
        <v/>
      </c>
      <c r="B100" s="130" t="s">
        <v>677</v>
      </c>
    </row>
    <row r="101" spans="1:19">
      <c r="A101" t="str">
        <f t="shared" si="3"/>
        <v/>
      </c>
      <c r="L101" s="130" t="s">
        <v>590</v>
      </c>
    </row>
    <row r="102" spans="1:19">
      <c r="A102" t="str">
        <f t="shared" si="3"/>
        <v/>
      </c>
      <c r="L102" s="130" t="s">
        <v>678</v>
      </c>
      <c r="P102" s="130" t="s">
        <v>592</v>
      </c>
      <c r="Q102" s="239" t="s">
        <v>593</v>
      </c>
    </row>
    <row r="103" spans="1:19" ht="30">
      <c r="A103" t="str">
        <f t="shared" si="3"/>
        <v/>
      </c>
      <c r="B103" s="247" t="s">
        <v>430</v>
      </c>
    </row>
    <row r="104" spans="1:19">
      <c r="A104" t="str">
        <f t="shared" si="3"/>
        <v/>
      </c>
      <c r="B104" s="248" t="s">
        <v>431</v>
      </c>
      <c r="P104" s="249" t="s">
        <v>432</v>
      </c>
    </row>
    <row r="105" spans="1:19">
      <c r="B105" s="248" t="s">
        <v>433</v>
      </c>
      <c r="C105" s="249" t="s">
        <v>434</v>
      </c>
    </row>
    <row r="106" spans="1:19">
      <c r="B106" s="248" t="s">
        <v>435</v>
      </c>
      <c r="G106" s="239" t="s">
        <v>436</v>
      </c>
      <c r="J106" s="239" t="s">
        <v>437</v>
      </c>
      <c r="L106" s="239" t="s">
        <v>438</v>
      </c>
      <c r="M106" s="250">
        <v>2010</v>
      </c>
      <c r="R106" s="126" t="s">
        <v>334</v>
      </c>
      <c r="S106" s="126" t="s">
        <v>439</v>
      </c>
    </row>
    <row r="107" spans="1:19">
      <c r="B107" s="251" t="s">
        <v>440</v>
      </c>
      <c r="M107" s="239" t="s">
        <v>441</v>
      </c>
      <c r="P107" s="239" t="s">
        <v>442</v>
      </c>
    </row>
    <row r="108" spans="1:19">
      <c r="J108" s="239" t="s">
        <v>445</v>
      </c>
      <c r="L108" s="239" t="s">
        <v>446</v>
      </c>
    </row>
    <row r="109" spans="1:19">
      <c r="B109" s="239" t="s">
        <v>443</v>
      </c>
      <c r="C109" s="239" t="s">
        <v>451</v>
      </c>
      <c r="D109" s="239" t="s">
        <v>452</v>
      </c>
      <c r="E109" s="239" t="s">
        <v>453</v>
      </c>
      <c r="H109" s="239" t="s">
        <v>454</v>
      </c>
      <c r="I109" s="239" t="s">
        <v>444</v>
      </c>
      <c r="J109" s="239" t="s">
        <v>456</v>
      </c>
      <c r="L109" s="239" t="s">
        <v>457</v>
      </c>
      <c r="M109" s="239" t="s">
        <v>447</v>
      </c>
      <c r="O109" s="239" t="s">
        <v>448</v>
      </c>
      <c r="P109" s="239" t="s">
        <v>449</v>
      </c>
      <c r="Q109" s="239" t="s">
        <v>156</v>
      </c>
    </row>
    <row r="110" spans="1:19">
      <c r="A110" t="str">
        <f t="shared" si="3"/>
        <v/>
      </c>
      <c r="B110" s="132" t="s">
        <v>450</v>
      </c>
      <c r="I110" s="239" t="s">
        <v>455</v>
      </c>
      <c r="M110" s="239" t="s">
        <v>458</v>
      </c>
      <c r="O110" s="239" t="s">
        <v>459</v>
      </c>
      <c r="P110" s="239" t="s">
        <v>460</v>
      </c>
    </row>
    <row r="111" spans="1:19">
      <c r="A111" t="str">
        <f t="shared" si="3"/>
        <v/>
      </c>
      <c r="B111" s="248" t="s">
        <v>461</v>
      </c>
      <c r="C111" s="248" t="s">
        <v>462</v>
      </c>
      <c r="D111" s="248" t="s">
        <v>463</v>
      </c>
      <c r="E111" s="248" t="s">
        <v>464</v>
      </c>
      <c r="H111" s="248" t="s">
        <v>447</v>
      </c>
      <c r="I111" s="248" t="s">
        <v>467</v>
      </c>
      <c r="J111" s="248" t="s">
        <v>468</v>
      </c>
      <c r="L111" s="248" t="s">
        <v>470</v>
      </c>
      <c r="M111" s="248" t="s">
        <v>471</v>
      </c>
      <c r="O111" s="248" t="s">
        <v>473</v>
      </c>
      <c r="P111" s="248" t="s">
        <v>474</v>
      </c>
      <c r="Q111" s="248" t="s">
        <v>475</v>
      </c>
    </row>
    <row r="112" spans="1:19">
      <c r="A112" t="str">
        <f t="shared" si="3"/>
        <v>08</v>
      </c>
      <c r="B112" s="130" t="s">
        <v>679</v>
      </c>
      <c r="C112" s="130" t="s">
        <v>680</v>
      </c>
      <c r="D112" s="130" t="s">
        <v>681</v>
      </c>
      <c r="E112" s="130" t="s">
        <v>336</v>
      </c>
      <c r="I112" s="130" t="s">
        <v>504</v>
      </c>
      <c r="L112" s="252">
        <v>39749.5</v>
      </c>
      <c r="M112" s="252">
        <v>0</v>
      </c>
      <c r="O112" s="252">
        <v>0</v>
      </c>
      <c r="P112" s="252">
        <v>33240</v>
      </c>
      <c r="Q112" s="252">
        <v>6509.5</v>
      </c>
    </row>
    <row r="113" spans="1:17">
      <c r="A113" t="str">
        <f t="shared" si="3"/>
        <v>09</v>
      </c>
      <c r="B113" s="130" t="s">
        <v>682</v>
      </c>
      <c r="C113" s="130" t="s">
        <v>683</v>
      </c>
      <c r="D113" s="130" t="s">
        <v>684</v>
      </c>
      <c r="E113" s="130" t="s">
        <v>635</v>
      </c>
      <c r="I113" s="130" t="s">
        <v>636</v>
      </c>
      <c r="L113" s="252">
        <v>904398</v>
      </c>
      <c r="M113" s="252">
        <v>0</v>
      </c>
      <c r="O113" s="252">
        <v>0</v>
      </c>
      <c r="P113" s="252">
        <v>753665</v>
      </c>
      <c r="Q113" s="252">
        <v>150733</v>
      </c>
    </row>
    <row r="114" spans="1:17">
      <c r="A114" t="str">
        <f t="shared" si="3"/>
        <v>09</v>
      </c>
      <c r="B114" s="130" t="s">
        <v>685</v>
      </c>
      <c r="C114" s="130" t="s">
        <v>686</v>
      </c>
      <c r="D114" s="130" t="s">
        <v>687</v>
      </c>
      <c r="E114" s="130" t="s">
        <v>688</v>
      </c>
      <c r="L114" s="252">
        <v>2604520</v>
      </c>
      <c r="M114" s="252">
        <v>0</v>
      </c>
      <c r="O114" s="252">
        <v>0</v>
      </c>
      <c r="P114" s="252">
        <v>2170433</v>
      </c>
      <c r="Q114" s="252">
        <v>434087</v>
      </c>
    </row>
    <row r="115" spans="1:17">
      <c r="A115" t="str">
        <f t="shared" si="3"/>
        <v>09</v>
      </c>
      <c r="B115" s="130" t="s">
        <v>689</v>
      </c>
      <c r="C115" s="130" t="s">
        <v>690</v>
      </c>
      <c r="D115" s="130" t="s">
        <v>691</v>
      </c>
      <c r="E115" s="130" t="s">
        <v>552</v>
      </c>
      <c r="I115" s="130" t="s">
        <v>553</v>
      </c>
      <c r="L115" s="252">
        <v>318966</v>
      </c>
      <c r="M115" s="252">
        <v>0</v>
      </c>
      <c r="O115" s="252">
        <v>0</v>
      </c>
      <c r="P115" s="252">
        <v>265805</v>
      </c>
      <c r="Q115" s="252">
        <v>53161</v>
      </c>
    </row>
    <row r="116" spans="1:17">
      <c r="A116" t="str">
        <f t="shared" si="3"/>
        <v>09</v>
      </c>
      <c r="B116" s="130" t="s">
        <v>692</v>
      </c>
      <c r="C116" s="130" t="s">
        <v>690</v>
      </c>
      <c r="D116" s="130" t="s">
        <v>693</v>
      </c>
      <c r="E116" s="130" t="s">
        <v>552</v>
      </c>
      <c r="I116" s="130" t="s">
        <v>553</v>
      </c>
      <c r="L116" s="252">
        <v>793280</v>
      </c>
      <c r="M116" s="252">
        <v>0</v>
      </c>
      <c r="O116" s="252">
        <v>0</v>
      </c>
      <c r="P116" s="252">
        <v>661067</v>
      </c>
      <c r="Q116" s="252">
        <v>132213</v>
      </c>
    </row>
    <row r="117" spans="1:17">
      <c r="A117" t="str">
        <f t="shared" si="3"/>
        <v>09</v>
      </c>
      <c r="B117" s="130" t="s">
        <v>694</v>
      </c>
      <c r="C117" s="130" t="s">
        <v>690</v>
      </c>
      <c r="D117" s="130" t="s">
        <v>695</v>
      </c>
      <c r="E117" s="130" t="s">
        <v>552</v>
      </c>
      <c r="I117" s="130" t="s">
        <v>553</v>
      </c>
      <c r="L117" s="252">
        <v>71849</v>
      </c>
      <c r="M117" s="252">
        <v>0</v>
      </c>
      <c r="O117" s="252">
        <v>0</v>
      </c>
      <c r="P117" s="252">
        <v>59874</v>
      </c>
      <c r="Q117" s="252">
        <v>11975</v>
      </c>
    </row>
    <row r="118" spans="1:17">
      <c r="A118" t="str">
        <f t="shared" si="3"/>
        <v>09</v>
      </c>
      <c r="B118" s="130" t="s">
        <v>696</v>
      </c>
      <c r="C118" s="130" t="s">
        <v>697</v>
      </c>
      <c r="D118" s="130" t="s">
        <v>698</v>
      </c>
      <c r="E118" s="130" t="s">
        <v>552</v>
      </c>
      <c r="I118" s="130" t="s">
        <v>553</v>
      </c>
      <c r="L118" s="252">
        <v>76630</v>
      </c>
      <c r="M118" s="252">
        <v>0</v>
      </c>
      <c r="O118" s="252">
        <v>0</v>
      </c>
      <c r="P118" s="252">
        <v>63858</v>
      </c>
      <c r="Q118" s="252">
        <v>12772</v>
      </c>
    </row>
    <row r="119" spans="1:17">
      <c r="A119" t="str">
        <f t="shared" si="3"/>
        <v>09</v>
      </c>
      <c r="B119" s="130" t="s">
        <v>699</v>
      </c>
      <c r="C119" s="130" t="s">
        <v>700</v>
      </c>
      <c r="D119" s="130" t="s">
        <v>701</v>
      </c>
      <c r="E119" s="130" t="s">
        <v>552</v>
      </c>
      <c r="I119" s="130" t="s">
        <v>553</v>
      </c>
      <c r="L119" s="252">
        <v>468026</v>
      </c>
      <c r="M119" s="252">
        <v>0</v>
      </c>
      <c r="O119" s="252">
        <v>0</v>
      </c>
      <c r="P119" s="252">
        <v>390022</v>
      </c>
      <c r="Q119" s="252">
        <v>78004</v>
      </c>
    </row>
    <row r="120" spans="1:17">
      <c r="A120" t="str">
        <f t="shared" si="3"/>
        <v>09</v>
      </c>
      <c r="B120" s="130" t="s">
        <v>702</v>
      </c>
      <c r="C120" s="130" t="s">
        <v>700</v>
      </c>
      <c r="D120" s="130" t="s">
        <v>703</v>
      </c>
      <c r="E120" s="130" t="s">
        <v>552</v>
      </c>
      <c r="I120" s="130" t="s">
        <v>553</v>
      </c>
      <c r="L120" s="252">
        <v>73812</v>
      </c>
      <c r="M120" s="252">
        <v>0</v>
      </c>
      <c r="O120" s="252">
        <v>0</v>
      </c>
      <c r="P120" s="252">
        <v>61510</v>
      </c>
      <c r="Q120" s="252">
        <v>12302</v>
      </c>
    </row>
    <row r="121" spans="1:17">
      <c r="A121" t="str">
        <f t="shared" si="3"/>
        <v>09</v>
      </c>
      <c r="B121" s="130" t="s">
        <v>704</v>
      </c>
      <c r="C121" s="130" t="s">
        <v>700</v>
      </c>
      <c r="D121" s="130" t="s">
        <v>705</v>
      </c>
      <c r="E121" s="130" t="s">
        <v>552</v>
      </c>
      <c r="I121" s="130" t="s">
        <v>553</v>
      </c>
      <c r="L121" s="252">
        <v>47295</v>
      </c>
      <c r="M121" s="252">
        <v>0</v>
      </c>
      <c r="O121" s="252">
        <v>0</v>
      </c>
      <c r="P121" s="252">
        <v>39412.5</v>
      </c>
      <c r="Q121" s="252">
        <v>7882.5</v>
      </c>
    </row>
    <row r="122" spans="1:17">
      <c r="A122" t="str">
        <f t="shared" si="3"/>
        <v>09</v>
      </c>
      <c r="B122" s="130" t="s">
        <v>706</v>
      </c>
      <c r="C122" s="130" t="s">
        <v>700</v>
      </c>
      <c r="D122" s="130" t="s">
        <v>707</v>
      </c>
      <c r="E122" s="130" t="s">
        <v>552</v>
      </c>
      <c r="I122" s="130" t="s">
        <v>553</v>
      </c>
      <c r="L122" s="252">
        <v>468026</v>
      </c>
      <c r="M122" s="252">
        <v>0</v>
      </c>
      <c r="O122" s="252">
        <v>0</v>
      </c>
      <c r="P122" s="252">
        <v>390022</v>
      </c>
      <c r="Q122" s="252">
        <v>78004</v>
      </c>
    </row>
    <row r="123" spans="1:17">
      <c r="A123" t="str">
        <f t="shared" si="3"/>
        <v>09</v>
      </c>
      <c r="B123" s="130" t="s">
        <v>708</v>
      </c>
      <c r="C123" s="130" t="s">
        <v>709</v>
      </c>
      <c r="D123" s="130" t="s">
        <v>710</v>
      </c>
      <c r="E123" s="130" t="s">
        <v>520</v>
      </c>
      <c r="I123" s="130" t="s">
        <v>521</v>
      </c>
      <c r="L123" s="252">
        <v>44256</v>
      </c>
      <c r="M123" s="252">
        <v>0</v>
      </c>
      <c r="O123" s="252">
        <v>0</v>
      </c>
      <c r="P123" s="252">
        <v>36880</v>
      </c>
      <c r="Q123" s="252">
        <v>7376</v>
      </c>
    </row>
    <row r="124" spans="1:17">
      <c r="A124" t="str">
        <f t="shared" si="3"/>
        <v>09</v>
      </c>
      <c r="B124" s="130" t="s">
        <v>711</v>
      </c>
      <c r="C124" s="130" t="s">
        <v>712</v>
      </c>
      <c r="D124" s="130" t="s">
        <v>713</v>
      </c>
      <c r="E124" s="130" t="s">
        <v>552</v>
      </c>
      <c r="I124" s="130" t="s">
        <v>553</v>
      </c>
      <c r="L124" s="252">
        <v>1736040</v>
      </c>
      <c r="M124" s="252">
        <v>0</v>
      </c>
      <c r="O124" s="252">
        <v>0</v>
      </c>
      <c r="P124" s="252">
        <v>1446700</v>
      </c>
      <c r="Q124" s="252">
        <v>289340</v>
      </c>
    </row>
    <row r="125" spans="1:17">
      <c r="A125" t="str">
        <f t="shared" si="3"/>
        <v>09</v>
      </c>
      <c r="B125" s="130" t="s">
        <v>714</v>
      </c>
      <c r="C125" s="130" t="s">
        <v>712</v>
      </c>
      <c r="D125" s="130" t="s">
        <v>715</v>
      </c>
      <c r="E125" s="130" t="s">
        <v>552</v>
      </c>
      <c r="I125" s="130" t="s">
        <v>553</v>
      </c>
      <c r="L125" s="252">
        <v>170861</v>
      </c>
      <c r="M125" s="252">
        <v>0</v>
      </c>
      <c r="O125" s="252">
        <v>0</v>
      </c>
      <c r="P125" s="252">
        <v>142384</v>
      </c>
      <c r="Q125" s="252">
        <v>28477</v>
      </c>
    </row>
    <row r="126" spans="1:17">
      <c r="A126" t="str">
        <f t="shared" si="3"/>
        <v>09</v>
      </c>
      <c r="B126" s="130" t="s">
        <v>716</v>
      </c>
      <c r="C126" s="130" t="s">
        <v>712</v>
      </c>
      <c r="D126" s="130" t="s">
        <v>717</v>
      </c>
      <c r="E126" s="130" t="s">
        <v>552</v>
      </c>
      <c r="I126" s="130" t="s">
        <v>553</v>
      </c>
      <c r="L126" s="252">
        <v>297529</v>
      </c>
      <c r="M126" s="252">
        <v>0</v>
      </c>
      <c r="O126" s="252">
        <v>0</v>
      </c>
      <c r="P126" s="252">
        <v>247941</v>
      </c>
      <c r="Q126" s="252">
        <v>49588</v>
      </c>
    </row>
    <row r="127" spans="1:17">
      <c r="A127" t="str">
        <f t="shared" si="3"/>
        <v>09</v>
      </c>
      <c r="B127" s="130" t="s">
        <v>718</v>
      </c>
      <c r="C127" s="130" t="s">
        <v>712</v>
      </c>
      <c r="D127" s="130" t="s">
        <v>719</v>
      </c>
      <c r="E127" s="130" t="s">
        <v>552</v>
      </c>
      <c r="I127" s="130" t="s">
        <v>553</v>
      </c>
      <c r="L127" s="252">
        <v>465192</v>
      </c>
      <c r="M127" s="252">
        <v>0</v>
      </c>
      <c r="O127" s="252">
        <v>0</v>
      </c>
      <c r="P127" s="252">
        <v>387660</v>
      </c>
      <c r="Q127" s="252">
        <v>77532</v>
      </c>
    </row>
    <row r="128" spans="1:17">
      <c r="A128" t="str">
        <f t="shared" si="3"/>
        <v>09</v>
      </c>
      <c r="B128" s="130" t="s">
        <v>720</v>
      </c>
      <c r="C128" s="130" t="s">
        <v>712</v>
      </c>
      <c r="D128" s="130" t="s">
        <v>721</v>
      </c>
      <c r="E128" s="130" t="s">
        <v>336</v>
      </c>
      <c r="I128" s="130" t="s">
        <v>504</v>
      </c>
      <c r="L128" s="252">
        <v>39749.5</v>
      </c>
      <c r="M128" s="252">
        <v>0</v>
      </c>
      <c r="O128" s="252">
        <v>0</v>
      </c>
      <c r="P128" s="252">
        <v>33240</v>
      </c>
      <c r="Q128" s="252">
        <v>6509.5</v>
      </c>
    </row>
    <row r="129" spans="1:17">
      <c r="A129" t="str">
        <f t="shared" si="3"/>
        <v>09</v>
      </c>
      <c r="B129" s="130" t="s">
        <v>722</v>
      </c>
      <c r="C129" s="130" t="s">
        <v>712</v>
      </c>
      <c r="D129" s="130" t="s">
        <v>723</v>
      </c>
      <c r="E129" s="130" t="s">
        <v>552</v>
      </c>
      <c r="I129" s="130" t="s">
        <v>553</v>
      </c>
      <c r="L129" s="252">
        <v>261670</v>
      </c>
      <c r="M129" s="252">
        <v>0</v>
      </c>
      <c r="O129" s="252">
        <v>0</v>
      </c>
      <c r="P129" s="252">
        <v>218058</v>
      </c>
      <c r="Q129" s="252">
        <v>43612</v>
      </c>
    </row>
    <row r="130" spans="1:17">
      <c r="A130" t="str">
        <f t="shared" si="3"/>
        <v>10</v>
      </c>
      <c r="B130" s="130" t="s">
        <v>724</v>
      </c>
      <c r="C130" s="130" t="s">
        <v>725</v>
      </c>
      <c r="D130" s="130" t="s">
        <v>726</v>
      </c>
      <c r="E130" s="130" t="s">
        <v>338</v>
      </c>
      <c r="I130" s="130" t="s">
        <v>508</v>
      </c>
      <c r="L130" s="252">
        <v>1524156</v>
      </c>
      <c r="M130" s="252">
        <v>0</v>
      </c>
      <c r="O130" s="252">
        <v>0</v>
      </c>
      <c r="P130" s="252">
        <v>1270130</v>
      </c>
      <c r="Q130" s="252">
        <v>254026</v>
      </c>
    </row>
    <row r="131" spans="1:17">
      <c r="A131" t="str">
        <f t="shared" si="3"/>
        <v>10</v>
      </c>
      <c r="B131" s="130" t="s">
        <v>727</v>
      </c>
      <c r="C131" s="130" t="s">
        <v>728</v>
      </c>
      <c r="D131" s="130" t="s">
        <v>729</v>
      </c>
      <c r="E131" s="130" t="s">
        <v>335</v>
      </c>
      <c r="L131" s="252">
        <v>1658756</v>
      </c>
      <c r="M131" s="252">
        <v>0</v>
      </c>
      <c r="O131" s="252">
        <v>0</v>
      </c>
      <c r="P131" s="252">
        <v>1382297</v>
      </c>
      <c r="Q131" s="252">
        <v>276459</v>
      </c>
    </row>
    <row r="132" spans="1:17">
      <c r="A132" t="str">
        <f t="shared" si="3"/>
        <v>10</v>
      </c>
      <c r="B132" s="130" t="s">
        <v>730</v>
      </c>
      <c r="C132" s="130" t="s">
        <v>731</v>
      </c>
      <c r="D132" s="130" t="s">
        <v>732</v>
      </c>
      <c r="E132" s="130" t="s">
        <v>338</v>
      </c>
      <c r="I132" s="130" t="s">
        <v>508</v>
      </c>
      <c r="L132" s="252">
        <v>167220</v>
      </c>
      <c r="M132" s="252">
        <v>0</v>
      </c>
      <c r="O132" s="252">
        <v>0</v>
      </c>
      <c r="P132" s="252">
        <v>139350</v>
      </c>
      <c r="Q132" s="252">
        <v>27870</v>
      </c>
    </row>
    <row r="133" spans="1:17">
      <c r="A133" t="str">
        <f t="shared" si="3"/>
        <v>10</v>
      </c>
      <c r="B133" s="130" t="s">
        <v>733</v>
      </c>
      <c r="C133" s="130" t="s">
        <v>734</v>
      </c>
      <c r="D133" s="130" t="s">
        <v>735</v>
      </c>
      <c r="E133" s="130" t="s">
        <v>552</v>
      </c>
      <c r="I133" s="130" t="s">
        <v>553</v>
      </c>
      <c r="L133" s="252">
        <v>2812000</v>
      </c>
      <c r="M133" s="252">
        <v>0</v>
      </c>
      <c r="O133" s="252">
        <v>0</v>
      </c>
      <c r="P133" s="252">
        <v>2343333</v>
      </c>
      <c r="Q133" s="252">
        <v>468667</v>
      </c>
    </row>
    <row r="134" spans="1:17">
      <c r="A134" t="str">
        <f t="shared" si="3"/>
        <v>10</v>
      </c>
      <c r="B134" s="130" t="s">
        <v>736</v>
      </c>
      <c r="C134" s="130" t="s">
        <v>734</v>
      </c>
      <c r="D134" s="130" t="s">
        <v>737</v>
      </c>
      <c r="E134" s="130" t="s">
        <v>552</v>
      </c>
      <c r="I134" s="130" t="s">
        <v>553</v>
      </c>
      <c r="L134" s="252">
        <v>277033</v>
      </c>
      <c r="M134" s="252">
        <v>0</v>
      </c>
      <c r="O134" s="252">
        <v>0</v>
      </c>
      <c r="P134" s="252">
        <v>230861</v>
      </c>
      <c r="Q134" s="252">
        <v>46172</v>
      </c>
    </row>
    <row r="135" spans="1:17">
      <c r="A135" t="str">
        <f t="shared" si="3"/>
        <v>10</v>
      </c>
      <c r="B135" s="130" t="s">
        <v>738</v>
      </c>
      <c r="C135" s="130" t="s">
        <v>734</v>
      </c>
      <c r="D135" s="130" t="s">
        <v>739</v>
      </c>
      <c r="E135" s="130" t="s">
        <v>552</v>
      </c>
      <c r="I135" s="130" t="s">
        <v>553</v>
      </c>
      <c r="L135" s="252">
        <v>148000</v>
      </c>
      <c r="M135" s="252">
        <v>0</v>
      </c>
      <c r="O135" s="252">
        <v>0</v>
      </c>
      <c r="P135" s="252">
        <v>123333</v>
      </c>
      <c r="Q135" s="252">
        <v>24667</v>
      </c>
    </row>
    <row r="136" spans="1:17">
      <c r="A136" t="str">
        <f t="shared" si="3"/>
        <v>10</v>
      </c>
      <c r="B136" s="130" t="s">
        <v>740</v>
      </c>
      <c r="C136" s="130" t="s">
        <v>734</v>
      </c>
      <c r="D136" s="130" t="s">
        <v>741</v>
      </c>
      <c r="E136" s="130" t="s">
        <v>552</v>
      </c>
      <c r="I136" s="130" t="s">
        <v>553</v>
      </c>
      <c r="L136" s="252">
        <v>14930</v>
      </c>
      <c r="M136" s="252">
        <v>0</v>
      </c>
      <c r="O136" s="252">
        <v>0</v>
      </c>
      <c r="P136" s="252">
        <v>12442</v>
      </c>
      <c r="Q136" s="252">
        <v>2488</v>
      </c>
    </row>
    <row r="137" spans="1:17">
      <c r="A137" t="str">
        <f t="shared" si="3"/>
        <v>10</v>
      </c>
      <c r="B137" s="130" t="s">
        <v>742</v>
      </c>
      <c r="C137" s="130" t="s">
        <v>734</v>
      </c>
      <c r="D137" s="130" t="s">
        <v>743</v>
      </c>
      <c r="E137" s="130" t="s">
        <v>552</v>
      </c>
      <c r="I137" s="130" t="s">
        <v>553</v>
      </c>
      <c r="L137" s="252">
        <v>577622</v>
      </c>
      <c r="M137" s="252">
        <v>0</v>
      </c>
      <c r="O137" s="252">
        <v>0</v>
      </c>
      <c r="P137" s="252">
        <v>481352</v>
      </c>
      <c r="Q137" s="252">
        <v>96270</v>
      </c>
    </row>
    <row r="138" spans="1:17">
      <c r="A138" t="str">
        <f t="shared" si="3"/>
        <v>10</v>
      </c>
      <c r="B138" s="130" t="s">
        <v>744</v>
      </c>
      <c r="C138" s="130" t="s">
        <v>745</v>
      </c>
      <c r="D138" s="130" t="s">
        <v>746</v>
      </c>
      <c r="E138" s="130" t="s">
        <v>552</v>
      </c>
      <c r="I138" s="130" t="s">
        <v>553</v>
      </c>
      <c r="L138" s="252">
        <v>1184000</v>
      </c>
      <c r="M138" s="252">
        <v>0</v>
      </c>
      <c r="O138" s="252">
        <v>0</v>
      </c>
      <c r="P138" s="252">
        <v>986667</v>
      </c>
      <c r="Q138" s="252">
        <v>197333</v>
      </c>
    </row>
    <row r="139" spans="1:17">
      <c r="A139" t="str">
        <f t="shared" si="3"/>
        <v/>
      </c>
      <c r="B139" s="130" t="s">
        <v>582</v>
      </c>
      <c r="K139" s="126" t="s">
        <v>584</v>
      </c>
      <c r="L139" s="132" t="s">
        <v>747</v>
      </c>
      <c r="M139" s="132" t="s">
        <v>333</v>
      </c>
      <c r="O139" s="132" t="s">
        <v>333</v>
      </c>
      <c r="P139" s="132" t="s">
        <v>748</v>
      </c>
      <c r="Q139" s="132" t="s">
        <v>749</v>
      </c>
    </row>
    <row r="140" spans="1:17">
      <c r="A140" t="str">
        <f t="shared" si="3"/>
        <v/>
      </c>
      <c r="B140" s="130" t="s">
        <v>588</v>
      </c>
      <c r="K140" s="126" t="s">
        <v>589</v>
      </c>
      <c r="L140" s="133">
        <v>138640991.63999999</v>
      </c>
      <c r="M140" s="133">
        <v>0</v>
      </c>
      <c r="O140" s="133">
        <v>0</v>
      </c>
      <c r="P140" s="133">
        <v>115535185.77</v>
      </c>
      <c r="Q140" s="133">
        <v>23105805.870000001</v>
      </c>
    </row>
    <row r="141" spans="1:17">
      <c r="A141" t="str">
        <f t="shared" si="3"/>
        <v/>
      </c>
      <c r="B141" s="130" t="s">
        <v>677</v>
      </c>
      <c r="L141" s="130" t="s">
        <v>590</v>
      </c>
    </row>
    <row r="142" spans="1:17">
      <c r="A142" t="str">
        <f t="shared" si="3"/>
        <v/>
      </c>
      <c r="L142" s="130" t="s">
        <v>591</v>
      </c>
      <c r="P142" s="130" t="s">
        <v>592</v>
      </c>
      <c r="Q142" s="239" t="s">
        <v>593</v>
      </c>
    </row>
    <row r="143" spans="1:17">
      <c r="A143" t="str">
        <f t="shared" si="3"/>
        <v/>
      </c>
      <c r="L143" s="130" t="s">
        <v>678</v>
      </c>
    </row>
    <row r="144" spans="1:17" ht="30">
      <c r="A144" t="str">
        <f t="shared" si="3"/>
        <v/>
      </c>
      <c r="B144" s="247" t="s">
        <v>430</v>
      </c>
    </row>
    <row r="145" spans="1:19">
      <c r="A145" t="str">
        <f t="shared" si="3"/>
        <v/>
      </c>
      <c r="B145" s="248" t="s">
        <v>431</v>
      </c>
      <c r="P145" s="249" t="s">
        <v>432</v>
      </c>
    </row>
    <row r="146" spans="1:19">
      <c r="B146" s="248" t="s">
        <v>433</v>
      </c>
      <c r="C146" s="249" t="s">
        <v>434</v>
      </c>
    </row>
    <row r="147" spans="1:19">
      <c r="B147" s="248" t="s">
        <v>435</v>
      </c>
      <c r="G147" s="239" t="s">
        <v>436</v>
      </c>
      <c r="J147" s="239" t="s">
        <v>437</v>
      </c>
      <c r="L147" s="239" t="s">
        <v>438</v>
      </c>
      <c r="M147" s="250">
        <v>2010</v>
      </c>
      <c r="R147" s="126" t="s">
        <v>334</v>
      </c>
      <c r="S147" s="126" t="s">
        <v>439</v>
      </c>
    </row>
    <row r="148" spans="1:19">
      <c r="B148" s="251" t="s">
        <v>440</v>
      </c>
      <c r="J148" s="239" t="s">
        <v>445</v>
      </c>
      <c r="L148" s="239" t="s">
        <v>446</v>
      </c>
      <c r="M148" s="239" t="s">
        <v>441</v>
      </c>
      <c r="P148" s="239" t="s">
        <v>442</v>
      </c>
    </row>
    <row r="149" spans="1:19">
      <c r="B149" s="239" t="s">
        <v>443</v>
      </c>
      <c r="I149" s="239" t="s">
        <v>444</v>
      </c>
      <c r="M149" s="239" t="s">
        <v>447</v>
      </c>
      <c r="O149" s="239" t="s">
        <v>448</v>
      </c>
      <c r="P149" s="239" t="s">
        <v>449</v>
      </c>
    </row>
    <row r="150" spans="1:19">
      <c r="B150" s="132" t="s">
        <v>450</v>
      </c>
      <c r="C150" s="239" t="s">
        <v>451</v>
      </c>
      <c r="D150" s="239" t="s">
        <v>452</v>
      </c>
      <c r="E150" s="239" t="s">
        <v>453</v>
      </c>
      <c r="H150" s="239" t="s">
        <v>454</v>
      </c>
      <c r="I150" s="239" t="s">
        <v>455</v>
      </c>
      <c r="J150" s="239" t="s">
        <v>456</v>
      </c>
      <c r="L150" s="239" t="s">
        <v>457</v>
      </c>
      <c r="M150" s="239" t="s">
        <v>458</v>
      </c>
      <c r="O150" s="239" t="s">
        <v>459</v>
      </c>
      <c r="P150" s="239" t="s">
        <v>460</v>
      </c>
      <c r="Q150" s="239" t="s">
        <v>156</v>
      </c>
    </row>
    <row r="151" spans="1:19">
      <c r="A151" t="str">
        <f t="shared" si="3"/>
        <v/>
      </c>
      <c r="B151" s="248" t="s">
        <v>461</v>
      </c>
      <c r="C151" s="248" t="s">
        <v>462</v>
      </c>
      <c r="D151" s="248" t="s">
        <v>463</v>
      </c>
      <c r="E151" s="248" t="s">
        <v>464</v>
      </c>
      <c r="H151" s="248" t="s">
        <v>447</v>
      </c>
      <c r="I151" s="248" t="s">
        <v>467</v>
      </c>
      <c r="J151" s="248" t="s">
        <v>468</v>
      </c>
      <c r="L151" s="248" t="s">
        <v>470</v>
      </c>
      <c r="M151" s="248" t="s">
        <v>471</v>
      </c>
      <c r="O151" s="248" t="s">
        <v>473</v>
      </c>
      <c r="P151" s="248" t="s">
        <v>474</v>
      </c>
      <c r="Q151" s="248" t="s">
        <v>475</v>
      </c>
    </row>
    <row r="152" spans="1:19">
      <c r="A152" t="str">
        <f t="shared" si="3"/>
        <v>10</v>
      </c>
      <c r="B152" s="130" t="s">
        <v>750</v>
      </c>
      <c r="C152" s="130" t="s">
        <v>745</v>
      </c>
      <c r="D152" s="130" t="s">
        <v>751</v>
      </c>
      <c r="E152" s="130" t="s">
        <v>520</v>
      </c>
      <c r="I152" s="130" t="s">
        <v>521</v>
      </c>
      <c r="L152" s="252">
        <v>112910</v>
      </c>
      <c r="M152" s="252">
        <v>0</v>
      </c>
      <c r="O152" s="252">
        <v>0</v>
      </c>
      <c r="P152" s="252">
        <v>94092</v>
      </c>
      <c r="Q152" s="252">
        <v>18818</v>
      </c>
    </row>
    <row r="153" spans="1:19">
      <c r="A153" t="str">
        <f t="shared" si="3"/>
        <v>10</v>
      </c>
      <c r="B153" s="130" t="s">
        <v>752</v>
      </c>
      <c r="C153" s="130" t="s">
        <v>745</v>
      </c>
      <c r="D153" s="130" t="s">
        <v>753</v>
      </c>
      <c r="E153" s="130" t="s">
        <v>552</v>
      </c>
      <c r="I153" s="130" t="s">
        <v>553</v>
      </c>
      <c r="L153" s="252">
        <v>176560</v>
      </c>
      <c r="M153" s="252">
        <v>0</v>
      </c>
      <c r="O153" s="252">
        <v>0</v>
      </c>
      <c r="P153" s="252">
        <v>147133</v>
      </c>
      <c r="Q153" s="252">
        <v>29427</v>
      </c>
    </row>
    <row r="154" spans="1:19">
      <c r="A154" t="str">
        <f t="shared" si="3"/>
        <v>10</v>
      </c>
      <c r="B154" s="130" t="s">
        <v>754</v>
      </c>
      <c r="C154" s="130" t="s">
        <v>755</v>
      </c>
      <c r="D154" s="130" t="s">
        <v>756</v>
      </c>
      <c r="E154" s="130" t="s">
        <v>552</v>
      </c>
      <c r="I154" s="130" t="s">
        <v>553</v>
      </c>
      <c r="L154" s="252">
        <v>1924000</v>
      </c>
      <c r="M154" s="252">
        <v>0</v>
      </c>
      <c r="O154" s="252">
        <v>0</v>
      </c>
      <c r="P154" s="252">
        <v>1603333</v>
      </c>
      <c r="Q154" s="252">
        <v>320667</v>
      </c>
    </row>
    <row r="155" spans="1:19">
      <c r="A155" t="str">
        <f t="shared" si="3"/>
        <v>10</v>
      </c>
      <c r="B155" s="130" t="s">
        <v>757</v>
      </c>
      <c r="C155" s="130" t="s">
        <v>755</v>
      </c>
      <c r="D155" s="130" t="s">
        <v>758</v>
      </c>
      <c r="E155" s="130" t="s">
        <v>552</v>
      </c>
      <c r="I155" s="130" t="s">
        <v>553</v>
      </c>
      <c r="L155" s="252">
        <v>194622</v>
      </c>
      <c r="M155" s="252">
        <v>0</v>
      </c>
      <c r="O155" s="252">
        <v>0</v>
      </c>
      <c r="P155" s="252">
        <v>162185</v>
      </c>
      <c r="Q155" s="252">
        <v>32437</v>
      </c>
    </row>
    <row r="156" spans="1:19">
      <c r="A156" t="str">
        <f t="shared" si="3"/>
        <v>10</v>
      </c>
      <c r="B156" s="130" t="s">
        <v>759</v>
      </c>
      <c r="C156" s="130" t="s">
        <v>755</v>
      </c>
      <c r="D156" s="130" t="s">
        <v>760</v>
      </c>
      <c r="E156" s="130" t="s">
        <v>552</v>
      </c>
      <c r="I156" s="130" t="s">
        <v>553</v>
      </c>
      <c r="L156" s="252">
        <v>353647</v>
      </c>
      <c r="M156" s="252">
        <v>0</v>
      </c>
      <c r="O156" s="252">
        <v>0</v>
      </c>
      <c r="P156" s="252">
        <v>294706</v>
      </c>
      <c r="Q156" s="252">
        <v>58941</v>
      </c>
    </row>
    <row r="157" spans="1:19">
      <c r="A157" t="str">
        <f t="shared" si="3"/>
        <v>10</v>
      </c>
      <c r="B157" s="130" t="s">
        <v>761</v>
      </c>
      <c r="C157" s="130" t="s">
        <v>755</v>
      </c>
      <c r="D157" s="130" t="s">
        <v>762</v>
      </c>
      <c r="E157" s="130" t="s">
        <v>552</v>
      </c>
      <c r="I157" s="130" t="s">
        <v>553</v>
      </c>
      <c r="L157" s="252">
        <v>3593024</v>
      </c>
      <c r="M157" s="252">
        <v>0</v>
      </c>
      <c r="O157" s="252">
        <v>0</v>
      </c>
      <c r="P157" s="252">
        <v>2994187</v>
      </c>
      <c r="Q157" s="252">
        <v>598837</v>
      </c>
    </row>
    <row r="158" spans="1:19">
      <c r="A158" t="str">
        <f t="shared" ref="A158:A221" si="4">MID(C158,4,2)</f>
        <v>10</v>
      </c>
      <c r="B158" s="130" t="s">
        <v>763</v>
      </c>
      <c r="C158" s="130" t="s">
        <v>755</v>
      </c>
      <c r="D158" s="130" t="s">
        <v>764</v>
      </c>
      <c r="E158" s="130" t="s">
        <v>552</v>
      </c>
      <c r="I158" s="130" t="s">
        <v>553</v>
      </c>
      <c r="L158" s="252">
        <v>3593024</v>
      </c>
      <c r="M158" s="252">
        <v>0</v>
      </c>
      <c r="O158" s="252">
        <v>0</v>
      </c>
      <c r="P158" s="252">
        <v>2994187</v>
      </c>
      <c r="Q158" s="252">
        <v>598837</v>
      </c>
    </row>
    <row r="159" spans="1:19">
      <c r="A159" t="str">
        <f t="shared" si="4"/>
        <v>10</v>
      </c>
      <c r="B159" s="130" t="s">
        <v>765</v>
      </c>
      <c r="C159" s="130" t="s">
        <v>755</v>
      </c>
      <c r="D159" s="130" t="s">
        <v>766</v>
      </c>
      <c r="E159" s="130" t="s">
        <v>336</v>
      </c>
      <c r="I159" s="130" t="s">
        <v>504</v>
      </c>
      <c r="L159" s="252">
        <v>39749.5</v>
      </c>
      <c r="M159" s="252">
        <v>0</v>
      </c>
      <c r="O159" s="252">
        <v>0</v>
      </c>
      <c r="P159" s="252">
        <v>33240</v>
      </c>
      <c r="Q159" s="252">
        <v>6509.5</v>
      </c>
    </row>
    <row r="160" spans="1:19">
      <c r="A160" t="str">
        <f t="shared" si="4"/>
        <v>10</v>
      </c>
      <c r="B160" s="130" t="s">
        <v>767</v>
      </c>
      <c r="C160" s="130" t="s">
        <v>755</v>
      </c>
      <c r="D160" s="130" t="s">
        <v>768</v>
      </c>
      <c r="E160" s="130" t="s">
        <v>552</v>
      </c>
      <c r="I160" s="130" t="s">
        <v>553</v>
      </c>
      <c r="L160" s="252">
        <v>340035</v>
      </c>
      <c r="M160" s="252">
        <v>0</v>
      </c>
      <c r="O160" s="252">
        <v>0</v>
      </c>
      <c r="P160" s="252">
        <v>283362.5</v>
      </c>
      <c r="Q160" s="252">
        <v>56672.5</v>
      </c>
    </row>
    <row r="161" spans="1:17">
      <c r="A161" t="str">
        <f t="shared" si="4"/>
        <v>10</v>
      </c>
      <c r="B161" s="130" t="s">
        <v>769</v>
      </c>
      <c r="C161" s="130" t="s">
        <v>755</v>
      </c>
      <c r="D161" s="130" t="s">
        <v>770</v>
      </c>
      <c r="E161" s="130" t="s">
        <v>552</v>
      </c>
      <c r="I161" s="130" t="s">
        <v>553</v>
      </c>
      <c r="L161" s="252">
        <v>898280</v>
      </c>
      <c r="M161" s="252">
        <v>0</v>
      </c>
      <c r="O161" s="252">
        <v>0</v>
      </c>
      <c r="P161" s="252">
        <v>748567</v>
      </c>
      <c r="Q161" s="252">
        <v>149713</v>
      </c>
    </row>
    <row r="162" spans="1:17">
      <c r="A162" t="str">
        <f t="shared" si="4"/>
        <v>10</v>
      </c>
      <c r="B162" s="130" t="s">
        <v>771</v>
      </c>
      <c r="C162" s="130" t="s">
        <v>755</v>
      </c>
      <c r="D162" s="130" t="s">
        <v>772</v>
      </c>
      <c r="E162" s="130" t="s">
        <v>552</v>
      </c>
      <c r="I162" s="130" t="s">
        <v>553</v>
      </c>
      <c r="L162" s="252">
        <v>37427</v>
      </c>
      <c r="M162" s="252">
        <v>0</v>
      </c>
      <c r="O162" s="252">
        <v>0</v>
      </c>
      <c r="P162" s="252">
        <v>31189</v>
      </c>
      <c r="Q162" s="252">
        <v>6238</v>
      </c>
    </row>
    <row r="163" spans="1:17">
      <c r="A163" t="str">
        <f t="shared" si="4"/>
        <v>11</v>
      </c>
      <c r="B163" s="130" t="s">
        <v>418</v>
      </c>
      <c r="C163" s="130" t="s">
        <v>773</v>
      </c>
      <c r="D163" s="130" t="s">
        <v>774</v>
      </c>
      <c r="E163" s="130" t="s">
        <v>552</v>
      </c>
      <c r="I163" s="130" t="s">
        <v>553</v>
      </c>
      <c r="L163" s="252">
        <v>8737800</v>
      </c>
      <c r="M163" s="252">
        <v>0</v>
      </c>
      <c r="O163" s="252">
        <v>0</v>
      </c>
      <c r="P163" s="252">
        <v>7281500</v>
      </c>
      <c r="Q163" s="252">
        <v>1456300</v>
      </c>
    </row>
    <row r="164" spans="1:17">
      <c r="A164" t="str">
        <f t="shared" si="4"/>
        <v>11</v>
      </c>
      <c r="B164" s="130" t="s">
        <v>419</v>
      </c>
      <c r="C164" s="130" t="s">
        <v>773</v>
      </c>
      <c r="D164" s="130" t="s">
        <v>775</v>
      </c>
      <c r="E164" s="130" t="s">
        <v>552</v>
      </c>
      <c r="I164" s="130" t="s">
        <v>553</v>
      </c>
      <c r="L164" s="252">
        <v>3883464</v>
      </c>
      <c r="M164" s="252">
        <v>0</v>
      </c>
      <c r="O164" s="252">
        <v>0</v>
      </c>
      <c r="P164" s="252">
        <v>3236220</v>
      </c>
      <c r="Q164" s="252">
        <v>647244</v>
      </c>
    </row>
    <row r="165" spans="1:17">
      <c r="A165" t="str">
        <f t="shared" si="4"/>
        <v>11</v>
      </c>
      <c r="B165" s="130" t="s">
        <v>420</v>
      </c>
      <c r="C165" s="130" t="s">
        <v>773</v>
      </c>
      <c r="D165" s="130" t="s">
        <v>776</v>
      </c>
      <c r="E165" s="130" t="s">
        <v>552</v>
      </c>
      <c r="I165" s="130" t="s">
        <v>553</v>
      </c>
      <c r="L165" s="252">
        <v>13592122</v>
      </c>
      <c r="M165" s="252">
        <v>0</v>
      </c>
      <c r="O165" s="252">
        <v>0</v>
      </c>
      <c r="P165" s="252">
        <v>11326768</v>
      </c>
      <c r="Q165" s="252">
        <v>2265354</v>
      </c>
    </row>
    <row r="166" spans="1:17">
      <c r="A166" t="str">
        <f t="shared" si="4"/>
        <v>11</v>
      </c>
      <c r="B166" s="130" t="s">
        <v>777</v>
      </c>
      <c r="C166" s="130" t="s">
        <v>773</v>
      </c>
      <c r="D166" s="130" t="s">
        <v>778</v>
      </c>
      <c r="E166" s="130" t="s">
        <v>779</v>
      </c>
      <c r="I166" s="130" t="s">
        <v>780</v>
      </c>
      <c r="L166" s="252">
        <v>195000</v>
      </c>
      <c r="M166" s="252">
        <v>0</v>
      </c>
      <c r="O166" s="252">
        <v>0</v>
      </c>
      <c r="P166" s="252">
        <v>162500</v>
      </c>
      <c r="Q166" s="252">
        <v>32500</v>
      </c>
    </row>
    <row r="167" spans="1:17">
      <c r="A167" t="str">
        <f t="shared" si="4"/>
        <v>11</v>
      </c>
      <c r="B167" s="130" t="s">
        <v>781</v>
      </c>
      <c r="C167" s="130" t="s">
        <v>773</v>
      </c>
      <c r="D167" s="130" t="s">
        <v>782</v>
      </c>
      <c r="E167" s="130" t="s">
        <v>552</v>
      </c>
      <c r="I167" s="130" t="s">
        <v>553</v>
      </c>
      <c r="L167" s="252">
        <v>5377080</v>
      </c>
      <c r="M167" s="252">
        <v>0</v>
      </c>
      <c r="O167" s="252">
        <v>0</v>
      </c>
      <c r="P167" s="252">
        <v>4480900</v>
      </c>
      <c r="Q167" s="252">
        <v>896180</v>
      </c>
    </row>
    <row r="168" spans="1:17">
      <c r="A168" t="str">
        <f t="shared" si="4"/>
        <v>11</v>
      </c>
      <c r="B168" s="130" t="s">
        <v>783</v>
      </c>
      <c r="C168" s="130" t="s">
        <v>773</v>
      </c>
      <c r="D168" s="130" t="s">
        <v>784</v>
      </c>
      <c r="E168" s="130" t="s">
        <v>552</v>
      </c>
      <c r="I168" s="130" t="s">
        <v>553</v>
      </c>
      <c r="L168" s="252">
        <v>7766928</v>
      </c>
      <c r="M168" s="252">
        <v>0</v>
      </c>
      <c r="O168" s="252">
        <v>0</v>
      </c>
      <c r="P168" s="252">
        <v>6472440</v>
      </c>
      <c r="Q168" s="252">
        <v>1294488</v>
      </c>
    </row>
    <row r="169" spans="1:17">
      <c r="A169" t="str">
        <f t="shared" si="4"/>
        <v>11</v>
      </c>
      <c r="B169" s="130" t="s">
        <v>421</v>
      </c>
      <c r="C169" s="130" t="s">
        <v>785</v>
      </c>
      <c r="D169" s="130" t="s">
        <v>786</v>
      </c>
      <c r="E169" s="130" t="s">
        <v>552</v>
      </c>
      <c r="I169" s="130" t="s">
        <v>553</v>
      </c>
      <c r="L169" s="252">
        <v>256972</v>
      </c>
      <c r="M169" s="252">
        <v>0</v>
      </c>
      <c r="O169" s="252">
        <v>0</v>
      </c>
      <c r="P169" s="252">
        <v>214143</v>
      </c>
      <c r="Q169" s="252">
        <v>42829</v>
      </c>
    </row>
    <row r="170" spans="1:17">
      <c r="A170" t="str">
        <f t="shared" si="4"/>
        <v>11</v>
      </c>
      <c r="B170" s="130" t="s">
        <v>787</v>
      </c>
      <c r="C170" s="130" t="s">
        <v>788</v>
      </c>
      <c r="D170" s="130" t="s">
        <v>789</v>
      </c>
      <c r="E170" s="130" t="s">
        <v>515</v>
      </c>
      <c r="I170" s="130" t="s">
        <v>516</v>
      </c>
      <c r="L170" s="252">
        <v>256410</v>
      </c>
      <c r="M170" s="252">
        <v>0</v>
      </c>
      <c r="O170" s="252">
        <v>0</v>
      </c>
      <c r="P170" s="252">
        <v>213675</v>
      </c>
      <c r="Q170" s="252">
        <v>42735</v>
      </c>
    </row>
    <row r="171" spans="1:17">
      <c r="A171" t="str">
        <f t="shared" si="4"/>
        <v>11</v>
      </c>
      <c r="B171" s="130" t="s">
        <v>790</v>
      </c>
      <c r="C171" s="130" t="s">
        <v>788</v>
      </c>
      <c r="D171" s="130" t="s">
        <v>791</v>
      </c>
      <c r="E171" s="130" t="s">
        <v>552</v>
      </c>
      <c r="I171" s="130" t="s">
        <v>553</v>
      </c>
      <c r="L171" s="252">
        <v>1628000</v>
      </c>
      <c r="M171" s="252">
        <v>0</v>
      </c>
      <c r="O171" s="252">
        <v>0</v>
      </c>
      <c r="P171" s="252">
        <v>1356667</v>
      </c>
      <c r="Q171" s="252">
        <v>271333</v>
      </c>
    </row>
    <row r="172" spans="1:17">
      <c r="A172" t="str">
        <f t="shared" si="4"/>
        <v>11</v>
      </c>
      <c r="B172" s="130" t="s">
        <v>792</v>
      </c>
      <c r="C172" s="130" t="s">
        <v>788</v>
      </c>
      <c r="D172" s="130" t="s">
        <v>793</v>
      </c>
      <c r="E172" s="130" t="s">
        <v>552</v>
      </c>
      <c r="I172" s="130" t="s">
        <v>553</v>
      </c>
      <c r="L172" s="252">
        <v>168528</v>
      </c>
      <c r="M172" s="252">
        <v>0</v>
      </c>
      <c r="O172" s="252">
        <v>0</v>
      </c>
      <c r="P172" s="252">
        <v>140440</v>
      </c>
      <c r="Q172" s="252">
        <v>28088</v>
      </c>
    </row>
    <row r="173" spans="1:17">
      <c r="A173" t="str">
        <f t="shared" si="4"/>
        <v>11</v>
      </c>
      <c r="B173" s="130" t="s">
        <v>794</v>
      </c>
      <c r="C173" s="130" t="s">
        <v>788</v>
      </c>
      <c r="D173" s="130" t="s">
        <v>795</v>
      </c>
      <c r="E173" s="130" t="s">
        <v>552</v>
      </c>
      <c r="I173" s="130" t="s">
        <v>553</v>
      </c>
      <c r="L173" s="252">
        <v>709489</v>
      </c>
      <c r="M173" s="252">
        <v>0</v>
      </c>
      <c r="O173" s="252">
        <v>0</v>
      </c>
      <c r="P173" s="252">
        <v>591241</v>
      </c>
      <c r="Q173" s="252">
        <v>118248</v>
      </c>
    </row>
    <row r="174" spans="1:17">
      <c r="A174" t="str">
        <f t="shared" si="4"/>
        <v>11</v>
      </c>
      <c r="B174" s="130" t="s">
        <v>796</v>
      </c>
      <c r="C174" s="130" t="s">
        <v>797</v>
      </c>
      <c r="D174" s="130" t="s">
        <v>798</v>
      </c>
      <c r="E174" s="130" t="s">
        <v>552</v>
      </c>
      <c r="I174" s="130" t="s">
        <v>553</v>
      </c>
      <c r="L174" s="252">
        <v>2957040</v>
      </c>
      <c r="M174" s="252">
        <v>0</v>
      </c>
      <c r="O174" s="252">
        <v>0</v>
      </c>
      <c r="P174" s="252">
        <v>2464200</v>
      </c>
      <c r="Q174" s="252">
        <v>492840</v>
      </c>
    </row>
    <row r="175" spans="1:17">
      <c r="A175" t="str">
        <f t="shared" si="4"/>
        <v>11</v>
      </c>
      <c r="B175" s="130" t="s">
        <v>799</v>
      </c>
      <c r="C175" s="130" t="s">
        <v>797</v>
      </c>
      <c r="D175" s="130" t="s">
        <v>800</v>
      </c>
      <c r="E175" s="130" t="s">
        <v>552</v>
      </c>
      <c r="I175" s="130" t="s">
        <v>553</v>
      </c>
      <c r="L175" s="252">
        <v>298122</v>
      </c>
      <c r="M175" s="252">
        <v>0</v>
      </c>
      <c r="O175" s="252">
        <v>0</v>
      </c>
      <c r="P175" s="252">
        <v>248435</v>
      </c>
      <c r="Q175" s="252">
        <v>49687</v>
      </c>
    </row>
    <row r="176" spans="1:17">
      <c r="A176" t="str">
        <f t="shared" si="4"/>
        <v>11</v>
      </c>
      <c r="B176" s="130" t="s">
        <v>801</v>
      </c>
      <c r="C176" s="130" t="s">
        <v>797</v>
      </c>
      <c r="D176" s="130" t="s">
        <v>802</v>
      </c>
      <c r="E176" s="130" t="s">
        <v>552</v>
      </c>
      <c r="I176" s="130" t="s">
        <v>553</v>
      </c>
      <c r="L176" s="252">
        <v>2207661</v>
      </c>
      <c r="M176" s="252">
        <v>0</v>
      </c>
      <c r="O176" s="252">
        <v>0</v>
      </c>
      <c r="P176" s="252">
        <v>1839717.5</v>
      </c>
      <c r="Q176" s="252">
        <v>367943.5</v>
      </c>
    </row>
    <row r="177" spans="1:19">
      <c r="A177" t="str">
        <f t="shared" si="4"/>
        <v>11</v>
      </c>
      <c r="B177" s="130" t="s">
        <v>803</v>
      </c>
      <c r="C177" s="130" t="s">
        <v>797</v>
      </c>
      <c r="D177" s="130" t="s">
        <v>804</v>
      </c>
      <c r="E177" s="130" t="s">
        <v>552</v>
      </c>
      <c r="I177" s="130" t="s">
        <v>553</v>
      </c>
      <c r="L177" s="252">
        <v>384336</v>
      </c>
      <c r="M177" s="252">
        <v>0</v>
      </c>
      <c r="O177" s="252">
        <v>0</v>
      </c>
      <c r="P177" s="252">
        <v>320280</v>
      </c>
      <c r="Q177" s="252">
        <v>64056</v>
      </c>
    </row>
    <row r="178" spans="1:19">
      <c r="A178" t="str">
        <f t="shared" si="4"/>
        <v>11</v>
      </c>
      <c r="B178" s="130" t="s">
        <v>805</v>
      </c>
      <c r="C178" s="130" t="s">
        <v>797</v>
      </c>
      <c r="D178" s="130" t="s">
        <v>806</v>
      </c>
      <c r="E178" s="130" t="s">
        <v>552</v>
      </c>
      <c r="I178" s="130" t="s">
        <v>553</v>
      </c>
      <c r="L178" s="252">
        <v>272978</v>
      </c>
      <c r="M178" s="252">
        <v>0</v>
      </c>
      <c r="O178" s="252">
        <v>0</v>
      </c>
      <c r="P178" s="252">
        <v>227482</v>
      </c>
      <c r="Q178" s="252">
        <v>45496</v>
      </c>
    </row>
    <row r="179" spans="1:19">
      <c r="A179" t="str">
        <f t="shared" si="4"/>
        <v/>
      </c>
      <c r="B179" s="130" t="s">
        <v>582</v>
      </c>
    </row>
    <row r="180" spans="1:19">
      <c r="A180" t="str">
        <f t="shared" si="4"/>
        <v/>
      </c>
      <c r="B180" s="130" t="s">
        <v>583</v>
      </c>
      <c r="K180" s="126" t="s">
        <v>584</v>
      </c>
      <c r="L180" s="132" t="s">
        <v>807</v>
      </c>
      <c r="M180" s="132" t="s">
        <v>333</v>
      </c>
      <c r="O180" s="132" t="s">
        <v>333</v>
      </c>
      <c r="P180" s="132" t="s">
        <v>808</v>
      </c>
      <c r="Q180" s="132" t="s">
        <v>809</v>
      </c>
    </row>
    <row r="181" spans="1:19">
      <c r="A181" t="str">
        <f t="shared" si="4"/>
        <v/>
      </c>
      <c r="B181" s="130" t="s">
        <v>588</v>
      </c>
      <c r="K181" s="126" t="s">
        <v>589</v>
      </c>
      <c r="L181" s="133">
        <v>198988941.13999999</v>
      </c>
      <c r="M181" s="133">
        <v>0</v>
      </c>
      <c r="O181" s="133">
        <v>0</v>
      </c>
      <c r="P181" s="133">
        <v>165825259.77000001</v>
      </c>
      <c r="Q181" s="133">
        <v>33163681.370000001</v>
      </c>
    </row>
    <row r="182" spans="1:19">
      <c r="A182" t="str">
        <f t="shared" si="4"/>
        <v/>
      </c>
      <c r="L182" s="130" t="s">
        <v>590</v>
      </c>
    </row>
    <row r="183" spans="1:19">
      <c r="A183" t="str">
        <f t="shared" si="4"/>
        <v/>
      </c>
      <c r="L183" s="130" t="s">
        <v>591</v>
      </c>
      <c r="P183" s="130" t="s">
        <v>592</v>
      </c>
      <c r="Q183" s="239" t="s">
        <v>593</v>
      </c>
    </row>
    <row r="184" spans="1:19" ht="30">
      <c r="A184" t="str">
        <f t="shared" si="4"/>
        <v/>
      </c>
      <c r="B184" s="247" t="s">
        <v>430</v>
      </c>
    </row>
    <row r="185" spans="1:19">
      <c r="A185" t="str">
        <f t="shared" si="4"/>
        <v/>
      </c>
      <c r="B185" s="248" t="s">
        <v>431</v>
      </c>
      <c r="P185" s="249" t="s">
        <v>432</v>
      </c>
    </row>
    <row r="186" spans="1:19">
      <c r="B186" s="248" t="s">
        <v>433</v>
      </c>
      <c r="C186" s="249" t="s">
        <v>434</v>
      </c>
    </row>
    <row r="187" spans="1:19">
      <c r="B187" s="248" t="s">
        <v>435</v>
      </c>
      <c r="G187" s="239" t="s">
        <v>436</v>
      </c>
      <c r="J187" s="239" t="s">
        <v>437</v>
      </c>
      <c r="L187" s="239" t="s">
        <v>438</v>
      </c>
      <c r="M187" s="250">
        <v>2010</v>
      </c>
      <c r="R187" s="126" t="s">
        <v>334</v>
      </c>
      <c r="S187" s="126" t="s">
        <v>439</v>
      </c>
    </row>
    <row r="188" spans="1:19">
      <c r="B188" s="251" t="s">
        <v>440</v>
      </c>
      <c r="P188" s="239" t="s">
        <v>442</v>
      </c>
    </row>
    <row r="189" spans="1:19">
      <c r="J189" s="239" t="s">
        <v>445</v>
      </c>
      <c r="L189" s="239" t="s">
        <v>446</v>
      </c>
      <c r="M189" s="239" t="s">
        <v>441</v>
      </c>
    </row>
    <row r="190" spans="1:19">
      <c r="B190" s="239" t="s">
        <v>443</v>
      </c>
      <c r="C190" s="239" t="s">
        <v>451</v>
      </c>
      <c r="D190" s="239" t="s">
        <v>452</v>
      </c>
      <c r="E190" s="239" t="s">
        <v>453</v>
      </c>
      <c r="H190" s="239" t="s">
        <v>454</v>
      </c>
      <c r="I190" s="239" t="s">
        <v>444</v>
      </c>
      <c r="J190" s="239" t="s">
        <v>456</v>
      </c>
      <c r="L190" s="239" t="s">
        <v>457</v>
      </c>
      <c r="M190" s="239" t="s">
        <v>447</v>
      </c>
      <c r="O190" s="239" t="s">
        <v>448</v>
      </c>
      <c r="P190" s="239" t="s">
        <v>449</v>
      </c>
      <c r="Q190" s="239" t="s">
        <v>156</v>
      </c>
    </row>
    <row r="191" spans="1:19">
      <c r="A191" t="str">
        <f t="shared" si="4"/>
        <v/>
      </c>
      <c r="B191" s="132" t="s">
        <v>450</v>
      </c>
      <c r="I191" s="239" t="s">
        <v>455</v>
      </c>
      <c r="M191" s="239" t="s">
        <v>458</v>
      </c>
      <c r="O191" s="239" t="s">
        <v>459</v>
      </c>
      <c r="P191" s="239" t="s">
        <v>460</v>
      </c>
    </row>
    <row r="192" spans="1:19">
      <c r="A192" t="str">
        <f t="shared" si="4"/>
        <v/>
      </c>
      <c r="B192" s="248" t="s">
        <v>461</v>
      </c>
      <c r="C192" s="248" t="s">
        <v>462</v>
      </c>
      <c r="D192" s="248" t="s">
        <v>463</v>
      </c>
      <c r="E192" s="248" t="s">
        <v>464</v>
      </c>
      <c r="H192" s="248" t="s">
        <v>447</v>
      </c>
      <c r="I192" s="248" t="s">
        <v>467</v>
      </c>
      <c r="J192" s="248" t="s">
        <v>468</v>
      </c>
      <c r="L192" s="248" t="s">
        <v>470</v>
      </c>
      <c r="M192" s="248" t="s">
        <v>471</v>
      </c>
      <c r="O192" s="248" t="s">
        <v>473</v>
      </c>
      <c r="P192" s="248" t="s">
        <v>474</v>
      </c>
      <c r="Q192" s="248" t="s">
        <v>475</v>
      </c>
    </row>
    <row r="193" spans="1:17">
      <c r="A193" t="str">
        <f t="shared" si="4"/>
        <v>11</v>
      </c>
      <c r="B193" s="130" t="s">
        <v>810</v>
      </c>
      <c r="C193" s="130" t="s">
        <v>811</v>
      </c>
      <c r="D193" s="130" t="s">
        <v>812</v>
      </c>
      <c r="E193" s="130" t="s">
        <v>552</v>
      </c>
      <c r="I193" s="130" t="s">
        <v>553</v>
      </c>
      <c r="L193" s="252">
        <v>2664000</v>
      </c>
      <c r="M193" s="252">
        <v>0</v>
      </c>
      <c r="O193" s="252">
        <v>0</v>
      </c>
      <c r="P193" s="252">
        <v>2220000</v>
      </c>
      <c r="Q193" s="252">
        <v>444000</v>
      </c>
    </row>
    <row r="194" spans="1:17">
      <c r="A194" t="str">
        <f t="shared" si="4"/>
        <v>11</v>
      </c>
      <c r="B194" s="130" t="s">
        <v>813</v>
      </c>
      <c r="C194" s="130" t="s">
        <v>814</v>
      </c>
      <c r="D194" s="130" t="s">
        <v>815</v>
      </c>
      <c r="E194" s="130" t="s">
        <v>552</v>
      </c>
      <c r="I194" s="130" t="s">
        <v>553</v>
      </c>
      <c r="L194" s="252">
        <v>279518</v>
      </c>
      <c r="M194" s="252">
        <v>0</v>
      </c>
      <c r="O194" s="252">
        <v>0</v>
      </c>
      <c r="P194" s="252">
        <v>232932</v>
      </c>
      <c r="Q194" s="252">
        <v>46586</v>
      </c>
    </row>
    <row r="195" spans="1:17">
      <c r="A195" t="str">
        <f t="shared" si="4"/>
        <v>11</v>
      </c>
      <c r="B195" s="130" t="s">
        <v>816</v>
      </c>
      <c r="C195" s="130" t="s">
        <v>814</v>
      </c>
      <c r="D195" s="130" t="s">
        <v>817</v>
      </c>
      <c r="E195" s="130" t="s">
        <v>552</v>
      </c>
      <c r="I195" s="130" t="s">
        <v>553</v>
      </c>
      <c r="L195" s="252">
        <v>162054</v>
      </c>
      <c r="M195" s="252">
        <v>0</v>
      </c>
      <c r="O195" s="252">
        <v>0</v>
      </c>
      <c r="P195" s="252">
        <v>135045</v>
      </c>
      <c r="Q195" s="252">
        <v>27009</v>
      </c>
    </row>
    <row r="196" spans="1:17">
      <c r="A196" t="str">
        <f t="shared" si="4"/>
        <v>11</v>
      </c>
      <c r="B196" s="130" t="s">
        <v>818</v>
      </c>
      <c r="C196" s="130" t="s">
        <v>814</v>
      </c>
      <c r="D196" s="130" t="s">
        <v>819</v>
      </c>
      <c r="E196" s="130" t="s">
        <v>552</v>
      </c>
      <c r="I196" s="130" t="s">
        <v>553</v>
      </c>
      <c r="L196" s="252">
        <v>333592</v>
      </c>
      <c r="M196" s="252">
        <v>0</v>
      </c>
      <c r="O196" s="252">
        <v>0</v>
      </c>
      <c r="P196" s="252">
        <v>277993</v>
      </c>
      <c r="Q196" s="252">
        <v>55599</v>
      </c>
    </row>
    <row r="197" spans="1:17">
      <c r="A197" t="str">
        <f t="shared" si="4"/>
        <v>11</v>
      </c>
      <c r="B197" s="130" t="s">
        <v>820</v>
      </c>
      <c r="C197" s="130" t="s">
        <v>814</v>
      </c>
      <c r="D197" s="130" t="s">
        <v>821</v>
      </c>
      <c r="E197" s="130" t="s">
        <v>552</v>
      </c>
      <c r="I197" s="130" t="s">
        <v>553</v>
      </c>
      <c r="L197" s="252">
        <v>187178</v>
      </c>
      <c r="M197" s="252">
        <v>0</v>
      </c>
      <c r="O197" s="252">
        <v>0</v>
      </c>
      <c r="P197" s="252">
        <v>155982</v>
      </c>
      <c r="Q197" s="252">
        <v>31196</v>
      </c>
    </row>
    <row r="198" spans="1:17">
      <c r="A198" t="str">
        <f t="shared" si="4"/>
        <v>11</v>
      </c>
      <c r="B198" s="130" t="s">
        <v>822</v>
      </c>
      <c r="C198" s="130" t="s">
        <v>814</v>
      </c>
      <c r="D198" s="130" t="s">
        <v>823</v>
      </c>
      <c r="E198" s="130" t="s">
        <v>552</v>
      </c>
      <c r="I198" s="130" t="s">
        <v>553</v>
      </c>
      <c r="L198" s="252">
        <v>72514</v>
      </c>
      <c r="M198" s="252">
        <v>0</v>
      </c>
      <c r="O198" s="252">
        <v>0</v>
      </c>
      <c r="P198" s="252">
        <v>60428</v>
      </c>
      <c r="Q198" s="252">
        <v>12086</v>
      </c>
    </row>
    <row r="199" spans="1:17">
      <c r="A199" t="str">
        <f t="shared" si="4"/>
        <v>11</v>
      </c>
      <c r="B199" s="130" t="s">
        <v>824</v>
      </c>
      <c r="C199" s="130" t="s">
        <v>814</v>
      </c>
      <c r="D199" s="130" t="s">
        <v>825</v>
      </c>
      <c r="E199" s="130" t="s">
        <v>336</v>
      </c>
      <c r="I199" s="130" t="s">
        <v>504</v>
      </c>
      <c r="L199" s="252">
        <v>39749.5</v>
      </c>
      <c r="M199" s="252">
        <v>0</v>
      </c>
      <c r="O199" s="252">
        <v>0</v>
      </c>
      <c r="P199" s="252">
        <v>33240</v>
      </c>
      <c r="Q199" s="252">
        <v>6509.5</v>
      </c>
    </row>
    <row r="200" spans="1:17">
      <c r="A200" t="str">
        <f t="shared" si="4"/>
        <v>12</v>
      </c>
      <c r="B200" s="130" t="s">
        <v>826</v>
      </c>
      <c r="C200" s="130" t="s">
        <v>827</v>
      </c>
      <c r="D200" s="130" t="s">
        <v>828</v>
      </c>
      <c r="E200" s="130" t="s">
        <v>552</v>
      </c>
      <c r="I200" s="130" t="s">
        <v>553</v>
      </c>
      <c r="L200" s="252">
        <v>444000</v>
      </c>
      <c r="M200" s="252">
        <v>0</v>
      </c>
      <c r="O200" s="252">
        <v>0</v>
      </c>
      <c r="P200" s="252">
        <v>370000</v>
      </c>
      <c r="Q200" s="252">
        <v>74000</v>
      </c>
    </row>
    <row r="201" spans="1:17">
      <c r="A201" t="str">
        <f t="shared" si="4"/>
        <v>12</v>
      </c>
      <c r="B201" s="130" t="s">
        <v>829</v>
      </c>
      <c r="C201" s="130" t="s">
        <v>827</v>
      </c>
      <c r="D201" s="130" t="s">
        <v>830</v>
      </c>
      <c r="E201" s="130" t="s">
        <v>552</v>
      </c>
      <c r="I201" s="130" t="s">
        <v>553</v>
      </c>
      <c r="L201" s="252">
        <v>50022</v>
      </c>
      <c r="M201" s="252">
        <v>0</v>
      </c>
      <c r="O201" s="252">
        <v>0</v>
      </c>
      <c r="P201" s="252">
        <v>41685</v>
      </c>
      <c r="Q201" s="252">
        <v>8337</v>
      </c>
    </row>
    <row r="202" spans="1:17">
      <c r="A202" t="str">
        <f t="shared" si="4"/>
        <v>12</v>
      </c>
      <c r="B202" s="130" t="s">
        <v>831</v>
      </c>
      <c r="C202" s="130" t="s">
        <v>832</v>
      </c>
      <c r="D202" s="130" t="s">
        <v>833</v>
      </c>
      <c r="E202" s="130" t="s">
        <v>552</v>
      </c>
      <c r="I202" s="130" t="s">
        <v>553</v>
      </c>
      <c r="L202" s="252">
        <v>126868</v>
      </c>
      <c r="M202" s="252">
        <v>0</v>
      </c>
      <c r="O202" s="252">
        <v>0</v>
      </c>
      <c r="P202" s="252">
        <v>105723</v>
      </c>
      <c r="Q202" s="252">
        <v>21145</v>
      </c>
    </row>
    <row r="203" spans="1:17">
      <c r="A203" t="str">
        <f t="shared" si="4"/>
        <v>12</v>
      </c>
      <c r="B203" s="130" t="s">
        <v>834</v>
      </c>
      <c r="C203" s="130" t="s">
        <v>832</v>
      </c>
      <c r="D203" s="130" t="s">
        <v>835</v>
      </c>
      <c r="E203" s="130" t="s">
        <v>552</v>
      </c>
      <c r="I203" s="130" t="s">
        <v>553</v>
      </c>
      <c r="L203" s="252">
        <v>436193</v>
      </c>
      <c r="M203" s="252">
        <v>0</v>
      </c>
      <c r="O203" s="252">
        <v>0</v>
      </c>
      <c r="P203" s="252">
        <v>363494</v>
      </c>
      <c r="Q203" s="252">
        <v>72699</v>
      </c>
    </row>
    <row r="204" spans="1:17">
      <c r="A204" t="str">
        <f t="shared" si="4"/>
        <v>12</v>
      </c>
      <c r="B204" s="130" t="s">
        <v>836</v>
      </c>
      <c r="C204" s="130" t="s">
        <v>832</v>
      </c>
      <c r="D204" s="130" t="s">
        <v>837</v>
      </c>
      <c r="E204" s="130" t="s">
        <v>552</v>
      </c>
      <c r="I204" s="130" t="s">
        <v>553</v>
      </c>
      <c r="L204" s="252">
        <v>1705000</v>
      </c>
      <c r="M204" s="252">
        <v>0</v>
      </c>
      <c r="O204" s="252">
        <v>0</v>
      </c>
      <c r="P204" s="252">
        <v>1420833</v>
      </c>
      <c r="Q204" s="252">
        <v>284167</v>
      </c>
    </row>
    <row r="205" spans="1:17">
      <c r="A205" t="str">
        <f t="shared" si="4"/>
        <v>12</v>
      </c>
      <c r="B205" s="130" t="s">
        <v>838</v>
      </c>
      <c r="C205" s="130" t="s">
        <v>832</v>
      </c>
      <c r="D205" s="130" t="s">
        <v>839</v>
      </c>
      <c r="E205" s="130" t="s">
        <v>552</v>
      </c>
      <c r="I205" s="130" t="s">
        <v>553</v>
      </c>
      <c r="L205" s="252">
        <v>18696</v>
      </c>
      <c r="M205" s="252">
        <v>0</v>
      </c>
      <c r="O205" s="252">
        <v>0</v>
      </c>
      <c r="P205" s="252">
        <v>15580</v>
      </c>
      <c r="Q205" s="252">
        <v>3116</v>
      </c>
    </row>
    <row r="206" spans="1:17">
      <c r="A206" t="str">
        <f t="shared" si="4"/>
        <v>12</v>
      </c>
      <c r="B206" s="130" t="s">
        <v>840</v>
      </c>
      <c r="C206" s="130" t="s">
        <v>841</v>
      </c>
      <c r="D206" s="130" t="s">
        <v>842</v>
      </c>
      <c r="E206" s="130" t="s">
        <v>552</v>
      </c>
      <c r="I206" s="130" t="s">
        <v>553</v>
      </c>
      <c r="L206" s="252">
        <v>2945000</v>
      </c>
      <c r="M206" s="252">
        <v>0</v>
      </c>
      <c r="O206" s="252">
        <v>0</v>
      </c>
      <c r="P206" s="252">
        <v>2454167</v>
      </c>
      <c r="Q206" s="252">
        <v>490833</v>
      </c>
    </row>
    <row r="207" spans="1:17">
      <c r="A207" t="str">
        <f t="shared" si="4"/>
        <v>12</v>
      </c>
      <c r="B207" s="130" t="s">
        <v>843</v>
      </c>
      <c r="C207" s="130" t="s">
        <v>841</v>
      </c>
      <c r="D207" s="130" t="s">
        <v>844</v>
      </c>
      <c r="E207" s="130" t="s">
        <v>552</v>
      </c>
      <c r="I207" s="130" t="s">
        <v>553</v>
      </c>
      <c r="L207" s="252">
        <v>300478</v>
      </c>
      <c r="M207" s="252">
        <v>0</v>
      </c>
      <c r="O207" s="252">
        <v>0</v>
      </c>
      <c r="P207" s="252">
        <v>250398</v>
      </c>
      <c r="Q207" s="252">
        <v>50080</v>
      </c>
    </row>
    <row r="208" spans="1:17">
      <c r="A208" t="str">
        <f t="shared" si="4"/>
        <v>12</v>
      </c>
      <c r="B208" s="130" t="s">
        <v>845</v>
      </c>
      <c r="C208" s="130" t="s">
        <v>841</v>
      </c>
      <c r="D208" s="130" t="s">
        <v>846</v>
      </c>
      <c r="E208" s="130" t="s">
        <v>552</v>
      </c>
      <c r="I208" s="130" t="s">
        <v>553</v>
      </c>
      <c r="L208" s="252">
        <v>162591</v>
      </c>
      <c r="M208" s="252">
        <v>0</v>
      </c>
      <c r="O208" s="252">
        <v>0</v>
      </c>
      <c r="P208" s="252">
        <v>135492.5</v>
      </c>
      <c r="Q208" s="252">
        <v>27098.5</v>
      </c>
    </row>
    <row r="209" spans="1:17">
      <c r="A209" t="str">
        <f t="shared" si="4"/>
        <v>12</v>
      </c>
      <c r="B209" s="130" t="s">
        <v>847</v>
      </c>
      <c r="C209" s="130" t="s">
        <v>841</v>
      </c>
      <c r="D209" s="130" t="s">
        <v>848</v>
      </c>
      <c r="E209" s="130" t="s">
        <v>552</v>
      </c>
      <c r="I209" s="130" t="s">
        <v>553</v>
      </c>
      <c r="L209" s="252">
        <v>100910</v>
      </c>
      <c r="M209" s="252">
        <v>0</v>
      </c>
      <c r="O209" s="252">
        <v>0</v>
      </c>
      <c r="P209" s="252">
        <v>84092</v>
      </c>
      <c r="Q209" s="252">
        <v>16818</v>
      </c>
    </row>
    <row r="210" spans="1:17">
      <c r="A210" t="str">
        <f t="shared" si="4"/>
        <v>12</v>
      </c>
      <c r="B210" s="130" t="s">
        <v>849</v>
      </c>
      <c r="C210" s="130" t="s">
        <v>841</v>
      </c>
      <c r="D210" s="130" t="s">
        <v>850</v>
      </c>
      <c r="E210" s="130" t="s">
        <v>851</v>
      </c>
      <c r="I210" s="130" t="s">
        <v>852</v>
      </c>
      <c r="L210" s="252">
        <v>862482</v>
      </c>
      <c r="M210" s="252">
        <v>0</v>
      </c>
      <c r="O210" s="252">
        <v>0</v>
      </c>
      <c r="P210" s="252">
        <v>718735</v>
      </c>
      <c r="Q210" s="252">
        <v>143747</v>
      </c>
    </row>
    <row r="211" spans="1:17">
      <c r="A211" t="str">
        <f t="shared" si="4"/>
        <v>12</v>
      </c>
      <c r="B211" s="130" t="s">
        <v>853</v>
      </c>
      <c r="C211" s="130" t="s">
        <v>854</v>
      </c>
      <c r="D211" s="130" t="s">
        <v>855</v>
      </c>
      <c r="E211" s="130" t="s">
        <v>552</v>
      </c>
      <c r="I211" s="130" t="s">
        <v>553</v>
      </c>
      <c r="L211" s="252">
        <v>3627000</v>
      </c>
      <c r="M211" s="252">
        <v>0</v>
      </c>
      <c r="O211" s="252">
        <v>0</v>
      </c>
      <c r="P211" s="252">
        <v>3022500</v>
      </c>
      <c r="Q211" s="252">
        <v>604500</v>
      </c>
    </row>
    <row r="212" spans="1:17">
      <c r="A212" t="str">
        <f t="shared" si="4"/>
        <v>12</v>
      </c>
      <c r="B212" s="130" t="s">
        <v>856</v>
      </c>
      <c r="C212" s="130" t="s">
        <v>854</v>
      </c>
      <c r="D212" s="130" t="s">
        <v>857</v>
      </c>
      <c r="E212" s="130" t="s">
        <v>552</v>
      </c>
      <c r="I212" s="130" t="s">
        <v>553</v>
      </c>
      <c r="L212" s="252">
        <v>360076</v>
      </c>
      <c r="M212" s="252">
        <v>0</v>
      </c>
      <c r="O212" s="252">
        <v>0</v>
      </c>
      <c r="P212" s="252">
        <v>300063</v>
      </c>
      <c r="Q212" s="252">
        <v>60013</v>
      </c>
    </row>
    <row r="213" spans="1:17">
      <c r="A213" t="str">
        <f t="shared" si="4"/>
        <v>12</v>
      </c>
      <c r="B213" s="130" t="s">
        <v>422</v>
      </c>
      <c r="C213" s="130" t="s">
        <v>858</v>
      </c>
      <c r="D213" s="130" t="s">
        <v>859</v>
      </c>
      <c r="E213" s="130" t="s">
        <v>552</v>
      </c>
      <c r="I213" s="130" t="s">
        <v>553</v>
      </c>
      <c r="L213" s="252">
        <v>42410</v>
      </c>
      <c r="M213" s="252">
        <v>0</v>
      </c>
      <c r="O213" s="252">
        <v>0</v>
      </c>
      <c r="P213" s="252">
        <v>35342</v>
      </c>
      <c r="Q213" s="252">
        <v>7068</v>
      </c>
    </row>
    <row r="214" spans="1:17">
      <c r="A214" t="str">
        <f t="shared" si="4"/>
        <v>12</v>
      </c>
      <c r="B214" s="130" t="s">
        <v>860</v>
      </c>
      <c r="C214" s="130" t="s">
        <v>858</v>
      </c>
      <c r="D214" s="130" t="s">
        <v>861</v>
      </c>
      <c r="E214" s="130" t="s">
        <v>552</v>
      </c>
      <c r="I214" s="130" t="s">
        <v>553</v>
      </c>
      <c r="L214" s="252">
        <v>930000</v>
      </c>
      <c r="M214" s="252">
        <v>0</v>
      </c>
      <c r="O214" s="252">
        <v>0</v>
      </c>
      <c r="P214" s="252">
        <v>775000</v>
      </c>
      <c r="Q214" s="252">
        <v>155000</v>
      </c>
    </row>
    <row r="215" spans="1:17">
      <c r="A215" t="str">
        <f t="shared" si="4"/>
        <v>12</v>
      </c>
      <c r="B215" s="130" t="s">
        <v>862</v>
      </c>
      <c r="C215" s="130" t="s">
        <v>858</v>
      </c>
      <c r="D215" s="130" t="s">
        <v>863</v>
      </c>
      <c r="E215" s="130" t="s">
        <v>552</v>
      </c>
      <c r="I215" s="130" t="s">
        <v>553</v>
      </c>
      <c r="L215" s="252">
        <v>96841</v>
      </c>
      <c r="M215" s="252">
        <v>0</v>
      </c>
      <c r="O215" s="252">
        <v>0</v>
      </c>
      <c r="P215" s="252">
        <v>80701</v>
      </c>
      <c r="Q215" s="252">
        <v>16140</v>
      </c>
    </row>
    <row r="216" spans="1:17">
      <c r="A216" t="str">
        <f t="shared" si="4"/>
        <v>12</v>
      </c>
      <c r="B216" s="130" t="s">
        <v>864</v>
      </c>
      <c r="C216" s="130" t="s">
        <v>858</v>
      </c>
      <c r="D216" s="130" t="s">
        <v>865</v>
      </c>
      <c r="E216" s="130" t="s">
        <v>552</v>
      </c>
      <c r="I216" s="130" t="s">
        <v>553</v>
      </c>
      <c r="L216" s="252">
        <v>81313</v>
      </c>
      <c r="M216" s="252">
        <v>0</v>
      </c>
      <c r="O216" s="252">
        <v>0</v>
      </c>
      <c r="P216" s="252">
        <v>67761</v>
      </c>
      <c r="Q216" s="252">
        <v>13552</v>
      </c>
    </row>
    <row r="217" spans="1:17">
      <c r="A217" t="str">
        <f t="shared" si="4"/>
        <v>12</v>
      </c>
      <c r="B217" s="130" t="s">
        <v>866</v>
      </c>
      <c r="C217" s="130" t="s">
        <v>858</v>
      </c>
      <c r="D217" s="130" t="s">
        <v>867</v>
      </c>
      <c r="E217" s="130" t="s">
        <v>552</v>
      </c>
      <c r="I217" s="130" t="s">
        <v>553</v>
      </c>
      <c r="L217" s="252">
        <v>25629</v>
      </c>
      <c r="M217" s="252">
        <v>0</v>
      </c>
      <c r="O217" s="252">
        <v>0</v>
      </c>
      <c r="P217" s="252">
        <v>21357.5</v>
      </c>
      <c r="Q217" s="252">
        <v>4271.5</v>
      </c>
    </row>
    <row r="218" spans="1:17">
      <c r="A218" t="str">
        <f t="shared" si="4"/>
        <v>12</v>
      </c>
      <c r="B218" s="130" t="s">
        <v>423</v>
      </c>
      <c r="C218" s="130" t="s">
        <v>868</v>
      </c>
      <c r="D218" s="130" t="s">
        <v>869</v>
      </c>
      <c r="E218" s="130" t="s">
        <v>552</v>
      </c>
      <c r="I218" s="130" t="s">
        <v>553</v>
      </c>
      <c r="L218" s="252">
        <v>1359350</v>
      </c>
      <c r="M218" s="252">
        <v>0</v>
      </c>
      <c r="O218" s="252">
        <v>0</v>
      </c>
      <c r="P218" s="252">
        <v>1132792</v>
      </c>
      <c r="Q218" s="252">
        <v>226558</v>
      </c>
    </row>
    <row r="219" spans="1:17">
      <c r="A219" t="str">
        <f t="shared" si="4"/>
        <v>12</v>
      </c>
      <c r="B219" s="130" t="s">
        <v>425</v>
      </c>
      <c r="C219" s="130" t="s">
        <v>870</v>
      </c>
      <c r="D219" s="130" t="s">
        <v>871</v>
      </c>
      <c r="E219" s="130" t="s">
        <v>552</v>
      </c>
      <c r="I219" s="130" t="s">
        <v>553</v>
      </c>
      <c r="L219" s="252">
        <v>883500</v>
      </c>
      <c r="M219" s="252">
        <v>0</v>
      </c>
      <c r="O219" s="252">
        <v>0</v>
      </c>
      <c r="P219" s="252">
        <v>736250</v>
      </c>
      <c r="Q219" s="252">
        <v>147250</v>
      </c>
    </row>
    <row r="220" spans="1:17">
      <c r="A220" t="str">
        <f t="shared" si="4"/>
        <v/>
      </c>
      <c r="B220" s="130" t="s">
        <v>582</v>
      </c>
      <c r="K220" s="126" t="s">
        <v>584</v>
      </c>
      <c r="L220" s="132" t="s">
        <v>872</v>
      </c>
      <c r="M220" s="132" t="s">
        <v>333</v>
      </c>
      <c r="O220" s="132" t="s">
        <v>333</v>
      </c>
      <c r="P220" s="132" t="s">
        <v>873</v>
      </c>
      <c r="Q220" s="132" t="s">
        <v>874</v>
      </c>
    </row>
    <row r="221" spans="1:17">
      <c r="A221" t="str">
        <f t="shared" si="4"/>
        <v/>
      </c>
      <c r="B221" s="130" t="s">
        <v>583</v>
      </c>
      <c r="K221" s="126" t="s">
        <v>589</v>
      </c>
      <c r="L221" s="133">
        <v>217621192.63999999</v>
      </c>
      <c r="M221" s="133">
        <v>0</v>
      </c>
      <c r="O221" s="133">
        <v>0</v>
      </c>
      <c r="P221" s="133">
        <v>181352251.77000001</v>
      </c>
      <c r="Q221" s="133">
        <v>36268940.869999997</v>
      </c>
    </row>
    <row r="222" spans="1:17">
      <c r="A222" t="str">
        <f t="shared" ref="A222:A285" si="5">MID(C222,4,2)</f>
        <v/>
      </c>
      <c r="B222" s="130" t="s">
        <v>677</v>
      </c>
    </row>
    <row r="223" spans="1:17">
      <c r="A223" t="str">
        <f t="shared" si="5"/>
        <v/>
      </c>
      <c r="L223" s="130" t="s">
        <v>590</v>
      </c>
    </row>
    <row r="224" spans="1:17">
      <c r="A224" t="str">
        <f t="shared" si="5"/>
        <v/>
      </c>
      <c r="L224" s="130" t="s">
        <v>678</v>
      </c>
      <c r="P224" s="130" t="s">
        <v>592</v>
      </c>
      <c r="Q224" s="239" t="s">
        <v>593</v>
      </c>
    </row>
    <row r="225" spans="1:19" ht="30">
      <c r="A225" t="str">
        <f t="shared" si="5"/>
        <v/>
      </c>
      <c r="B225" s="247" t="s">
        <v>430</v>
      </c>
    </row>
    <row r="226" spans="1:19">
      <c r="B226" s="248" t="s">
        <v>431</v>
      </c>
      <c r="P226" s="249" t="s">
        <v>432</v>
      </c>
    </row>
    <row r="227" spans="1:19">
      <c r="B227" s="248" t="s">
        <v>433</v>
      </c>
      <c r="C227" s="249" t="s">
        <v>434</v>
      </c>
    </row>
    <row r="228" spans="1:19">
      <c r="B228" s="248" t="s">
        <v>435</v>
      </c>
      <c r="G228" s="239" t="s">
        <v>436</v>
      </c>
      <c r="J228" s="239" t="s">
        <v>437</v>
      </c>
      <c r="L228" s="239" t="s">
        <v>438</v>
      </c>
      <c r="M228" s="250">
        <v>2010</v>
      </c>
      <c r="R228" s="126" t="s">
        <v>334</v>
      </c>
      <c r="S228" s="126" t="s">
        <v>439</v>
      </c>
    </row>
    <row r="229" spans="1:19">
      <c r="B229" s="251" t="s">
        <v>440</v>
      </c>
      <c r="M229" s="239" t="s">
        <v>441</v>
      </c>
      <c r="P229" s="239" t="s">
        <v>442</v>
      </c>
    </row>
    <row r="230" spans="1:19">
      <c r="B230" s="239" t="s">
        <v>443</v>
      </c>
      <c r="I230" s="239" t="s">
        <v>444</v>
      </c>
      <c r="J230" s="239" t="s">
        <v>445</v>
      </c>
      <c r="L230" s="239" t="s">
        <v>446</v>
      </c>
      <c r="M230" s="239" t="s">
        <v>447</v>
      </c>
      <c r="O230" s="239" t="s">
        <v>448</v>
      </c>
      <c r="P230" s="239" t="s">
        <v>449</v>
      </c>
    </row>
    <row r="231" spans="1:19">
      <c r="C231" s="239" t="s">
        <v>451</v>
      </c>
      <c r="D231" s="239" t="s">
        <v>452</v>
      </c>
      <c r="E231" s="239" t="s">
        <v>453</v>
      </c>
      <c r="H231" s="239" t="s">
        <v>454</v>
      </c>
      <c r="J231" s="239" t="s">
        <v>456</v>
      </c>
      <c r="L231" s="239" t="s">
        <v>457</v>
      </c>
      <c r="Q231" s="239" t="s">
        <v>156</v>
      </c>
    </row>
    <row r="232" spans="1:19">
      <c r="A232" t="str">
        <f t="shared" si="5"/>
        <v/>
      </c>
      <c r="B232" s="132" t="s">
        <v>450</v>
      </c>
      <c r="I232" s="239" t="s">
        <v>455</v>
      </c>
      <c r="M232" s="239" t="s">
        <v>458</v>
      </c>
      <c r="O232" s="239" t="s">
        <v>459</v>
      </c>
      <c r="P232" s="239" t="s">
        <v>460</v>
      </c>
    </row>
    <row r="233" spans="1:19">
      <c r="A233" t="str">
        <f t="shared" si="5"/>
        <v/>
      </c>
      <c r="B233" s="248" t="s">
        <v>461</v>
      </c>
      <c r="C233" s="248" t="s">
        <v>462</v>
      </c>
      <c r="D233" s="248" t="s">
        <v>463</v>
      </c>
      <c r="E233" s="248" t="s">
        <v>464</v>
      </c>
      <c r="H233" s="248" t="s">
        <v>447</v>
      </c>
      <c r="I233" s="248" t="s">
        <v>467</v>
      </c>
      <c r="J233" s="248" t="s">
        <v>468</v>
      </c>
      <c r="L233" s="248" t="s">
        <v>470</v>
      </c>
      <c r="M233" s="248" t="s">
        <v>471</v>
      </c>
      <c r="O233" s="248" t="s">
        <v>473</v>
      </c>
      <c r="P233" s="248" t="s">
        <v>474</v>
      </c>
      <c r="Q233" s="248" t="s">
        <v>475</v>
      </c>
    </row>
    <row r="234" spans="1:19">
      <c r="A234" t="str">
        <f t="shared" si="5"/>
        <v>12</v>
      </c>
      <c r="B234" s="130" t="s">
        <v>427</v>
      </c>
      <c r="C234" s="130" t="s">
        <v>875</v>
      </c>
      <c r="D234" s="130" t="s">
        <v>876</v>
      </c>
      <c r="E234" s="130" t="s">
        <v>515</v>
      </c>
      <c r="I234" s="130" t="s">
        <v>516</v>
      </c>
      <c r="L234" s="252">
        <v>185616</v>
      </c>
      <c r="M234" s="252">
        <v>0</v>
      </c>
      <c r="O234" s="252">
        <v>0</v>
      </c>
      <c r="P234" s="252">
        <v>154680</v>
      </c>
      <c r="Q234" s="252">
        <v>30936</v>
      </c>
    </row>
    <row r="235" spans="1:19">
      <c r="A235" t="str">
        <f t="shared" si="5"/>
        <v>12</v>
      </c>
      <c r="B235" s="130" t="s">
        <v>429</v>
      </c>
      <c r="C235" s="130" t="s">
        <v>875</v>
      </c>
      <c r="D235" s="130" t="s">
        <v>877</v>
      </c>
      <c r="E235" s="130" t="s">
        <v>878</v>
      </c>
      <c r="I235" s="130" t="s">
        <v>879</v>
      </c>
      <c r="L235" s="252">
        <v>533760</v>
      </c>
      <c r="M235" s="252">
        <v>0</v>
      </c>
      <c r="O235" s="252">
        <v>0</v>
      </c>
      <c r="P235" s="252">
        <v>444800</v>
      </c>
      <c r="Q235" s="252">
        <v>88960</v>
      </c>
    </row>
    <row r="236" spans="1:19">
      <c r="A236" t="str">
        <f t="shared" si="5"/>
        <v>12</v>
      </c>
      <c r="B236" s="130" t="s">
        <v>880</v>
      </c>
      <c r="C236" s="130" t="s">
        <v>875</v>
      </c>
      <c r="D236" s="130" t="s">
        <v>881</v>
      </c>
      <c r="E236" s="130" t="s">
        <v>552</v>
      </c>
      <c r="I236" s="130" t="s">
        <v>553</v>
      </c>
      <c r="L236" s="252">
        <v>145778</v>
      </c>
      <c r="M236" s="252">
        <v>0</v>
      </c>
      <c r="O236" s="252">
        <v>0</v>
      </c>
      <c r="P236" s="252">
        <v>121482</v>
      </c>
      <c r="Q236" s="252">
        <v>24296</v>
      </c>
    </row>
    <row r="237" spans="1:19">
      <c r="A237" t="str">
        <f t="shared" si="5"/>
        <v>12</v>
      </c>
      <c r="B237" s="130" t="s">
        <v>882</v>
      </c>
      <c r="C237" s="130" t="s">
        <v>875</v>
      </c>
      <c r="D237" s="130" t="s">
        <v>883</v>
      </c>
      <c r="E237" s="130" t="s">
        <v>552</v>
      </c>
      <c r="I237" s="130" t="s">
        <v>553</v>
      </c>
      <c r="L237" s="252">
        <v>155918</v>
      </c>
      <c r="M237" s="252">
        <v>0</v>
      </c>
      <c r="O237" s="252">
        <v>0</v>
      </c>
      <c r="P237" s="252">
        <v>129932</v>
      </c>
      <c r="Q237" s="252">
        <v>25986</v>
      </c>
    </row>
    <row r="238" spans="1:19">
      <c r="A238" t="str">
        <f t="shared" si="5"/>
        <v>12</v>
      </c>
      <c r="B238" s="130" t="s">
        <v>884</v>
      </c>
      <c r="C238" s="130" t="s">
        <v>875</v>
      </c>
      <c r="D238" s="130" t="s">
        <v>885</v>
      </c>
      <c r="E238" s="130" t="s">
        <v>552</v>
      </c>
      <c r="I238" s="130" t="s">
        <v>553</v>
      </c>
      <c r="L238" s="252">
        <v>81117</v>
      </c>
      <c r="M238" s="252">
        <v>0</v>
      </c>
      <c r="O238" s="252">
        <v>0</v>
      </c>
      <c r="P238" s="252">
        <v>67597.5</v>
      </c>
      <c r="Q238" s="252">
        <v>13519.5</v>
      </c>
    </row>
    <row r="239" spans="1:19">
      <c r="A239" t="str">
        <f t="shared" si="5"/>
        <v>12</v>
      </c>
      <c r="B239" s="130" t="s">
        <v>886</v>
      </c>
      <c r="C239" s="130" t="s">
        <v>887</v>
      </c>
      <c r="D239" s="130" t="s">
        <v>888</v>
      </c>
      <c r="E239" s="130" t="s">
        <v>889</v>
      </c>
      <c r="I239" s="130" t="s">
        <v>890</v>
      </c>
      <c r="L239" s="252">
        <v>465000</v>
      </c>
      <c r="M239" s="252">
        <v>0</v>
      </c>
      <c r="O239" s="252">
        <v>0</v>
      </c>
      <c r="P239" s="252">
        <v>387500</v>
      </c>
      <c r="Q239" s="252">
        <v>77500</v>
      </c>
    </row>
    <row r="240" spans="1:19">
      <c r="A240" t="str">
        <f t="shared" si="5"/>
        <v>12</v>
      </c>
      <c r="B240" s="130" t="s">
        <v>891</v>
      </c>
      <c r="C240" s="130" t="s">
        <v>887</v>
      </c>
      <c r="D240" s="130" t="s">
        <v>892</v>
      </c>
      <c r="E240" s="130" t="s">
        <v>552</v>
      </c>
      <c r="I240" s="130" t="s">
        <v>553</v>
      </c>
      <c r="L240" s="252">
        <v>1395000</v>
      </c>
      <c r="M240" s="252">
        <v>0</v>
      </c>
      <c r="O240" s="252">
        <v>0</v>
      </c>
      <c r="P240" s="252">
        <v>1162500</v>
      </c>
      <c r="Q240" s="252">
        <v>232500</v>
      </c>
    </row>
    <row r="241" spans="1:18">
      <c r="A241" t="str">
        <f t="shared" si="5"/>
        <v>12</v>
      </c>
      <c r="B241" s="130" t="s">
        <v>893</v>
      </c>
      <c r="C241" s="130" t="s">
        <v>887</v>
      </c>
      <c r="D241" s="130" t="s">
        <v>894</v>
      </c>
      <c r="E241" s="130" t="s">
        <v>552</v>
      </c>
      <c r="I241" s="130" t="s">
        <v>553</v>
      </c>
      <c r="L241" s="252">
        <v>126120</v>
      </c>
      <c r="M241" s="252">
        <v>0</v>
      </c>
      <c r="O241" s="252">
        <v>0</v>
      </c>
      <c r="P241" s="252">
        <v>105100</v>
      </c>
      <c r="Q241" s="252">
        <v>21020</v>
      </c>
    </row>
    <row r="242" spans="1:18">
      <c r="A242" t="str">
        <f t="shared" si="5"/>
        <v>12</v>
      </c>
      <c r="B242" s="130" t="s">
        <v>895</v>
      </c>
      <c r="C242" s="130" t="s">
        <v>887</v>
      </c>
      <c r="D242" s="130" t="s">
        <v>896</v>
      </c>
      <c r="E242" s="130" t="s">
        <v>335</v>
      </c>
      <c r="L242" s="252">
        <v>553160</v>
      </c>
      <c r="M242" s="252">
        <v>0</v>
      </c>
      <c r="O242" s="252">
        <v>0</v>
      </c>
      <c r="P242" s="252">
        <v>460967</v>
      </c>
      <c r="Q242" s="252">
        <v>92193</v>
      </c>
    </row>
    <row r="243" spans="1:18">
      <c r="A243" t="str">
        <f t="shared" si="5"/>
        <v>12</v>
      </c>
      <c r="B243" s="130" t="s">
        <v>897</v>
      </c>
      <c r="C243" s="130" t="s">
        <v>887</v>
      </c>
      <c r="D243" s="130" t="s">
        <v>898</v>
      </c>
      <c r="E243" s="130" t="s">
        <v>552</v>
      </c>
      <c r="I243" s="130" t="s">
        <v>553</v>
      </c>
      <c r="L243" s="252">
        <v>291820</v>
      </c>
      <c r="M243" s="252">
        <v>0</v>
      </c>
      <c r="O243" s="252">
        <v>0</v>
      </c>
      <c r="P243" s="252">
        <v>243183</v>
      </c>
      <c r="Q243" s="252">
        <v>48637</v>
      </c>
    </row>
    <row r="244" spans="1:18">
      <c r="A244" t="str">
        <f t="shared" si="5"/>
        <v>12</v>
      </c>
      <c r="B244" s="130" t="s">
        <v>899</v>
      </c>
      <c r="C244" s="130" t="s">
        <v>887</v>
      </c>
      <c r="D244" s="130" t="s">
        <v>900</v>
      </c>
      <c r="E244" s="130" t="s">
        <v>552</v>
      </c>
      <c r="I244" s="130" t="s">
        <v>553</v>
      </c>
      <c r="L244" s="252">
        <v>235646</v>
      </c>
      <c r="M244" s="252">
        <v>0</v>
      </c>
      <c r="O244" s="252">
        <v>0</v>
      </c>
      <c r="P244" s="252">
        <v>196372</v>
      </c>
      <c r="Q244" s="252">
        <v>39274</v>
      </c>
    </row>
    <row r="245" spans="1:18">
      <c r="A245" t="str">
        <f t="shared" si="5"/>
        <v>12</v>
      </c>
      <c r="B245" s="130" t="s">
        <v>901</v>
      </c>
      <c r="C245" s="130" t="s">
        <v>902</v>
      </c>
      <c r="D245" s="130" t="s">
        <v>903</v>
      </c>
      <c r="E245" s="130" t="s">
        <v>552</v>
      </c>
      <c r="I245" s="130" t="s">
        <v>553</v>
      </c>
      <c r="L245" s="252">
        <v>155000</v>
      </c>
      <c r="M245" s="252">
        <v>0</v>
      </c>
      <c r="O245" s="252">
        <v>0</v>
      </c>
      <c r="P245" s="252">
        <v>129167</v>
      </c>
      <c r="Q245" s="252">
        <v>25833</v>
      </c>
    </row>
    <row r="246" spans="1:18">
      <c r="A246" t="str">
        <f t="shared" si="5"/>
        <v>12</v>
      </c>
      <c r="B246" s="130" t="s">
        <v>904</v>
      </c>
      <c r="C246" s="130" t="s">
        <v>902</v>
      </c>
      <c r="D246" s="130" t="s">
        <v>905</v>
      </c>
      <c r="E246" s="130" t="s">
        <v>552</v>
      </c>
      <c r="I246" s="130" t="s">
        <v>553</v>
      </c>
      <c r="L246" s="252">
        <v>16604</v>
      </c>
      <c r="M246" s="252">
        <v>0</v>
      </c>
      <c r="O246" s="252">
        <v>0</v>
      </c>
      <c r="P246" s="252">
        <v>13837</v>
      </c>
      <c r="Q246" s="252">
        <v>2767</v>
      </c>
    </row>
    <row r="247" spans="1:18">
      <c r="A247" t="str">
        <f t="shared" si="5"/>
        <v>12</v>
      </c>
      <c r="B247" s="130" t="s">
        <v>906</v>
      </c>
      <c r="C247" s="130" t="s">
        <v>907</v>
      </c>
      <c r="D247" s="130" t="s">
        <v>908</v>
      </c>
      <c r="E247" s="130" t="s">
        <v>552</v>
      </c>
      <c r="I247" s="130" t="s">
        <v>553</v>
      </c>
      <c r="L247" s="252">
        <v>178659</v>
      </c>
      <c r="M247" s="252">
        <v>0</v>
      </c>
      <c r="O247" s="252">
        <v>0</v>
      </c>
      <c r="P247" s="252">
        <v>148882.5</v>
      </c>
      <c r="Q247" s="252">
        <v>29776.5</v>
      </c>
    </row>
    <row r="248" spans="1:18">
      <c r="A248" t="str">
        <f t="shared" si="5"/>
        <v>12</v>
      </c>
      <c r="B248" s="130" t="s">
        <v>909</v>
      </c>
      <c r="C248" s="130" t="s">
        <v>907</v>
      </c>
      <c r="D248" s="130" t="s">
        <v>910</v>
      </c>
      <c r="E248" s="130" t="s">
        <v>552</v>
      </c>
      <c r="I248" s="130" t="s">
        <v>553</v>
      </c>
      <c r="L248" s="252">
        <v>604399</v>
      </c>
      <c r="M248" s="252">
        <v>0</v>
      </c>
      <c r="O248" s="252">
        <v>0</v>
      </c>
      <c r="P248" s="252">
        <v>503666</v>
      </c>
      <c r="Q248" s="252">
        <v>100733</v>
      </c>
    </row>
    <row r="249" spans="1:18">
      <c r="A249" t="str">
        <f t="shared" si="5"/>
        <v>12</v>
      </c>
      <c r="B249" s="130" t="s">
        <v>911</v>
      </c>
      <c r="C249" s="130" t="s">
        <v>907</v>
      </c>
      <c r="D249" s="130" t="s">
        <v>912</v>
      </c>
      <c r="E249" s="130" t="s">
        <v>552</v>
      </c>
      <c r="I249" s="130" t="s">
        <v>553</v>
      </c>
      <c r="L249" s="252">
        <v>364302</v>
      </c>
      <c r="M249" s="252">
        <v>0</v>
      </c>
      <c r="O249" s="252">
        <v>0</v>
      </c>
      <c r="P249" s="252">
        <v>303585</v>
      </c>
      <c r="Q249" s="252">
        <v>60717</v>
      </c>
    </row>
    <row r="250" spans="1:18">
      <c r="A250" t="str">
        <f t="shared" si="5"/>
        <v>12</v>
      </c>
      <c r="B250" s="130" t="s">
        <v>913</v>
      </c>
      <c r="C250" s="130" t="s">
        <v>907</v>
      </c>
      <c r="D250" s="130" t="s">
        <v>914</v>
      </c>
      <c r="E250" s="130" t="s">
        <v>552</v>
      </c>
      <c r="I250" s="130" t="s">
        <v>553</v>
      </c>
      <c r="L250" s="252">
        <v>106414</v>
      </c>
      <c r="M250" s="252">
        <v>0</v>
      </c>
      <c r="O250" s="252">
        <v>0</v>
      </c>
      <c r="P250" s="252">
        <v>88678</v>
      </c>
      <c r="Q250" s="252">
        <v>17736</v>
      </c>
    </row>
    <row r="251" spans="1:18">
      <c r="A251" t="str">
        <f t="shared" si="5"/>
        <v>12</v>
      </c>
      <c r="B251" s="130" t="s">
        <v>915</v>
      </c>
      <c r="C251" s="130" t="s">
        <v>907</v>
      </c>
      <c r="D251" s="130" t="s">
        <v>916</v>
      </c>
      <c r="E251" s="130" t="s">
        <v>552</v>
      </c>
      <c r="I251" s="130" t="s">
        <v>553</v>
      </c>
      <c r="L251" s="252">
        <v>224467</v>
      </c>
      <c r="M251" s="252">
        <v>0</v>
      </c>
      <c r="O251" s="252">
        <v>0</v>
      </c>
      <c r="P251" s="252">
        <v>187056</v>
      </c>
      <c r="Q251" s="252">
        <v>37411</v>
      </c>
    </row>
    <row r="252" spans="1:18">
      <c r="A252" t="str">
        <f t="shared" si="5"/>
        <v>12</v>
      </c>
      <c r="B252" s="130" t="s">
        <v>917</v>
      </c>
      <c r="C252" s="130" t="s">
        <v>907</v>
      </c>
      <c r="D252" s="130" t="s">
        <v>918</v>
      </c>
      <c r="E252" s="130" t="s">
        <v>336</v>
      </c>
      <c r="I252" s="130" t="s">
        <v>504</v>
      </c>
      <c r="L252" s="252">
        <v>39749.5</v>
      </c>
      <c r="M252" s="252">
        <v>0</v>
      </c>
      <c r="O252" s="252">
        <v>0</v>
      </c>
      <c r="P252" s="252">
        <v>33240</v>
      </c>
      <c r="Q252" s="252">
        <v>6509.5</v>
      </c>
    </row>
    <row r="253" spans="1:18">
      <c r="A253" t="str">
        <f t="shared" si="5"/>
        <v/>
      </c>
      <c r="B253" s="132" t="s">
        <v>43</v>
      </c>
      <c r="L253" s="133">
        <v>223944722.13999999</v>
      </c>
      <c r="P253" s="133">
        <v>186621976.77000001</v>
      </c>
      <c r="Q253" s="133">
        <v>37322745.369999997</v>
      </c>
    </row>
    <row r="254" spans="1:18">
      <c r="A254" t="str">
        <f t="shared" si="5"/>
        <v/>
      </c>
      <c r="B254" s="132" t="s">
        <v>919</v>
      </c>
      <c r="N254" s="126" t="s">
        <v>920</v>
      </c>
      <c r="O254" s="126" t="s">
        <v>921</v>
      </c>
      <c r="P254" s="126" t="s">
        <v>922</v>
      </c>
      <c r="R254" s="126" t="s">
        <v>923</v>
      </c>
    </row>
    <row r="255" spans="1:18">
      <c r="A255" t="str">
        <f t="shared" si="5"/>
        <v/>
      </c>
      <c r="B255" s="130" t="s">
        <v>582</v>
      </c>
      <c r="K255" s="126" t="s">
        <v>584</v>
      </c>
      <c r="L255" s="132" t="s">
        <v>924</v>
      </c>
      <c r="M255" s="132" t="s">
        <v>333</v>
      </c>
      <c r="O255" s="132" t="s">
        <v>333</v>
      </c>
      <c r="P255" s="132" t="s">
        <v>925</v>
      </c>
      <c r="Q255" s="132" t="s">
        <v>926</v>
      </c>
    </row>
    <row r="256" spans="1:18">
      <c r="A256" t="str">
        <f t="shared" si="5"/>
        <v/>
      </c>
      <c r="B256" s="130" t="s">
        <v>588</v>
      </c>
      <c r="K256" s="126" t="s">
        <v>589</v>
      </c>
      <c r="L256" s="133">
        <v>223944722.13999999</v>
      </c>
      <c r="M256" s="133">
        <v>0</v>
      </c>
      <c r="O256" s="133">
        <v>0</v>
      </c>
      <c r="P256" s="133">
        <v>186621976.77000001</v>
      </c>
      <c r="Q256" s="133">
        <v>37322745.369999997</v>
      </c>
    </row>
    <row r="257" spans="1:17">
      <c r="A257" t="str">
        <f t="shared" si="5"/>
        <v/>
      </c>
      <c r="B257" s="130" t="s">
        <v>677</v>
      </c>
      <c r="L257" s="130" t="s">
        <v>590</v>
      </c>
    </row>
    <row r="258" spans="1:17">
      <c r="A258" t="str">
        <f t="shared" si="5"/>
        <v/>
      </c>
      <c r="L258" s="130" t="s">
        <v>591</v>
      </c>
      <c r="P258" s="130" t="s">
        <v>592</v>
      </c>
      <c r="Q258" s="239" t="s">
        <v>593</v>
      </c>
    </row>
    <row r="259" spans="1:17">
      <c r="A259" t="str">
        <f t="shared" si="5"/>
        <v/>
      </c>
      <c r="L259" s="130" t="s">
        <v>678</v>
      </c>
    </row>
    <row r="260" spans="1:17">
      <c r="A260" t="str">
        <f t="shared" si="5"/>
        <v/>
      </c>
    </row>
    <row r="261" spans="1:17">
      <c r="A261" t="str">
        <f t="shared" si="5"/>
        <v/>
      </c>
    </row>
    <row r="262" spans="1:17">
      <c r="A262" t="str">
        <f t="shared" si="5"/>
        <v/>
      </c>
    </row>
    <row r="263" spans="1:17">
      <c r="A263" t="str">
        <f t="shared" si="5"/>
        <v/>
      </c>
    </row>
    <row r="264" spans="1:17">
      <c r="A264" t="str">
        <f t="shared" si="5"/>
        <v/>
      </c>
    </row>
    <row r="265" spans="1:17">
      <c r="A265" t="str">
        <f t="shared" si="5"/>
        <v/>
      </c>
    </row>
    <row r="266" spans="1:17">
      <c r="A266" t="str">
        <f t="shared" si="5"/>
        <v/>
      </c>
    </row>
    <row r="267" spans="1:17">
      <c r="A267" t="str">
        <f t="shared" si="5"/>
        <v/>
      </c>
    </row>
    <row r="268" spans="1:17">
      <c r="A268" t="str">
        <f t="shared" si="5"/>
        <v/>
      </c>
    </row>
    <row r="269" spans="1:17">
      <c r="A269" t="str">
        <f t="shared" si="5"/>
        <v/>
      </c>
    </row>
    <row r="270" spans="1:17">
      <c r="A270" t="str">
        <f t="shared" si="5"/>
        <v/>
      </c>
    </row>
    <row r="271" spans="1:17">
      <c r="A271" t="str">
        <f t="shared" si="5"/>
        <v/>
      </c>
    </row>
    <row r="272" spans="1:17">
      <c r="A272" t="str">
        <f t="shared" si="5"/>
        <v/>
      </c>
    </row>
    <row r="273" spans="1:1">
      <c r="A273" t="str">
        <f t="shared" si="5"/>
        <v/>
      </c>
    </row>
    <row r="274" spans="1:1">
      <c r="A274" t="str">
        <f t="shared" si="5"/>
        <v/>
      </c>
    </row>
    <row r="275" spans="1:1">
      <c r="A275" t="str">
        <f t="shared" si="5"/>
        <v/>
      </c>
    </row>
    <row r="276" spans="1:1">
      <c r="A276" t="str">
        <f t="shared" si="5"/>
        <v/>
      </c>
    </row>
    <row r="277" spans="1:1">
      <c r="A277" t="str">
        <f t="shared" si="5"/>
        <v/>
      </c>
    </row>
    <row r="278" spans="1:1">
      <c r="A278" t="str">
        <f t="shared" si="5"/>
        <v/>
      </c>
    </row>
    <row r="279" spans="1:1">
      <c r="A279" t="str">
        <f t="shared" si="5"/>
        <v/>
      </c>
    </row>
    <row r="280" spans="1:1">
      <c r="A280" t="str">
        <f t="shared" si="5"/>
        <v/>
      </c>
    </row>
    <row r="281" spans="1:1">
      <c r="A281" t="str">
        <f t="shared" si="5"/>
        <v/>
      </c>
    </row>
    <row r="282" spans="1:1">
      <c r="A282" t="str">
        <f t="shared" si="5"/>
        <v/>
      </c>
    </row>
    <row r="283" spans="1:1">
      <c r="A283" t="str">
        <f t="shared" si="5"/>
        <v/>
      </c>
    </row>
    <row r="284" spans="1:1">
      <c r="A284" t="str">
        <f t="shared" si="5"/>
        <v/>
      </c>
    </row>
    <row r="285" spans="1:1">
      <c r="A285" t="str">
        <f t="shared" si="5"/>
        <v/>
      </c>
    </row>
    <row r="286" spans="1:1">
      <c r="A286" t="str">
        <f t="shared" ref="A286:A349" si="6">MID(C286,4,2)</f>
        <v/>
      </c>
    </row>
    <row r="287" spans="1:1">
      <c r="A287" t="str">
        <f t="shared" si="6"/>
        <v/>
      </c>
    </row>
    <row r="288" spans="1:1">
      <c r="A288" t="str">
        <f t="shared" si="6"/>
        <v/>
      </c>
    </row>
    <row r="289" spans="1:1">
      <c r="A289" t="str">
        <f t="shared" si="6"/>
        <v/>
      </c>
    </row>
    <row r="290" spans="1:1">
      <c r="A290" t="str">
        <f t="shared" si="6"/>
        <v/>
      </c>
    </row>
    <row r="291" spans="1:1">
      <c r="A291" t="str">
        <f t="shared" si="6"/>
        <v/>
      </c>
    </row>
    <row r="292" spans="1:1">
      <c r="A292" t="str">
        <f t="shared" si="6"/>
        <v/>
      </c>
    </row>
    <row r="293" spans="1:1">
      <c r="A293" t="str">
        <f t="shared" si="6"/>
        <v/>
      </c>
    </row>
    <row r="294" spans="1:1">
      <c r="A294" t="str">
        <f t="shared" si="6"/>
        <v/>
      </c>
    </row>
    <row r="295" spans="1:1">
      <c r="A295" t="str">
        <f t="shared" si="6"/>
        <v/>
      </c>
    </row>
    <row r="296" spans="1:1">
      <c r="A296" t="str">
        <f t="shared" si="6"/>
        <v/>
      </c>
    </row>
    <row r="297" spans="1:1">
      <c r="A297" t="str">
        <f t="shared" si="6"/>
        <v/>
      </c>
    </row>
    <row r="298" spans="1:1">
      <c r="A298" t="str">
        <f t="shared" si="6"/>
        <v/>
      </c>
    </row>
    <row r="299" spans="1:1">
      <c r="A299" t="str">
        <f t="shared" si="6"/>
        <v/>
      </c>
    </row>
    <row r="300" spans="1:1">
      <c r="A300" t="str">
        <f t="shared" si="6"/>
        <v/>
      </c>
    </row>
    <row r="301" spans="1:1">
      <c r="A301" t="str">
        <f t="shared" si="6"/>
        <v/>
      </c>
    </row>
    <row r="302" spans="1:1">
      <c r="A302" t="str">
        <f t="shared" si="6"/>
        <v/>
      </c>
    </row>
    <row r="303" spans="1:1">
      <c r="A303" t="str">
        <f t="shared" si="6"/>
        <v/>
      </c>
    </row>
    <row r="304" spans="1:1">
      <c r="A304" t="str">
        <f t="shared" si="6"/>
        <v/>
      </c>
    </row>
    <row r="305" spans="1:1">
      <c r="A305" t="str">
        <f t="shared" si="6"/>
        <v/>
      </c>
    </row>
    <row r="306" spans="1:1">
      <c r="A306" t="str">
        <f t="shared" si="6"/>
        <v/>
      </c>
    </row>
    <row r="307" spans="1:1">
      <c r="A307" t="str">
        <f t="shared" si="6"/>
        <v/>
      </c>
    </row>
    <row r="308" spans="1:1">
      <c r="A308" t="str">
        <f t="shared" si="6"/>
        <v/>
      </c>
    </row>
    <row r="309" spans="1:1">
      <c r="A309" t="str">
        <f t="shared" si="6"/>
        <v/>
      </c>
    </row>
    <row r="310" spans="1:1">
      <c r="A310" t="str">
        <f t="shared" si="6"/>
        <v/>
      </c>
    </row>
    <row r="311" spans="1:1">
      <c r="A311" t="str">
        <f t="shared" si="6"/>
        <v/>
      </c>
    </row>
    <row r="312" spans="1:1">
      <c r="A312" t="str">
        <f t="shared" si="6"/>
        <v/>
      </c>
    </row>
    <row r="313" spans="1:1">
      <c r="A313" t="str">
        <f t="shared" si="6"/>
        <v/>
      </c>
    </row>
    <row r="314" spans="1:1">
      <c r="A314" t="str">
        <f t="shared" si="6"/>
        <v/>
      </c>
    </row>
    <row r="315" spans="1:1">
      <c r="A315" t="str">
        <f t="shared" si="6"/>
        <v/>
      </c>
    </row>
    <row r="316" spans="1:1">
      <c r="A316" t="str">
        <f t="shared" si="6"/>
        <v/>
      </c>
    </row>
    <row r="317" spans="1:1">
      <c r="A317" t="str">
        <f t="shared" si="6"/>
        <v/>
      </c>
    </row>
    <row r="318" spans="1:1">
      <c r="A318" t="str">
        <f t="shared" si="6"/>
        <v/>
      </c>
    </row>
    <row r="319" spans="1:1">
      <c r="A319" t="str">
        <f t="shared" si="6"/>
        <v/>
      </c>
    </row>
    <row r="320" spans="1:1">
      <c r="A320" t="str">
        <f t="shared" si="6"/>
        <v/>
      </c>
    </row>
    <row r="321" spans="1:1">
      <c r="A321" t="str">
        <f t="shared" si="6"/>
        <v/>
      </c>
    </row>
    <row r="322" spans="1:1">
      <c r="A322" t="str">
        <f t="shared" si="6"/>
        <v/>
      </c>
    </row>
    <row r="323" spans="1:1">
      <c r="A323" t="str">
        <f t="shared" si="6"/>
        <v/>
      </c>
    </row>
    <row r="324" spans="1:1">
      <c r="A324" t="str">
        <f t="shared" si="6"/>
        <v/>
      </c>
    </row>
    <row r="325" spans="1:1">
      <c r="A325" t="str">
        <f t="shared" si="6"/>
        <v/>
      </c>
    </row>
    <row r="326" spans="1:1">
      <c r="A326" t="str">
        <f t="shared" si="6"/>
        <v/>
      </c>
    </row>
    <row r="327" spans="1:1">
      <c r="A327" t="str">
        <f t="shared" si="6"/>
        <v/>
      </c>
    </row>
    <row r="328" spans="1:1">
      <c r="A328" t="str">
        <f t="shared" si="6"/>
        <v/>
      </c>
    </row>
    <row r="329" spans="1:1">
      <c r="A329" t="str">
        <f t="shared" si="6"/>
        <v/>
      </c>
    </row>
    <row r="330" spans="1:1">
      <c r="A330" t="str">
        <f t="shared" si="6"/>
        <v/>
      </c>
    </row>
    <row r="331" spans="1:1">
      <c r="A331" t="str">
        <f t="shared" si="6"/>
        <v/>
      </c>
    </row>
    <row r="332" spans="1:1">
      <c r="A332" t="str">
        <f t="shared" si="6"/>
        <v/>
      </c>
    </row>
    <row r="333" spans="1:1">
      <c r="A333" t="str">
        <f t="shared" si="6"/>
        <v/>
      </c>
    </row>
    <row r="334" spans="1:1">
      <c r="A334" t="str">
        <f t="shared" si="6"/>
        <v/>
      </c>
    </row>
    <row r="335" spans="1:1">
      <c r="A335" t="str">
        <f t="shared" si="6"/>
        <v/>
      </c>
    </row>
    <row r="336" spans="1:1">
      <c r="A336" t="str">
        <f t="shared" si="6"/>
        <v/>
      </c>
    </row>
    <row r="337" spans="1:1">
      <c r="A337" t="str">
        <f t="shared" si="6"/>
        <v/>
      </c>
    </row>
    <row r="338" spans="1:1">
      <c r="A338" t="str">
        <f t="shared" si="6"/>
        <v/>
      </c>
    </row>
    <row r="339" spans="1:1">
      <c r="A339" t="str">
        <f t="shared" si="6"/>
        <v/>
      </c>
    </row>
    <row r="340" spans="1:1">
      <c r="A340" t="str">
        <f t="shared" si="6"/>
        <v/>
      </c>
    </row>
    <row r="341" spans="1:1">
      <c r="A341" t="str">
        <f t="shared" si="6"/>
        <v/>
      </c>
    </row>
    <row r="342" spans="1:1">
      <c r="A342" t="str">
        <f t="shared" si="6"/>
        <v/>
      </c>
    </row>
    <row r="343" spans="1:1">
      <c r="A343" t="str">
        <f t="shared" si="6"/>
        <v/>
      </c>
    </row>
    <row r="344" spans="1:1">
      <c r="A344" t="str">
        <f t="shared" si="6"/>
        <v/>
      </c>
    </row>
    <row r="345" spans="1:1">
      <c r="A345" t="str">
        <f t="shared" si="6"/>
        <v/>
      </c>
    </row>
    <row r="346" spans="1:1">
      <c r="A346" t="str">
        <f t="shared" si="6"/>
        <v/>
      </c>
    </row>
    <row r="347" spans="1:1">
      <c r="A347" t="str">
        <f t="shared" si="6"/>
        <v/>
      </c>
    </row>
    <row r="348" spans="1:1">
      <c r="A348" t="str">
        <f t="shared" si="6"/>
        <v/>
      </c>
    </row>
    <row r="349" spans="1:1">
      <c r="A349" t="str">
        <f t="shared" si="6"/>
        <v/>
      </c>
    </row>
    <row r="350" spans="1:1">
      <c r="A350" t="str">
        <f t="shared" ref="A350:A413" si="7">MID(C350,4,2)</f>
        <v/>
      </c>
    </row>
    <row r="351" spans="1:1">
      <c r="A351" t="str">
        <f t="shared" si="7"/>
        <v/>
      </c>
    </row>
    <row r="352" spans="1:1">
      <c r="A352" t="str">
        <f t="shared" si="7"/>
        <v/>
      </c>
    </row>
    <row r="353" spans="1:1">
      <c r="A353" t="str">
        <f t="shared" si="7"/>
        <v/>
      </c>
    </row>
    <row r="354" spans="1:1">
      <c r="A354" t="str">
        <f t="shared" si="7"/>
        <v/>
      </c>
    </row>
    <row r="355" spans="1:1">
      <c r="A355" t="str">
        <f t="shared" si="7"/>
        <v/>
      </c>
    </row>
    <row r="356" spans="1:1">
      <c r="A356" t="str">
        <f t="shared" si="7"/>
        <v/>
      </c>
    </row>
    <row r="357" spans="1:1">
      <c r="A357" t="str">
        <f t="shared" si="7"/>
        <v/>
      </c>
    </row>
    <row r="358" spans="1:1">
      <c r="A358" t="str">
        <f t="shared" si="7"/>
        <v/>
      </c>
    </row>
    <row r="359" spans="1:1">
      <c r="A359" t="str">
        <f t="shared" si="7"/>
        <v/>
      </c>
    </row>
    <row r="360" spans="1:1">
      <c r="A360" t="str">
        <f t="shared" si="7"/>
        <v/>
      </c>
    </row>
    <row r="361" spans="1:1">
      <c r="A361" t="str">
        <f t="shared" si="7"/>
        <v/>
      </c>
    </row>
    <row r="362" spans="1:1">
      <c r="A362" t="str">
        <f t="shared" si="7"/>
        <v/>
      </c>
    </row>
    <row r="363" spans="1:1">
      <c r="A363" t="str">
        <f t="shared" si="7"/>
        <v/>
      </c>
    </row>
    <row r="364" spans="1:1">
      <c r="A364" t="str">
        <f t="shared" si="7"/>
        <v/>
      </c>
    </row>
    <row r="365" spans="1:1">
      <c r="A365" t="str">
        <f t="shared" si="7"/>
        <v/>
      </c>
    </row>
    <row r="366" spans="1:1">
      <c r="A366" t="str">
        <f t="shared" si="7"/>
        <v/>
      </c>
    </row>
    <row r="367" spans="1:1">
      <c r="A367" t="str">
        <f t="shared" si="7"/>
        <v/>
      </c>
    </row>
    <row r="368" spans="1:1">
      <c r="A368" t="str">
        <f t="shared" si="7"/>
        <v/>
      </c>
    </row>
    <row r="369" spans="1:1">
      <c r="A369" t="str">
        <f t="shared" si="7"/>
        <v/>
      </c>
    </row>
    <row r="370" spans="1:1">
      <c r="A370" t="str">
        <f t="shared" si="7"/>
        <v/>
      </c>
    </row>
    <row r="371" spans="1:1">
      <c r="A371" t="str">
        <f t="shared" si="7"/>
        <v/>
      </c>
    </row>
    <row r="372" spans="1:1">
      <c r="A372" t="str">
        <f t="shared" si="7"/>
        <v/>
      </c>
    </row>
    <row r="373" spans="1:1">
      <c r="A373" t="str">
        <f t="shared" si="7"/>
        <v/>
      </c>
    </row>
    <row r="374" spans="1:1">
      <c r="A374" t="str">
        <f t="shared" si="7"/>
        <v/>
      </c>
    </row>
    <row r="375" spans="1:1">
      <c r="A375" t="str">
        <f t="shared" si="7"/>
        <v/>
      </c>
    </row>
    <row r="376" spans="1:1">
      <c r="A376" t="str">
        <f t="shared" si="7"/>
        <v/>
      </c>
    </row>
    <row r="377" spans="1:1">
      <c r="A377" t="str">
        <f t="shared" si="7"/>
        <v/>
      </c>
    </row>
    <row r="378" spans="1:1">
      <c r="A378" t="str">
        <f t="shared" si="7"/>
        <v/>
      </c>
    </row>
    <row r="379" spans="1:1">
      <c r="A379" t="str">
        <f t="shared" si="7"/>
        <v/>
      </c>
    </row>
    <row r="380" spans="1:1">
      <c r="A380" t="str">
        <f t="shared" si="7"/>
        <v/>
      </c>
    </row>
    <row r="381" spans="1:1">
      <c r="A381" t="str">
        <f t="shared" si="7"/>
        <v/>
      </c>
    </row>
    <row r="382" spans="1:1">
      <c r="A382" t="str">
        <f t="shared" si="7"/>
        <v/>
      </c>
    </row>
    <row r="383" spans="1:1">
      <c r="A383" t="str">
        <f t="shared" si="7"/>
        <v/>
      </c>
    </row>
    <row r="384" spans="1:1">
      <c r="A384" t="str">
        <f t="shared" si="7"/>
        <v/>
      </c>
    </row>
    <row r="385" spans="1:1">
      <c r="A385" t="str">
        <f t="shared" si="7"/>
        <v/>
      </c>
    </row>
    <row r="386" spans="1:1">
      <c r="A386" t="str">
        <f t="shared" si="7"/>
        <v/>
      </c>
    </row>
    <row r="387" spans="1:1">
      <c r="A387" t="str">
        <f t="shared" si="7"/>
        <v/>
      </c>
    </row>
    <row r="388" spans="1:1">
      <c r="A388" t="str">
        <f t="shared" si="7"/>
        <v/>
      </c>
    </row>
    <row r="389" spans="1:1">
      <c r="A389" t="str">
        <f t="shared" si="7"/>
        <v/>
      </c>
    </row>
    <row r="390" spans="1:1">
      <c r="A390" t="str">
        <f t="shared" si="7"/>
        <v/>
      </c>
    </row>
    <row r="391" spans="1:1">
      <c r="A391" t="str">
        <f t="shared" si="7"/>
        <v/>
      </c>
    </row>
    <row r="392" spans="1:1">
      <c r="A392" t="str">
        <f t="shared" si="7"/>
        <v/>
      </c>
    </row>
    <row r="393" spans="1:1">
      <c r="A393" t="str">
        <f t="shared" si="7"/>
        <v/>
      </c>
    </row>
    <row r="394" spans="1:1">
      <c r="A394" t="str">
        <f t="shared" si="7"/>
        <v/>
      </c>
    </row>
    <row r="395" spans="1:1">
      <c r="A395" t="str">
        <f t="shared" si="7"/>
        <v/>
      </c>
    </row>
    <row r="396" spans="1:1">
      <c r="A396" t="str">
        <f t="shared" si="7"/>
        <v/>
      </c>
    </row>
    <row r="397" spans="1:1">
      <c r="A397" t="str">
        <f t="shared" si="7"/>
        <v/>
      </c>
    </row>
    <row r="398" spans="1:1">
      <c r="A398" t="str">
        <f t="shared" si="7"/>
        <v/>
      </c>
    </row>
    <row r="399" spans="1:1">
      <c r="A399" t="str">
        <f t="shared" si="7"/>
        <v/>
      </c>
    </row>
    <row r="400" spans="1:1">
      <c r="A400" t="str">
        <f t="shared" si="7"/>
        <v/>
      </c>
    </row>
    <row r="401" spans="1:1">
      <c r="A401" t="str">
        <f t="shared" si="7"/>
        <v/>
      </c>
    </row>
    <row r="402" spans="1:1">
      <c r="A402" t="str">
        <f t="shared" si="7"/>
        <v/>
      </c>
    </row>
    <row r="403" spans="1:1">
      <c r="A403" t="str">
        <f t="shared" si="7"/>
        <v/>
      </c>
    </row>
    <row r="404" spans="1:1">
      <c r="A404" t="str">
        <f t="shared" si="7"/>
        <v/>
      </c>
    </row>
    <row r="405" spans="1:1">
      <c r="A405" t="str">
        <f t="shared" si="7"/>
        <v/>
      </c>
    </row>
    <row r="406" spans="1:1">
      <c r="A406" t="str">
        <f t="shared" si="7"/>
        <v/>
      </c>
    </row>
    <row r="407" spans="1:1">
      <c r="A407" t="str">
        <f t="shared" si="7"/>
        <v/>
      </c>
    </row>
    <row r="408" spans="1:1">
      <c r="A408" t="str">
        <f t="shared" si="7"/>
        <v/>
      </c>
    </row>
    <row r="409" spans="1:1">
      <c r="A409" t="str">
        <f t="shared" si="7"/>
        <v/>
      </c>
    </row>
    <row r="410" spans="1:1">
      <c r="A410" t="str">
        <f t="shared" si="7"/>
        <v/>
      </c>
    </row>
    <row r="411" spans="1:1">
      <c r="A411" t="str">
        <f t="shared" si="7"/>
        <v/>
      </c>
    </row>
    <row r="412" spans="1:1">
      <c r="A412" t="str">
        <f t="shared" si="7"/>
        <v/>
      </c>
    </row>
    <row r="413" spans="1:1">
      <c r="A413" t="str">
        <f t="shared" si="7"/>
        <v/>
      </c>
    </row>
    <row r="414" spans="1:1">
      <c r="A414" t="str">
        <f t="shared" ref="A414:A477" si="8">MID(C414,4,2)</f>
        <v/>
      </c>
    </row>
    <row r="415" spans="1:1">
      <c r="A415" t="str">
        <f t="shared" si="8"/>
        <v/>
      </c>
    </row>
    <row r="416" spans="1:1">
      <c r="A416" t="str">
        <f t="shared" si="8"/>
        <v/>
      </c>
    </row>
    <row r="417" spans="1:1">
      <c r="A417" t="str">
        <f t="shared" si="8"/>
        <v/>
      </c>
    </row>
    <row r="418" spans="1:1">
      <c r="A418" t="str">
        <f t="shared" si="8"/>
        <v/>
      </c>
    </row>
    <row r="419" spans="1:1">
      <c r="A419" t="str">
        <f t="shared" si="8"/>
        <v/>
      </c>
    </row>
    <row r="420" spans="1:1">
      <c r="A420" t="str">
        <f t="shared" si="8"/>
        <v/>
      </c>
    </row>
    <row r="421" spans="1:1">
      <c r="A421" t="str">
        <f t="shared" si="8"/>
        <v/>
      </c>
    </row>
    <row r="422" spans="1:1">
      <c r="A422" t="str">
        <f t="shared" si="8"/>
        <v/>
      </c>
    </row>
    <row r="423" spans="1:1">
      <c r="A423" t="str">
        <f t="shared" si="8"/>
        <v/>
      </c>
    </row>
    <row r="424" spans="1:1">
      <c r="A424" t="str">
        <f t="shared" si="8"/>
        <v/>
      </c>
    </row>
    <row r="425" spans="1:1">
      <c r="A425" t="str">
        <f t="shared" si="8"/>
        <v/>
      </c>
    </row>
    <row r="426" spans="1:1">
      <c r="A426" t="str">
        <f t="shared" si="8"/>
        <v/>
      </c>
    </row>
    <row r="427" spans="1:1">
      <c r="A427" t="str">
        <f t="shared" si="8"/>
        <v/>
      </c>
    </row>
    <row r="428" spans="1:1">
      <c r="A428" t="str">
        <f t="shared" si="8"/>
        <v/>
      </c>
    </row>
    <row r="429" spans="1:1">
      <c r="A429" t="str">
        <f t="shared" si="8"/>
        <v/>
      </c>
    </row>
    <row r="430" spans="1:1">
      <c r="A430" t="str">
        <f t="shared" si="8"/>
        <v/>
      </c>
    </row>
    <row r="431" spans="1:1">
      <c r="A431" t="str">
        <f t="shared" si="8"/>
        <v/>
      </c>
    </row>
    <row r="432" spans="1:1">
      <c r="A432" t="str">
        <f t="shared" si="8"/>
        <v/>
      </c>
    </row>
    <row r="433" spans="1:1">
      <c r="A433" t="str">
        <f t="shared" si="8"/>
        <v/>
      </c>
    </row>
    <row r="434" spans="1:1">
      <c r="A434" t="str">
        <f t="shared" si="8"/>
        <v/>
      </c>
    </row>
    <row r="435" spans="1:1">
      <c r="A435" t="str">
        <f t="shared" si="8"/>
        <v/>
      </c>
    </row>
    <row r="436" spans="1:1">
      <c r="A436" t="str">
        <f t="shared" si="8"/>
        <v/>
      </c>
    </row>
    <row r="437" spans="1:1">
      <c r="A437" t="str">
        <f t="shared" si="8"/>
        <v/>
      </c>
    </row>
    <row r="438" spans="1:1">
      <c r="A438" t="str">
        <f t="shared" si="8"/>
        <v/>
      </c>
    </row>
    <row r="439" spans="1:1">
      <c r="A439" t="str">
        <f t="shared" si="8"/>
        <v/>
      </c>
    </row>
    <row r="440" spans="1:1">
      <c r="A440" t="str">
        <f t="shared" si="8"/>
        <v/>
      </c>
    </row>
    <row r="441" spans="1:1">
      <c r="A441" t="str">
        <f t="shared" si="8"/>
        <v/>
      </c>
    </row>
    <row r="442" spans="1:1">
      <c r="A442" t="str">
        <f t="shared" si="8"/>
        <v/>
      </c>
    </row>
    <row r="443" spans="1:1">
      <c r="A443" t="str">
        <f t="shared" si="8"/>
        <v/>
      </c>
    </row>
    <row r="444" spans="1:1">
      <c r="A444" t="str">
        <f t="shared" si="8"/>
        <v/>
      </c>
    </row>
    <row r="445" spans="1:1">
      <c r="A445" t="str">
        <f t="shared" si="8"/>
        <v/>
      </c>
    </row>
    <row r="446" spans="1:1">
      <c r="A446" t="str">
        <f t="shared" si="8"/>
        <v/>
      </c>
    </row>
    <row r="447" spans="1:1">
      <c r="A447" t="str">
        <f t="shared" si="8"/>
        <v/>
      </c>
    </row>
    <row r="448" spans="1:1">
      <c r="A448" t="str">
        <f t="shared" si="8"/>
        <v/>
      </c>
    </row>
    <row r="449" spans="1:1">
      <c r="A449" t="str">
        <f t="shared" si="8"/>
        <v/>
      </c>
    </row>
    <row r="450" spans="1:1">
      <c r="A450" t="str">
        <f t="shared" si="8"/>
        <v/>
      </c>
    </row>
    <row r="451" spans="1:1">
      <c r="A451" t="str">
        <f t="shared" si="8"/>
        <v/>
      </c>
    </row>
    <row r="452" spans="1:1">
      <c r="A452" t="str">
        <f t="shared" si="8"/>
        <v/>
      </c>
    </row>
    <row r="453" spans="1:1">
      <c r="A453" t="str">
        <f t="shared" si="8"/>
        <v/>
      </c>
    </row>
    <row r="454" spans="1:1">
      <c r="A454" t="str">
        <f t="shared" si="8"/>
        <v/>
      </c>
    </row>
    <row r="455" spans="1:1">
      <c r="A455" t="str">
        <f t="shared" si="8"/>
        <v/>
      </c>
    </row>
    <row r="456" spans="1:1">
      <c r="A456" t="str">
        <f t="shared" si="8"/>
        <v/>
      </c>
    </row>
    <row r="457" spans="1:1">
      <c r="A457" t="str">
        <f t="shared" si="8"/>
        <v/>
      </c>
    </row>
    <row r="458" spans="1:1">
      <c r="A458" t="str">
        <f t="shared" si="8"/>
        <v/>
      </c>
    </row>
    <row r="459" spans="1:1">
      <c r="A459" t="str">
        <f t="shared" si="8"/>
        <v/>
      </c>
    </row>
    <row r="460" spans="1:1">
      <c r="A460" t="str">
        <f t="shared" si="8"/>
        <v/>
      </c>
    </row>
    <row r="461" spans="1:1">
      <c r="A461" t="str">
        <f t="shared" si="8"/>
        <v/>
      </c>
    </row>
    <row r="462" spans="1:1">
      <c r="A462" t="str">
        <f t="shared" si="8"/>
        <v/>
      </c>
    </row>
    <row r="463" spans="1:1">
      <c r="A463" t="str">
        <f t="shared" si="8"/>
        <v/>
      </c>
    </row>
    <row r="464" spans="1:1">
      <c r="A464" t="str">
        <f t="shared" si="8"/>
        <v/>
      </c>
    </row>
    <row r="465" spans="1:1">
      <c r="A465" t="str">
        <f t="shared" si="8"/>
        <v/>
      </c>
    </row>
    <row r="466" spans="1:1">
      <c r="A466" t="str">
        <f t="shared" si="8"/>
        <v/>
      </c>
    </row>
    <row r="467" spans="1:1">
      <c r="A467" t="str">
        <f t="shared" si="8"/>
        <v/>
      </c>
    </row>
    <row r="468" spans="1:1">
      <c r="A468" t="str">
        <f t="shared" si="8"/>
        <v/>
      </c>
    </row>
    <row r="469" spans="1:1">
      <c r="A469" t="str">
        <f t="shared" si="8"/>
        <v/>
      </c>
    </row>
    <row r="470" spans="1:1">
      <c r="A470" t="str">
        <f t="shared" si="8"/>
        <v/>
      </c>
    </row>
    <row r="471" spans="1:1">
      <c r="A471" t="str">
        <f t="shared" si="8"/>
        <v/>
      </c>
    </row>
    <row r="472" spans="1:1">
      <c r="A472" t="str">
        <f t="shared" si="8"/>
        <v/>
      </c>
    </row>
    <row r="473" spans="1:1">
      <c r="A473" t="str">
        <f t="shared" si="8"/>
        <v/>
      </c>
    </row>
    <row r="474" spans="1:1">
      <c r="A474" t="str">
        <f t="shared" si="8"/>
        <v/>
      </c>
    </row>
    <row r="475" spans="1:1">
      <c r="A475" t="str">
        <f t="shared" si="8"/>
        <v/>
      </c>
    </row>
    <row r="476" spans="1:1">
      <c r="A476" t="str">
        <f t="shared" si="8"/>
        <v/>
      </c>
    </row>
    <row r="477" spans="1:1">
      <c r="A477" t="str">
        <f t="shared" si="8"/>
        <v/>
      </c>
    </row>
    <row r="478" spans="1:1">
      <c r="A478" t="str">
        <f t="shared" ref="A478:A486" si="9">MID(C478,4,2)</f>
        <v/>
      </c>
    </row>
    <row r="479" spans="1:1">
      <c r="A479" t="str">
        <f t="shared" si="9"/>
        <v/>
      </c>
    </row>
    <row r="480" spans="1:1">
      <c r="A480" t="str">
        <f t="shared" si="9"/>
        <v/>
      </c>
    </row>
    <row r="481" spans="1:1">
      <c r="A481" t="str">
        <f t="shared" si="9"/>
        <v/>
      </c>
    </row>
    <row r="482" spans="1:1">
      <c r="A482" t="str">
        <f t="shared" si="9"/>
        <v/>
      </c>
    </row>
    <row r="483" spans="1:1">
      <c r="A483" t="str">
        <f t="shared" si="9"/>
        <v/>
      </c>
    </row>
    <row r="484" spans="1:1">
      <c r="A484" t="str">
        <f t="shared" si="9"/>
        <v/>
      </c>
    </row>
    <row r="485" spans="1:1">
      <c r="A485" t="str">
        <f t="shared" si="9"/>
        <v/>
      </c>
    </row>
    <row r="486" spans="1:1">
      <c r="A486" t="str">
        <f t="shared" si="9"/>
        <v/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36</vt:i4>
      </vt:variant>
    </vt:vector>
  </HeadingPairs>
  <TitlesOfParts>
    <vt:vector size="36" baseType="lpstr">
      <vt:lpstr>CF Dir</vt:lpstr>
      <vt:lpstr>CFindir</vt:lpstr>
      <vt:lpstr>Furnitoret</vt:lpstr>
      <vt:lpstr>TB analitik Fin</vt:lpstr>
      <vt:lpstr>BS Fin</vt:lpstr>
      <vt:lpstr>P&amp;L Fin</vt:lpstr>
      <vt:lpstr>Sit Finac Tax</vt:lpstr>
      <vt:lpstr>BLERJE</vt:lpstr>
      <vt:lpstr>SHITJE 09</vt:lpstr>
      <vt:lpstr>Mapping</vt:lpstr>
      <vt:lpstr>TB Vesion Final</vt:lpstr>
      <vt:lpstr>Adjustime</vt:lpstr>
      <vt:lpstr>Bank Statement</vt:lpstr>
      <vt:lpstr>Banka 4</vt:lpstr>
      <vt:lpstr>Klientet</vt:lpstr>
      <vt:lpstr>Receivables 5</vt:lpstr>
      <vt:lpstr>Inventory 6</vt:lpstr>
      <vt:lpstr>Assets 7</vt:lpstr>
      <vt:lpstr>LT Loan 8</vt:lpstr>
      <vt:lpstr>Payables 9</vt:lpstr>
      <vt:lpstr>Revenues 10</vt:lpstr>
      <vt:lpstr>COGS 11</vt:lpstr>
      <vt:lpstr>Admin 12</vt:lpstr>
      <vt:lpstr>Tatim Fitimi 13</vt:lpstr>
      <vt:lpstr>Forex</vt:lpstr>
      <vt:lpstr>TB DBase 2009</vt:lpstr>
      <vt:lpstr>TB DBase</vt:lpstr>
      <vt:lpstr>Fdp tatim 11</vt:lpstr>
      <vt:lpstr>BS</vt:lpstr>
      <vt:lpstr>PL</vt:lpstr>
      <vt:lpstr>CF</vt:lpstr>
      <vt:lpstr>Capital</vt:lpstr>
      <vt:lpstr>AAM</vt:lpstr>
      <vt:lpstr>aktivitet per BM</vt:lpstr>
      <vt:lpstr>Aneks Statistikor</vt:lpstr>
      <vt:lpstr>Cover</vt:lpstr>
    </vt:vector>
  </TitlesOfParts>
  <Company>CompuLab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Eternum</dc:creator>
  <cp:lastModifiedBy>Union</cp:lastModifiedBy>
  <cp:lastPrinted>2011-03-30T13:13:00Z</cp:lastPrinted>
  <dcterms:created xsi:type="dcterms:W3CDTF">2010-02-19T18:06:49Z</dcterms:created>
  <dcterms:modified xsi:type="dcterms:W3CDTF">2011-05-31T10:06:38Z</dcterms:modified>
</cp:coreProperties>
</file>