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4afe01dccb070b34/Desktop/@giuseppe.zito/DE GUSTIBUS (M01403004E) - EkstraktHistorik-3_27_2021/"/>
    </mc:Choice>
  </mc:AlternateContent>
  <xr:revisionPtr revIDLastSave="26" documentId="11_84A1609648C3DD9A001A6FACCF94E3094C8F879A" xr6:coauthVersionLast="46" xr6:coauthVersionMax="46" xr10:uidLastSave="{EA040EDE-11C2-4BF4-912E-F669DBAAA065}"/>
  <bookViews>
    <workbookView xWindow="-120" yWindow="-120" windowWidth="29040" windowHeight="15840" tabRatio="705" activeTab="5" xr2:uid="{00000000-000D-0000-FFFF-FFFF00000000}"/>
  </bookViews>
  <sheets>
    <sheet name="Pasqyra e Pozicionit Financiar" sheetId="2" r:id="rId1"/>
    <sheet name="PASH-sipas natyres" sheetId="6" r:id="rId2"/>
    <sheet name="PASH-sipas funksionit" sheetId="7" state="hidden" r:id="rId3"/>
    <sheet name="Pasqyra CashFlow-direkte" sheetId="8" state="hidden" r:id="rId4"/>
    <sheet name="Pasqyra Cashflow-indirekte" sheetId="3" r:id="rId5"/>
    <sheet name="Trial.Balance" sheetId="9" r:id="rId6"/>
    <sheet name="Account.Schedule" sheetId="11" state="hidden" r:id="rId7"/>
    <sheet name="Notes" sheetId="12" state="hidden" r:id="rId8"/>
    <sheet name="Deklarata e TF" sheetId="13" state="hidden" r:id="rId9"/>
  </sheets>
  <definedNames>
    <definedName name="_xlnm.Print_Area" localSheetId="1">'PASH-sipas natyres'!$A$2:$C$27</definedName>
    <definedName name="_xlnm.Print_Area" localSheetId="4">'Pasqyra Cashflow-indirekte'!$A$2:$C$43</definedName>
    <definedName name="_xlnm.Print_Area" localSheetId="0">'Pasqyra e Pozicionit Financiar'!$A$2:$C$70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2" l="1"/>
  <c r="D100" i="12"/>
  <c r="C100" i="12"/>
  <c r="C101" i="12"/>
  <c r="C94" i="12"/>
  <c r="C105" i="12" s="1"/>
  <c r="C93" i="12"/>
  <c r="L8" i="9"/>
  <c r="C95" i="12"/>
  <c r="C106" i="12" s="1"/>
  <c r="M2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L2" i="9"/>
  <c r="D97" i="12"/>
  <c r="I15" i="9"/>
  <c r="J15" i="9"/>
  <c r="K15" i="9"/>
  <c r="L15" i="9"/>
  <c r="A9" i="12"/>
  <c r="A14" i="12" s="1"/>
  <c r="A19" i="12" s="1"/>
  <c r="A24" i="12" s="1"/>
  <c r="A30" i="12" s="1"/>
  <c r="A36" i="12" s="1"/>
  <c r="A41" i="12" s="1"/>
  <c r="A49" i="12" s="1"/>
  <c r="G16" i="11"/>
  <c r="L16" i="11"/>
  <c r="G16" i="9"/>
  <c r="L3" i="9"/>
  <c r="L4" i="9"/>
  <c r="L5" i="9"/>
  <c r="L6" i="9"/>
  <c r="L7" i="9"/>
  <c r="L9" i="9"/>
  <c r="L10" i="9"/>
  <c r="L11" i="9"/>
  <c r="L12" i="9"/>
  <c r="L13" i="9"/>
  <c r="L14" i="9"/>
  <c r="K2" i="9"/>
  <c r="K3" i="9"/>
  <c r="K4" i="9"/>
  <c r="K5" i="9"/>
  <c r="K6" i="9"/>
  <c r="K7" i="9"/>
  <c r="K8" i="9"/>
  <c r="K9" i="9"/>
  <c r="K10" i="9"/>
  <c r="K11" i="9"/>
  <c r="K12" i="9"/>
  <c r="K13" i="9"/>
  <c r="K14" i="9"/>
  <c r="J2" i="9"/>
  <c r="J3" i="9"/>
  <c r="J4" i="9"/>
  <c r="J5" i="9"/>
  <c r="J6" i="9"/>
  <c r="J7" i="9"/>
  <c r="J8" i="9"/>
  <c r="J9" i="9"/>
  <c r="J10" i="9"/>
  <c r="J11" i="9"/>
  <c r="J12" i="9"/>
  <c r="J13" i="9"/>
  <c r="J14" i="9"/>
  <c r="I2" i="9"/>
  <c r="I3" i="9"/>
  <c r="I4" i="9"/>
  <c r="I5" i="9"/>
  <c r="I6" i="9"/>
  <c r="I7" i="9"/>
  <c r="I8" i="9"/>
  <c r="I9" i="9"/>
  <c r="I10" i="9"/>
  <c r="I11" i="9"/>
  <c r="I12" i="9"/>
  <c r="I13" i="9"/>
  <c r="I14" i="9"/>
  <c r="C97" i="12" l="1"/>
  <c r="C104" i="12"/>
  <c r="C107" i="12" s="1"/>
  <c r="C109" i="12" s="1"/>
  <c r="D55" i="12"/>
  <c r="C55" i="12"/>
  <c r="A54" i="12"/>
  <c r="A59" i="12" s="1"/>
  <c r="A65" i="12" s="1"/>
  <c r="A70" i="12" s="1"/>
  <c r="A81" i="12" s="1"/>
  <c r="A86" i="12" s="1"/>
  <c r="D88" i="12"/>
  <c r="C87" i="12"/>
  <c r="D87" i="12"/>
  <c r="C88" i="12"/>
  <c r="C82" i="12"/>
  <c r="C83" i="12" s="1"/>
  <c r="D82" i="12"/>
  <c r="D83" i="12" s="1"/>
  <c r="D75" i="12"/>
  <c r="C75" i="12"/>
  <c r="D71" i="12"/>
  <c r="C72" i="12"/>
  <c r="C76" i="12"/>
  <c r="D72" i="12"/>
  <c r="D76" i="12"/>
  <c r="C73" i="12"/>
  <c r="C77" i="12"/>
  <c r="D73" i="12"/>
  <c r="D77" i="12"/>
  <c r="C74" i="12"/>
  <c r="D74" i="12"/>
  <c r="C71" i="12"/>
  <c r="D60" i="12"/>
  <c r="C61" i="12"/>
  <c r="D61" i="12"/>
  <c r="C66" i="12"/>
  <c r="C67" i="12" s="1"/>
  <c r="D66" i="12"/>
  <c r="D67" i="12" s="1"/>
  <c r="C60" i="12"/>
  <c r="D50" i="12"/>
  <c r="D51" i="12" s="1"/>
  <c r="C50" i="12"/>
  <c r="C51" i="12" s="1"/>
  <c r="D45" i="12"/>
  <c r="D42" i="12"/>
  <c r="C42" i="12"/>
  <c r="C43" i="12"/>
  <c r="D43" i="12"/>
  <c r="C44" i="12"/>
  <c r="D44" i="12"/>
  <c r="C45" i="12"/>
  <c r="D37" i="12"/>
  <c r="D36" i="12"/>
  <c r="C36" i="12"/>
  <c r="C37" i="12"/>
  <c r="D31" i="12"/>
  <c r="D32" i="12" s="1"/>
  <c r="L16" i="9"/>
  <c r="C31" i="12"/>
  <c r="C32" i="12" s="1"/>
  <c r="C20" i="12"/>
  <c r="C21" i="12" s="1"/>
  <c r="C25" i="12"/>
  <c r="D26" i="12"/>
  <c r="D20" i="12"/>
  <c r="D21" i="12" s="1"/>
  <c r="D25" i="12"/>
  <c r="C26" i="12"/>
  <c r="D15" i="12"/>
  <c r="C15" i="12"/>
  <c r="D10" i="12"/>
  <c r="D11" i="12" s="1"/>
  <c r="C10" i="12"/>
  <c r="C11" i="12" s="1"/>
  <c r="D5" i="12"/>
  <c r="C4" i="12"/>
  <c r="C5" i="12"/>
  <c r="D4" i="12"/>
  <c r="C28" i="3"/>
  <c r="B8" i="3"/>
  <c r="B18" i="3"/>
  <c r="B29" i="3"/>
  <c r="C8" i="3"/>
  <c r="C18" i="3"/>
  <c r="C29" i="3"/>
  <c r="B9" i="3"/>
  <c r="B19" i="3"/>
  <c r="B33" i="3"/>
  <c r="C9" i="3"/>
  <c r="C19" i="3"/>
  <c r="C33" i="3"/>
  <c r="B10" i="3"/>
  <c r="B20" i="3"/>
  <c r="B34" i="3"/>
  <c r="C10" i="3"/>
  <c r="C20" i="3"/>
  <c r="C34" i="3"/>
  <c r="B11" i="3"/>
  <c r="B21" i="3"/>
  <c r="B35" i="3"/>
  <c r="C11" i="3"/>
  <c r="C21" i="3"/>
  <c r="C35" i="3"/>
  <c r="B12" i="3"/>
  <c r="B25" i="3"/>
  <c r="B36" i="3"/>
  <c r="C12" i="3"/>
  <c r="C25" i="3"/>
  <c r="C36" i="3"/>
  <c r="B13" i="3"/>
  <c r="B26" i="3"/>
  <c r="B37" i="3"/>
  <c r="C13" i="3"/>
  <c r="C26" i="3"/>
  <c r="C37" i="3"/>
  <c r="B14" i="3"/>
  <c r="B27" i="3"/>
  <c r="B38" i="3"/>
  <c r="C14" i="3"/>
  <c r="C27" i="3"/>
  <c r="C38" i="3"/>
  <c r="B7" i="3"/>
  <c r="B17" i="3"/>
  <c r="B28" i="3"/>
  <c r="C7" i="3"/>
  <c r="C17" i="3"/>
  <c r="B65" i="2"/>
  <c r="C16" i="6"/>
  <c r="B66" i="2"/>
  <c r="B29" i="6" s="1"/>
  <c r="C66" i="2"/>
  <c r="C29" i="6" s="1"/>
  <c r="C6" i="6"/>
  <c r="B17" i="2"/>
  <c r="B34" i="2"/>
  <c r="B52" i="2"/>
  <c r="C10" i="2"/>
  <c r="C21" i="2"/>
  <c r="C48" i="2"/>
  <c r="C64" i="2"/>
  <c r="B9" i="6"/>
  <c r="B21" i="6"/>
  <c r="C9" i="6"/>
  <c r="C20" i="6"/>
  <c r="B18" i="2"/>
  <c r="B35" i="2"/>
  <c r="B56" i="2"/>
  <c r="C11" i="2"/>
  <c r="C28" i="2"/>
  <c r="C49" i="2"/>
  <c r="C65" i="2"/>
  <c r="B10" i="6"/>
  <c r="B22" i="6"/>
  <c r="C10" i="6"/>
  <c r="C21" i="6"/>
  <c r="B19" i="2"/>
  <c r="B39" i="2"/>
  <c r="B57" i="2"/>
  <c r="C12" i="2"/>
  <c r="C29" i="2"/>
  <c r="C50" i="2"/>
  <c r="C67" i="2"/>
  <c r="B11" i="6"/>
  <c r="C11" i="6"/>
  <c r="C22" i="6"/>
  <c r="B7" i="2"/>
  <c r="B20" i="2"/>
  <c r="B47" i="2"/>
  <c r="B63" i="2"/>
  <c r="C13" i="2"/>
  <c r="C33" i="2"/>
  <c r="C51" i="2"/>
  <c r="B13" i="6"/>
  <c r="B26" i="6"/>
  <c r="C26" i="6"/>
  <c r="B10" i="2"/>
  <c r="B21" i="2"/>
  <c r="B48" i="2"/>
  <c r="B64" i="2"/>
  <c r="C17" i="2"/>
  <c r="C34" i="2"/>
  <c r="C52" i="2"/>
  <c r="B14" i="6"/>
  <c r="C13" i="6"/>
  <c r="C14" i="6"/>
  <c r="B11" i="2"/>
  <c r="B49" i="2"/>
  <c r="C18" i="2"/>
  <c r="B6" i="6"/>
  <c r="B12" i="2"/>
  <c r="B29" i="2"/>
  <c r="B50" i="2"/>
  <c r="B67" i="2"/>
  <c r="C19" i="2"/>
  <c r="C39" i="2"/>
  <c r="C57" i="2"/>
  <c r="B7" i="6"/>
  <c r="B16" i="6"/>
  <c r="C7" i="6"/>
  <c r="C15" i="6"/>
  <c r="B28" i="2"/>
  <c r="C35" i="2"/>
  <c r="C56" i="2"/>
  <c r="B15" i="6"/>
  <c r="B13" i="2"/>
  <c r="B33" i="2"/>
  <c r="B51" i="2"/>
  <c r="C7" i="2"/>
  <c r="C20" i="2"/>
  <c r="C47" i="2"/>
  <c r="C63" i="2"/>
  <c r="B8" i="6"/>
  <c r="B20" i="6"/>
  <c r="C8" i="6"/>
  <c r="C68" i="12" l="1"/>
  <c r="D89" i="12"/>
  <c r="D90" i="12" s="1"/>
  <c r="C84" i="12"/>
  <c r="C56" i="12"/>
  <c r="C57" i="12" s="1"/>
  <c r="C89" i="12"/>
  <c r="C90" i="12" s="1"/>
  <c r="D56" i="12"/>
  <c r="D57" i="12" s="1"/>
  <c r="D68" i="12"/>
  <c r="D84" i="12"/>
  <c r="C78" i="12"/>
  <c r="C79" i="12" s="1"/>
  <c r="C62" i="12"/>
  <c r="D78" i="12"/>
  <c r="D79" i="12" s="1"/>
  <c r="D52" i="12"/>
  <c r="D62" i="12"/>
  <c r="C52" i="12"/>
  <c r="C46" i="12"/>
  <c r="C47" i="12" s="1"/>
  <c r="C22" i="12"/>
  <c r="C38" i="12"/>
  <c r="C39" i="12" s="1"/>
  <c r="D38" i="12"/>
  <c r="D39" i="12" s="1"/>
  <c r="D46" i="12"/>
  <c r="D47" i="12" s="1"/>
  <c r="D22" i="12"/>
  <c r="D33" i="12"/>
  <c r="C33" i="12"/>
  <c r="D27" i="12"/>
  <c r="C27" i="12"/>
  <c r="C16" i="12"/>
  <c r="C17" i="12" s="1"/>
  <c r="D16" i="12"/>
  <c r="D17" i="12" s="1"/>
  <c r="C12" i="12"/>
  <c r="D12" i="12"/>
  <c r="B45" i="3"/>
  <c r="D6" i="12"/>
  <c r="D7" i="12" s="1"/>
  <c r="C6" i="12"/>
  <c r="C7" i="12" s="1"/>
  <c r="C22" i="3"/>
  <c r="C30" i="3"/>
  <c r="C39" i="3"/>
  <c r="B39" i="3"/>
  <c r="B30" i="3"/>
  <c r="C45" i="3"/>
  <c r="B42" i="3"/>
  <c r="B22" i="3"/>
  <c r="C58" i="2"/>
  <c r="B36" i="2"/>
  <c r="B30" i="2"/>
  <c r="C68" i="2"/>
  <c r="B68" i="2"/>
  <c r="B22" i="2"/>
  <c r="B12" i="6"/>
  <c r="B53" i="2"/>
  <c r="C36" i="2"/>
  <c r="B58" i="2"/>
  <c r="C22" i="2"/>
  <c r="C12" i="6"/>
  <c r="B14" i="2"/>
  <c r="C53" i="2"/>
  <c r="C14" i="2"/>
  <c r="C23" i="6"/>
  <c r="B23" i="6"/>
  <c r="C30" i="2"/>
  <c r="D63" i="12" l="1"/>
  <c r="C63" i="12"/>
  <c r="C17" i="6"/>
  <c r="C25" i="6" s="1"/>
  <c r="C27" i="6" s="1"/>
  <c r="C30" i="6" s="1"/>
  <c r="B17" i="6"/>
  <c r="B25" i="6" s="1"/>
  <c r="B27" i="6" s="1"/>
  <c r="B30" i="6" s="1"/>
  <c r="D28" i="12"/>
  <c r="C28" i="12"/>
  <c r="C41" i="3"/>
  <c r="C43" i="3" s="1"/>
  <c r="C46" i="3" s="1"/>
  <c r="B41" i="3"/>
  <c r="B43" i="3" s="1"/>
  <c r="B46" i="3" s="1"/>
  <c r="B41" i="2"/>
  <c r="C60" i="2"/>
  <c r="C70" i="2" s="1"/>
  <c r="C41" i="2"/>
  <c r="B60" i="2"/>
  <c r="B70" i="2" s="1"/>
  <c r="C24" i="2"/>
  <c r="B24" i="2"/>
  <c r="B43" i="2" l="1"/>
  <c r="B72" i="2" s="1"/>
  <c r="C43" i="2"/>
  <c r="C72" i="2" s="1"/>
</calcChain>
</file>

<file path=xl/sharedStrings.xml><?xml version="1.0" encoding="utf-8"?>
<sst xmlns="http://schemas.openxmlformats.org/spreadsheetml/2006/main" count="422" uniqueCount="215">
  <si>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</si>
  <si>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</si>
  <si>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</si>
  <si>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</si>
  <si>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</si>
  <si>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</si>
  <si>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</si>
  <si>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</si>
  <si>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</si>
  <si>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</si>
  <si>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</si>
  <si>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</si>
  <si>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</si>
  <si>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</si>
  <si>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</si>
  <si>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</si>
  <si>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</si>
  <si>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</si>
  <si>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</si>
  <si>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</si>
  <si>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</si>
  <si>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</si>
  <si>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</si>
  <si>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</si>
  <si>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</si>
  <si>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</si>
  <si>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</si>
  <si>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</si>
  <si>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</si>
  <si>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</si>
  <si>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</si>
  <si>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</si>
  <si>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</si>
  <si>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</si>
  <si>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</si>
  <si>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</si>
  <si>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</si>
  <si>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</si>
  <si>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</si>
  <si>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</si>
  <si>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</si>
  <si>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</si>
  <si>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</si>
  <si>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</si>
  <si>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</si>
  <si>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</si>
  <si>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</si>
  <si>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</si>
  <si>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</si>
  <si>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</si>
  <si>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</si>
  <si>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</si>
  <si>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</si>
  <si>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</si>
  <si>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</si>
  <si>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</si>
  <si>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</si>
  <si>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</si>
  <si>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</si>
  <si>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</si>
  <si>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</si>
  <si>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</si>
  <si>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</si>
  <si>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</si>
  <si>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</si>
  <si>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</si>
  <si>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</si>
  <si>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</si>
  <si>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</si>
  <si>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</si>
  <si>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</si>
  <si>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</si>
  <si>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</si>
  <si>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</si>
  <si>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</si>
  <si>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</si>
  <si>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</si>
  <si>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</si>
  <si>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</si>
  <si>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</si>
  <si>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</si>
  <si>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</si>
  <si>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</si>
  <si>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</si>
  <si>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</si>
  <si>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</si>
  <si>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</si>
  <si>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</si>
  <si>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</si>
  <si>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</si>
  <si>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</si>
  <si>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</si>
  <si>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</si>
  <si>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</si>
  <si>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</si>
  <si>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</si>
  <si>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</si>
  <si>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</si>
  <si>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</si>
  <si>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</si>
  <si>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</si>
  <si>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</si>
  <si>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</si>
  <si>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</si>
  <si>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</si>
  <si>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</si>
  <si>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Efekti i luhatjeve te kurseve te kembimit te mjeteve monetare</t>
  </si>
  <si>
    <t>Pasqyra e fluksit te mjeteve monetare (opsionale)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</si>
  <si>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</si>
  <si>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</si>
  <si>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</si>
  <si>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</si>
  <si>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</si>
  <si>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</si>
  <si>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</si>
  <si>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</si>
  <si>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</si>
  <si>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</si>
  <si>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</si>
  <si>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</si>
  <si>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</si>
  <si>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</si>
  <si>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</si>
  <si>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</si>
  <si>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</si>
  <si>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</si>
  <si>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</si>
  <si>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</si>
  <si>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</si>
  <si>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</si>
  <si>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Nr.Llog</t>
  </si>
  <si>
    <t>Përshkrimi</t>
  </si>
  <si>
    <t>Gjendje ne Fillim</t>
  </si>
  <si>
    <t>Gjendje ne Fund</t>
  </si>
  <si>
    <t>Debi</t>
  </si>
  <si>
    <t>Kredi</t>
  </si>
  <si>
    <t>Teprica</t>
  </si>
  <si>
    <t>101</t>
  </si>
  <si>
    <t>Kapitali i paguar</t>
  </si>
  <si>
    <t>411002</t>
  </si>
  <si>
    <t>411003</t>
  </si>
  <si>
    <t>411004</t>
  </si>
  <si>
    <t>431</t>
  </si>
  <si>
    <t>Sigurime Shoqerore dhe shendetesore</t>
  </si>
  <si>
    <t>51240001</t>
  </si>
  <si>
    <t>Te tjera</t>
  </si>
  <si>
    <t>628</t>
  </si>
  <si>
    <t>Shpenzime per sherbime bankare</t>
  </si>
  <si>
    <t>641</t>
  </si>
  <si>
    <t>Pagat dhe shperblimet e personelit</t>
  </si>
  <si>
    <t>644</t>
  </si>
  <si>
    <t>Sigurimet shoqerore dhe shendetesore</t>
  </si>
  <si>
    <t>657</t>
  </si>
  <si>
    <t>Gjoba dhe demshperblime</t>
  </si>
  <si>
    <t>Humbje nga kembimet dhe perkthimet valutore</t>
  </si>
  <si>
    <t>Shitje e punimeve dhe sherbimeve</t>
  </si>
  <si>
    <t>Fitim nga kembimet valutore</t>
  </si>
  <si>
    <t>Tatim mbi fitimin</t>
  </si>
  <si>
    <t>Tatimi te shtyra</t>
  </si>
  <si>
    <t>Tatim ne burim</t>
  </si>
  <si>
    <t>Blerje/shpenzime mallrash/sherbimesh</t>
  </si>
  <si>
    <t>Mirembajtje dhe riparime</t>
  </si>
  <si>
    <t>Transferime; udhetim e dieta</t>
  </si>
  <si>
    <t>Taksa dhe tarifa vendore</t>
  </si>
  <si>
    <t>667</t>
  </si>
  <si>
    <t>Shpenzime per interesa</t>
  </si>
  <si>
    <t>Period</t>
  </si>
  <si>
    <t>Statement</t>
  </si>
  <si>
    <t>BS</t>
  </si>
  <si>
    <t>PL</t>
  </si>
  <si>
    <t>Description</t>
  </si>
  <si>
    <t>Check</t>
  </si>
  <si>
    <t>Cash Flow Schedule</t>
  </si>
  <si>
    <r>
      <t xml:space="preserve">Te tjera </t>
    </r>
    <r>
      <rPr>
        <i/>
        <sz val="11"/>
        <color indexed="8"/>
        <rFont val="Times New Roman"/>
        <family val="1"/>
      </rPr>
      <t>(pershkruaj)</t>
    </r>
  </si>
  <si>
    <t>Notes</t>
  </si>
  <si>
    <t>Mjetet monetare</t>
  </si>
  <si>
    <t>Mjete monetare ne Leke</t>
  </si>
  <si>
    <t>Totali</t>
  </si>
  <si>
    <t>Mjete monetare ne Eur</t>
  </si>
  <si>
    <t xml:space="preserve">Totali  </t>
  </si>
  <si>
    <t xml:space="preserve">Te Drejta te arketueshme </t>
  </si>
  <si>
    <t>Kliente</t>
  </si>
  <si>
    <t>Instalime dhe pajisje</t>
  </si>
  <si>
    <t>AAGJM ne process</t>
  </si>
  <si>
    <t>Aktive materiale</t>
  </si>
  <si>
    <t>Furnitore</t>
  </si>
  <si>
    <t>Total</t>
  </si>
  <si>
    <t>Punonjesit</t>
  </si>
  <si>
    <t>TVSH</t>
  </si>
  <si>
    <t>Kapitali i nenshkruar</t>
  </si>
  <si>
    <t xml:space="preserve">Kapitali i nenshkruar </t>
  </si>
  <si>
    <t>Shpenzime konsumi dhe amortizimi</t>
  </si>
  <si>
    <t>Shpenzime te tjera shfrytezimi</t>
  </si>
  <si>
    <t>Diferenca (+/-) nga perkthimi i monedhes ne veprimtari te huaja</t>
  </si>
  <si>
    <t>Preleasing Srl</t>
  </si>
  <si>
    <t>Minning Service Srl</t>
  </si>
  <si>
    <t>High Line Srl</t>
  </si>
  <si>
    <t>421</t>
  </si>
  <si>
    <t>Paga dhe shperblime</t>
  </si>
  <si>
    <t>467</t>
  </si>
  <si>
    <t>Debitore te tjere dhe kreditore te tjere</t>
  </si>
  <si>
    <t xml:space="preserve">Intesa San Paolo Bank Euro </t>
  </si>
  <si>
    <t>769</t>
  </si>
  <si>
    <t>19. Tatim Fitimi</t>
  </si>
  <si>
    <t>Te ardhurat</t>
  </si>
  <si>
    <t>Shpenzimet</t>
  </si>
  <si>
    <t>Shpenzimet e pazbritshme</t>
  </si>
  <si>
    <t>Humbje e mbartur</t>
  </si>
  <si>
    <t>Fitimi i tatueshem</t>
  </si>
  <si>
    <t>Norma e tatimit mbi fitimin</t>
  </si>
  <si>
    <t>Fitimi pas tatimit</t>
  </si>
  <si>
    <t>Deklarata e Tatimit mbi fitimin</t>
  </si>
  <si>
    <t>Fitimi Tatimor</t>
  </si>
  <si>
    <t>Tac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</si>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</sst>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0" tint="-0.499984740745262"/>
      <name val="Arial"/>
      <family val="2"/>
    </font>
    <font>
      <sz val="11"/>
      <name val="Times New Roman"/>
      <family val="1"/>
    </font>
    <font>
      <sz val="11"/>
      <name val="Times New Roman"/>
      <family val="1"/>
      <charset val="238"/>
    </font>
    <font>
      <b/>
      <sz val="11"/>
      <color rgb="FFC00000"/>
      <name val="Times New Roman"/>
      <family val="1"/>
    </font>
    <font>
      <sz val="11"/>
      <color theme="0" tint="-4.9989318521683403E-2"/>
      <name val="Times New Roman"/>
      <family val="1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4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left" wrapText="1" indent="2"/>
    </xf>
    <xf numFmtId="0" fontId="16" fillId="0" borderId="0" xfId="0" applyNumberFormat="1" applyFont="1" applyFill="1" applyBorder="1" applyAlignment="1" applyProtection="1">
      <alignment horizontal="left" indent="2"/>
    </xf>
    <xf numFmtId="0" fontId="17" fillId="0" borderId="0" xfId="1" applyFont="1" applyFill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left" vertical="top"/>
    </xf>
    <xf numFmtId="43" fontId="22" fillId="0" borderId="0" xfId="0" applyNumberFormat="1" applyFont="1" applyFill="1" applyBorder="1" applyAlignment="1">
      <alignment horizontal="right" vertical="top"/>
    </xf>
    <xf numFmtId="43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right" vertical="top"/>
    </xf>
    <xf numFmtId="43" fontId="22" fillId="0" borderId="0" xfId="2" applyFont="1" applyFill="1" applyBorder="1" applyAlignment="1">
      <alignment horizontal="right" vertical="top"/>
    </xf>
    <xf numFmtId="43" fontId="22" fillId="0" borderId="0" xfId="2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43" fontId="21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/>
    </xf>
    <xf numFmtId="43" fontId="21" fillId="0" borderId="0" xfId="2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43" fontId="22" fillId="0" borderId="0" xfId="2" applyNumberFormat="1" applyFont="1" applyFill="1" applyBorder="1" applyAlignment="1">
      <alignment horizontal="left" vertical="top"/>
    </xf>
    <xf numFmtId="0" fontId="23" fillId="0" borderId="0" xfId="0" applyFont="1"/>
    <xf numFmtId="0" fontId="24" fillId="0" borderId="0" xfId="0" applyFont="1" applyAlignment="1">
      <alignment horizontal="center"/>
    </xf>
    <xf numFmtId="164" fontId="2" fillId="3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2" fillId="3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3" fillId="2" borderId="2" xfId="2" applyNumberFormat="1" applyFont="1" applyFill="1" applyBorder="1" applyAlignment="1">
      <alignment vertical="center"/>
    </xf>
    <xf numFmtId="164" fontId="3" fillId="4" borderId="3" xfId="2" applyNumberFormat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7" fillId="3" borderId="1" xfId="2" applyNumberFormat="1" applyFont="1" applyFill="1" applyBorder="1" applyAlignment="1">
      <alignment vertical="center"/>
    </xf>
    <xf numFmtId="0" fontId="25" fillId="0" borderId="0" xfId="0" applyFont="1"/>
    <xf numFmtId="0" fontId="23" fillId="0" borderId="0" xfId="0" applyFont="1" applyBorder="1"/>
    <xf numFmtId="164" fontId="23" fillId="0" borderId="0" xfId="0" applyNumberFormat="1" applyFont="1" applyBorder="1"/>
    <xf numFmtId="164" fontId="10" fillId="0" borderId="0" xfId="2" applyNumberFormat="1" applyFont="1" applyBorder="1" applyAlignment="1">
      <alignment vertical="center"/>
    </xf>
    <xf numFmtId="164" fontId="10" fillId="4" borderId="0" xfId="2" applyNumberFormat="1" applyFont="1" applyFill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left" vertical="center"/>
    </xf>
    <xf numFmtId="164" fontId="11" fillId="0" borderId="0" xfId="2" applyNumberFormat="1" applyFont="1" applyBorder="1" applyAlignment="1">
      <alignment vertical="center"/>
    </xf>
    <xf numFmtId="164" fontId="3" fillId="4" borderId="2" xfId="2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 indent="3"/>
    </xf>
    <xf numFmtId="164" fontId="27" fillId="0" borderId="0" xfId="2" applyNumberFormat="1" applyFont="1" applyBorder="1" applyAlignment="1">
      <alignment vertical="center"/>
    </xf>
    <xf numFmtId="0" fontId="28" fillId="0" borderId="0" xfId="0" applyFont="1"/>
    <xf numFmtId="43" fontId="22" fillId="0" borderId="0" xfId="2" applyFont="1" applyFill="1" applyBorder="1" applyAlignment="1">
      <alignment horizontal="left" vertical="top"/>
    </xf>
    <xf numFmtId="0" fontId="29" fillId="0" borderId="0" xfId="0" applyFont="1"/>
    <xf numFmtId="0" fontId="30" fillId="0" borderId="0" xfId="0" applyFont="1"/>
    <xf numFmtId="0" fontId="31" fillId="0" borderId="0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wrapText="1"/>
    </xf>
    <xf numFmtId="164" fontId="30" fillId="0" borderId="0" xfId="2" applyNumberFormat="1" applyFont="1"/>
    <xf numFmtId="0" fontId="33" fillId="0" borderId="0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horizontal="left" indent="2"/>
    </xf>
    <xf numFmtId="0" fontId="32" fillId="0" borderId="0" xfId="0" applyNumberFormat="1" applyFont="1" applyFill="1" applyBorder="1" applyAlignment="1" applyProtection="1">
      <alignment horizontal="left" wrapText="1" indent="2"/>
    </xf>
    <xf numFmtId="0" fontId="31" fillId="0" borderId="0" xfId="1" applyFont="1" applyFill="1" applyAlignment="1">
      <alignment vertical="top" wrapText="1"/>
    </xf>
    <xf numFmtId="0" fontId="32" fillId="0" borderId="0" xfId="0" applyNumberFormat="1" applyFont="1" applyFill="1" applyBorder="1" applyAlignment="1" applyProtection="1">
      <alignment horizontal="left" wrapText="1"/>
    </xf>
    <xf numFmtId="43" fontId="30" fillId="0" borderId="0" xfId="2" applyFont="1"/>
    <xf numFmtId="0" fontId="31" fillId="0" borderId="0" xfId="0" applyNumberFormat="1" applyFont="1" applyFill="1" applyBorder="1" applyAlignment="1" applyProtection="1">
      <alignment horizontal="left" wrapText="1"/>
    </xf>
    <xf numFmtId="0" fontId="30" fillId="0" borderId="0" xfId="0" applyFont="1" applyFill="1"/>
    <xf numFmtId="0" fontId="30" fillId="0" borderId="0" xfId="0" applyFont="1" applyBorder="1"/>
    <xf numFmtId="3" fontId="35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4" fontId="29" fillId="0" borderId="0" xfId="0" applyNumberFormat="1" applyFont="1"/>
    <xf numFmtId="0" fontId="37" fillId="0" borderId="0" xfId="0" applyFont="1" applyFill="1"/>
    <xf numFmtId="164" fontId="37" fillId="0" borderId="0" xfId="2" applyNumberFormat="1" applyFont="1"/>
    <xf numFmtId="0" fontId="37" fillId="0" borderId="0" xfId="0" applyFont="1"/>
    <xf numFmtId="164" fontId="37" fillId="0" borderId="0" xfId="0" applyNumberFormat="1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14" fontId="39" fillId="0" borderId="4" xfId="0" applyNumberFormat="1" applyFont="1" applyBorder="1" applyAlignment="1">
      <alignment horizontal="right" vertical="center" wrapText="1"/>
    </xf>
    <xf numFmtId="14" fontId="39" fillId="0" borderId="5" xfId="0" applyNumberFormat="1" applyFont="1" applyBorder="1" applyAlignment="1">
      <alignment horizontal="right" vertical="center"/>
    </xf>
    <xf numFmtId="0" fontId="30" fillId="0" borderId="0" xfId="0" applyFont="1" applyAlignment="1"/>
    <xf numFmtId="164" fontId="40" fillId="0" borderId="0" xfId="2" applyNumberFormat="1" applyFont="1" applyBorder="1" applyAlignment="1">
      <alignment horizontal="right" vertical="center"/>
    </xf>
    <xf numFmtId="164" fontId="39" fillId="0" borderId="5" xfId="2" applyNumberFormat="1" applyFont="1" applyBorder="1" applyAlignment="1">
      <alignment horizontal="right" vertical="center"/>
    </xf>
    <xf numFmtId="164" fontId="39" fillId="0" borderId="6" xfId="2" applyNumberFormat="1" applyFont="1" applyBorder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22" fillId="0" borderId="0" xfId="0" applyFont="1" applyFill="1" applyAlignment="1">
      <alignment horizontal="left" vertical="top"/>
    </xf>
    <xf numFmtId="43" fontId="22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Alignment="1">
      <alignment horizontal="right" vertical="top"/>
    </xf>
    <xf numFmtId="0" fontId="22" fillId="0" borderId="0" xfId="0" applyFont="1" applyFill="1" applyAlignment="1"/>
    <xf numFmtId="0" fontId="22" fillId="0" borderId="0" xfId="0" applyNumberFormat="1" applyFont="1" applyFill="1" applyAlignment="1">
      <alignment horizontal="left" vertical="top"/>
    </xf>
    <xf numFmtId="3" fontId="39" fillId="0" borderId="4" xfId="0" applyNumberFormat="1" applyFont="1" applyBorder="1" applyAlignment="1">
      <alignment horizontal="right" vertical="center" wrapText="1"/>
    </xf>
    <xf numFmtId="164" fontId="39" fillId="0" borderId="4" xfId="2" applyNumberFormat="1" applyFont="1" applyBorder="1" applyAlignment="1">
      <alignment horizontal="right" vertical="center" wrapText="1"/>
    </xf>
    <xf numFmtId="0" fontId="41" fillId="0" borderId="0" xfId="0" applyFont="1" applyFill="1" applyBorder="1" applyAlignment="1">
      <alignment horizontal="left" vertical="center"/>
    </xf>
    <xf numFmtId="43" fontId="23" fillId="0" borderId="0" xfId="2" applyFont="1" applyBorder="1"/>
    <xf numFmtId="43" fontId="23" fillId="0" borderId="0" xfId="0" applyNumberFormat="1" applyFont="1" applyBorder="1"/>
    <xf numFmtId="0" fontId="22" fillId="0" borderId="0" xfId="0" applyFont="1" applyFill="1" applyBorder="1" applyAlignment="1">
      <alignment horizontal="left" vertical="center"/>
    </xf>
    <xf numFmtId="0" fontId="43" fillId="0" borderId="0" xfId="0" applyNumberFormat="1" applyFont="1" applyFill="1" applyBorder="1" applyAlignment="1" applyProtection="1"/>
    <xf numFmtId="0" fontId="42" fillId="0" borderId="0" xfId="0" applyFont="1" applyFill="1" applyBorder="1" applyAlignment="1">
      <alignment vertical="center"/>
    </xf>
    <xf numFmtId="0" fontId="22" fillId="0" borderId="0" xfId="0" applyFont="1" applyFill="1" applyBorder="1"/>
    <xf numFmtId="43" fontId="22" fillId="0" borderId="0" xfId="2" applyNumberFormat="1" applyFont="1" applyFill="1" applyBorder="1" applyAlignment="1">
      <alignment horizontal="right" vertical="top"/>
    </xf>
    <xf numFmtId="9" fontId="40" fillId="0" borderId="0" xfId="3" applyFont="1" applyBorder="1" applyAlignment="1">
      <alignment horizontal="right" vertical="center"/>
    </xf>
    <xf numFmtId="43" fontId="39" fillId="0" borderId="4" xfId="2" applyFont="1" applyBorder="1" applyAlignment="1">
      <alignment horizontal="right" vertical="center" wrapText="1"/>
    </xf>
    <xf numFmtId="0" fontId="35" fillId="0" borderId="0" xfId="0" applyFont="1"/>
    <xf numFmtId="0" fontId="35" fillId="0" borderId="0" xfId="0" applyFont="1" applyAlignment="1">
      <alignment vertical="center"/>
    </xf>
    <xf numFmtId="164" fontId="35" fillId="0" borderId="0" xfId="2" applyNumberFormat="1" applyFont="1"/>
    <xf numFmtId="164" fontId="30" fillId="0" borderId="0" xfId="0" applyNumberFormat="1" applyFont="1"/>
    <xf numFmtId="0" fontId="44" fillId="0" borderId="0" xfId="0" applyFont="1"/>
    <xf numFmtId="0" fontId="45" fillId="2" borderId="0" xfId="0" applyFont="1" applyFill="1"/>
    <xf numFmtId="43" fontId="39" fillId="0" borderId="0" xfId="2" applyFont="1" applyBorder="1" applyAlignment="1">
      <alignment horizontal="right" vertical="center" wrapText="1"/>
    </xf>
    <xf numFmtId="0" fontId="46" fillId="0" borderId="0" xfId="0" applyFont="1" applyFill="1"/>
    <xf numFmtId="164" fontId="40" fillId="2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/>
    <xf numFmtId="0" fontId="34" fillId="0" borderId="0" xfId="0" applyFont="1" applyBorder="1" applyAlignment="1">
      <alignment horizontal="left"/>
    </xf>
  </cellXfs>
  <cellStyles count="4">
    <cellStyle name="Comma" xfId="2" builtinId="3"/>
    <cellStyle name="Normal" xfId="0" builtinId="0"/>
    <cellStyle name="Normal 3" xfId="1" xr:uid="{00000000-0005-0000-0000-000001000000}"/>
    <cellStyle name="Percent" xfId="3" builtinId="5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363395</xdr:colOff>
      <xdr:row>24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704BA-B26B-42E8-B018-CE995D748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678594" cy="474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9DCF8D-3322-4B2B-9F96-7576F9F95EB3}" name="Table1" displayName="Table1" ref="A1:M16" totalsRowCount="1" headerRowDxfId="58" dataDxfId="57" dataCellStyle="Comma">
  <autoFilter ref="A1:M15" xr:uid="{348FD0EE-0230-4615-A0C2-E613580E9C82}"/>
  <tableColumns count="13">
    <tableColumn id="1" xr3:uid="{0EB325E6-B4EF-4E41-AAA2-2FFB81DB4F78}" name="Nr.Llog" totalsRowLabel="Total" dataDxfId="56" totalsRowDxfId="55"/>
    <tableColumn id="2" xr3:uid="{2750B63F-2EF9-4889-A44D-7383C54A7A16}" name="Përshkrimi" dataDxfId="54" totalsRowDxfId="53"/>
    <tableColumn id="3" xr3:uid="{F06CE916-9E50-4190-8D2B-FD3F4A678826}" name="Gjendje ne Fillim" dataDxfId="52" totalsRowDxfId="51" dataCellStyle="Comma"/>
    <tableColumn id="4" xr3:uid="{AD3040B0-C97B-460F-B1C3-07FC00C9AE02}" name="Debi" dataDxfId="50" totalsRowDxfId="49" dataCellStyle="Comma"/>
    <tableColumn id="5" xr3:uid="{1E43B774-89D8-4129-8A07-2B3F2B99460E}" name="Kredi" dataDxfId="48" totalsRowDxfId="47" dataCellStyle="Comma"/>
    <tableColumn id="6" xr3:uid="{E87EAFEB-F11B-4C0F-BD15-00FF8CA3B6B3}" name="Teprica" dataDxfId="46" totalsRowDxfId="45" dataCellStyle="Comma"/>
    <tableColumn id="7" xr3:uid="{BCBA1747-D4BA-4B4C-9F41-DC5F205E87E8}" name="Gjendje ne Fund" totalsRowFunction="sum" dataDxfId="44" totalsRowDxfId="43" dataCellStyle="Comma"/>
    <tableColumn id="8" xr3:uid="{F1FD541C-7EB3-49CD-93A0-9415B55BD63A}" name="Period" dataDxfId="42" totalsRowDxfId="41"/>
    <tableColumn id="9" xr3:uid="{BD120CFF-5E2A-4C0E-98CA-00B0379A6B92}" name="Statement" dataDxfId="40" totalsRowDxfId="39" dataCellStyle="Comma">
      <calculatedColumnFormula>VLOOKUP(Table1[[#This Row],[Nr.Llog]],Table2[],9,0)</calculatedColumnFormula>
    </tableColumn>
    <tableColumn id="10" xr3:uid="{B360009C-AC86-4001-8338-B7EA212A78E3}" name="Description" dataDxfId="38" totalsRowDxfId="37" dataCellStyle="Comma">
      <calculatedColumnFormula>VLOOKUP(Table1[[#This Row],[Nr.Llog]],Table2[],10,0)</calculatedColumnFormula>
    </tableColumn>
    <tableColumn id="11" xr3:uid="{071BB6B6-6D8A-47E1-A93A-4CC4841B1843}" name="Cash Flow Schedule" dataDxfId="36" totalsRowDxfId="35" dataCellStyle="Comma">
      <calculatedColumnFormula>VLOOKUP(Table1[[#This Row],[Nr.Llog]],Table2[],11,0)</calculatedColumnFormula>
    </tableColumn>
    <tableColumn id="12" xr3:uid="{900E7E92-D03F-482E-834A-D59E5038690C}" name="Notes" totalsRowFunction="count" dataDxfId="34" totalsRowDxfId="33" dataCellStyle="Comma">
      <calculatedColumnFormula>VLOOKUP(Table1[[#This Row],[Nr.Llog]],Table2[],12,0)</calculatedColumnFormula>
    </tableColumn>
    <tableColumn id="13" xr3:uid="{A480633B-1BE2-4E85-A3E9-EC36B444BEA2}" name="Tax" dataDxfId="32" totalsRowDxfId="31" dataCellStyle="Comma">
      <calculatedColumnFormula>VLOOKUP(Table1[[#This Row],[Nr.Llog]],Table2[],13,0)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5EFAB1-375F-4089-A4B5-E9C61C1A8F1A}" name="Table2" displayName="Table2" ref="A1:M16" totalsRowCount="1" headerRowDxfId="28" dataDxfId="27" totalsRowDxfId="26">
  <autoFilter ref="A1:M15" xr:uid="{EDDC865D-21F1-4420-A2BA-D636845C95B9}"/>
  <sortState xmlns:xlrd2="http://schemas.microsoft.com/office/spreadsheetml/2017/richdata2" ref="A2:L14">
    <sortCondition ref="A2:A14"/>
  </sortState>
  <tableColumns count="13">
    <tableColumn id="1" xr3:uid="{9E3E85E5-421A-4E6F-9A5E-6C9F1E1D1CB8}" name="Nr.Llog" totalsRowLabel="Total" dataDxfId="25" totalsRowDxfId="24"/>
    <tableColumn id="2" xr3:uid="{2F554EA1-89F8-4483-8202-4A500E21F3E6}" name="Përshkrimi" dataDxfId="23" totalsRowDxfId="22"/>
    <tableColumn id="3" xr3:uid="{5591F3D9-D813-44DD-A83B-98DE30043C44}" name="Gjendje ne Fillim" dataDxfId="21" totalsRowDxfId="20" dataCellStyle="Comma"/>
    <tableColumn id="4" xr3:uid="{C573F6CC-0BAA-4516-8B5A-4004DCDA24A7}" name="Debi" dataDxfId="19" totalsRowDxfId="18" dataCellStyle="Comma"/>
    <tableColumn id="5" xr3:uid="{682631E9-B50D-4585-83A6-F7E4F3DE5150}" name="Kredi" dataDxfId="17" totalsRowDxfId="16" dataCellStyle="Comma"/>
    <tableColumn id="6" xr3:uid="{DAB3E167-6F88-423D-B052-0C3753FD6A95}" name="Teprica" dataDxfId="15" totalsRowDxfId="14" dataCellStyle="Comma"/>
    <tableColumn id="7" xr3:uid="{8BA4442D-C8DB-43F5-A9C1-2096414646E5}" name="Gjendje ne Fund" totalsRowFunction="sum" dataDxfId="13" totalsRowDxfId="12" dataCellStyle="Comma"/>
    <tableColumn id="8" xr3:uid="{51BE1140-ADEF-4086-9575-688BA12B536A}" name="Period" dataDxfId="11" totalsRowDxfId="10"/>
    <tableColumn id="9" xr3:uid="{B4BEECCB-756F-46CF-BD55-53400E0BDAFD}" name="Statement" dataDxfId="9" totalsRowDxfId="8"/>
    <tableColumn id="10" xr3:uid="{1143E113-5709-4369-B18F-EC850D770195}" name="Description" dataDxfId="7" totalsRowDxfId="6"/>
    <tableColumn id="11" xr3:uid="{7860299C-5BF8-46EB-8700-8E82F1DF866A}" name="Cash Flow Schedule" dataDxfId="5" totalsRowDxfId="4"/>
    <tableColumn id="12" xr3:uid="{766D82A4-E327-4F8C-A9A6-AE1A0DA20D14}" name="Notes" totalsRowFunction="count" dataDxfId="3" totalsRowDxfId="2"/>
    <tableColumn id="13" xr3:uid="{DAA97F5E-8119-4C24-A7D6-7E163673C96C}" name="Tac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view="pageBreakPreview" zoomScale="80" zoomScaleNormal="100" zoomScaleSheetLayoutView="80" workbookViewId="0">
      <selection activeCell="A34" sqref="A34:A35"/>
    </sheetView>
  </sheetViews>
  <sheetFormatPr defaultRowHeight="15" x14ac:dyDescent="0.25"/>
  <cols>
    <col min="1" max="1" width="61" customWidth="1"/>
    <col min="2" max="2" width="11" bestFit="1" customWidth="1"/>
    <col min="3" max="3" width="12" bestFit="1" customWidth="1"/>
  </cols>
  <sheetData>
    <row r="1" spans="1:3" x14ac:dyDescent="0.25">
      <c r="A1" s="31"/>
      <c r="B1" s="53">
        <v>2020</v>
      </c>
      <c r="C1" s="53">
        <v>2019</v>
      </c>
    </row>
    <row r="2" spans="1:3" ht="15" customHeight="1" x14ac:dyDescent="0.25">
      <c r="A2" s="138" t="s">
        <v>28</v>
      </c>
      <c r="B2" s="35" t="s">
        <v>0</v>
      </c>
      <c r="C2" s="35" t="s">
        <v>0</v>
      </c>
    </row>
    <row r="3" spans="1:3" ht="15" customHeight="1" x14ac:dyDescent="0.25">
      <c r="A3" s="138"/>
      <c r="B3" s="35" t="s">
        <v>1</v>
      </c>
      <c r="C3" s="35" t="s">
        <v>2</v>
      </c>
    </row>
    <row r="4" spans="1:3" x14ac:dyDescent="0.25">
      <c r="A4" s="30" t="s">
        <v>9</v>
      </c>
      <c r="B4" s="3"/>
      <c r="C4" s="3"/>
    </row>
    <row r="5" spans="1:3" x14ac:dyDescent="0.25">
      <c r="A5" s="30" t="s">
        <v>24</v>
      </c>
      <c r="B5" s="3"/>
      <c r="C5" s="3"/>
    </row>
    <row r="6" spans="1:3" x14ac:dyDescent="0.25">
      <c r="A6" s="30"/>
      <c r="B6" s="3"/>
      <c r="C6" s="3"/>
    </row>
    <row r="7" spans="1:3" s="64" customFormat="1" x14ac:dyDescent="0.25">
      <c r="A7" s="9" t="s">
        <v>30</v>
      </c>
      <c r="B7" s="63">
        <f>SUMIFS(Table1[Gjendje ne Fund],Table1[Description],$A7,Table1[Period],'Pasqyra e Pozicionit Financiar'!B$1)</f>
        <v>513068.01599999703</v>
      </c>
      <c r="C7" s="63">
        <f>SUMIFS(Table1[Gjendje ne Fund],Table1[Description],$A7,Table1[Period],'Pasqyra e Pozicionit Financiar'!C$1)</f>
        <v>0</v>
      </c>
    </row>
    <row r="8" spans="1:3" x14ac:dyDescent="0.25">
      <c r="A8" s="5"/>
      <c r="B8" s="55"/>
      <c r="C8" s="55"/>
    </row>
    <row r="9" spans="1:3" x14ac:dyDescent="0.25">
      <c r="A9" s="9" t="s">
        <v>31</v>
      </c>
      <c r="B9" s="55"/>
      <c r="C9" s="55"/>
    </row>
    <row r="10" spans="1:3" x14ac:dyDescent="0.25">
      <c r="A10" s="2" t="s">
        <v>70</v>
      </c>
      <c r="B10" s="55">
        <f>SUMIFS(Table1[Gjendje ne Fund],Table1[Description],$A10,Table1[Period],'Pasqyra e Pozicionit Financiar'!B$1)</f>
        <v>-1.2999999889871106E-3</v>
      </c>
      <c r="C10" s="55">
        <f>SUMIFS(Table1[Gjendje ne Fund],Table1[Description],$A10,Table1[Period],'Pasqyra e Pozicionit Financiar'!C$1)</f>
        <v>0</v>
      </c>
    </row>
    <row r="11" spans="1:3" x14ac:dyDescent="0.25">
      <c r="A11" s="2" t="s">
        <v>32</v>
      </c>
      <c r="B11" s="55">
        <f>SUMIFS(Table1[Gjendje ne Fund],Table1[Description],$A11,Table1[Period],'Pasqyra e Pozicionit Financiar'!B$1)</f>
        <v>-1247087.1343</v>
      </c>
      <c r="C11" s="55">
        <f>SUMIFS(Table1[Gjendje ne Fund],Table1[Description],$A11,Table1[Period],'Pasqyra e Pozicionit Financiar'!C$1)</f>
        <v>0</v>
      </c>
    </row>
    <row r="12" spans="1:3" x14ac:dyDescent="0.25">
      <c r="A12" s="2" t="s">
        <v>33</v>
      </c>
      <c r="B12" s="55">
        <f>SUMIFS(Table1[Gjendje ne Fund],Table1[Description],$A12,Table1[Period],'Pasqyra e Pozicionit Financiar'!B$1)</f>
        <v>0</v>
      </c>
      <c r="C12" s="55">
        <f>SUMIFS(Table1[Gjendje ne Fund],Table1[Description],$A12,Table1[Period],'Pasqyra e Pozicionit Financiar'!C$1)</f>
        <v>0</v>
      </c>
    </row>
    <row r="13" spans="1:3" x14ac:dyDescent="0.25">
      <c r="A13" s="36" t="s">
        <v>110</v>
      </c>
      <c r="B13" s="55">
        <f>SUMIFS(Table1[Gjendje ne Fund],Table1[Description],$A13,Table1[Period],'Pasqyra e Pozicionit Financiar'!B$1)</f>
        <v>0</v>
      </c>
      <c r="C13" s="55">
        <f>SUMIFS(Table1[Gjendje ne Fund],Table1[Description],$A13,Table1[Period],'Pasqyra e Pozicionit Financiar'!C$1)</f>
        <v>0</v>
      </c>
    </row>
    <row r="14" spans="1:3" s="31" customFormat="1" x14ac:dyDescent="0.25">
      <c r="A14" s="11" t="s">
        <v>7</v>
      </c>
      <c r="B14" s="62">
        <f>SUM(B10:B13)</f>
        <v>-1247087.1355999999</v>
      </c>
      <c r="C14" s="62">
        <f>SUM(C10:C13)</f>
        <v>0</v>
      </c>
    </row>
    <row r="15" spans="1:3" x14ac:dyDescent="0.25">
      <c r="A15" s="5"/>
      <c r="B15" s="55"/>
      <c r="C15" s="55"/>
    </row>
    <row r="16" spans="1:3" x14ac:dyDescent="0.25">
      <c r="A16" s="9" t="s">
        <v>34</v>
      </c>
      <c r="B16" s="55"/>
      <c r="C16" s="55"/>
    </row>
    <row r="17" spans="1:3" x14ac:dyDescent="0.25">
      <c r="A17" s="2" t="s">
        <v>35</v>
      </c>
      <c r="B17" s="55">
        <f>SUMIFS(Table1[Gjendje ne Fund],Table1[Description],$A17,Table1[Period],'Pasqyra e Pozicionit Financiar'!B$1)</f>
        <v>0</v>
      </c>
      <c r="C17" s="55">
        <f>SUMIFS(Table1[Gjendje ne Fund],Table1[Description],$A17,Table1[Period],'Pasqyra e Pozicionit Financiar'!C$1)</f>
        <v>0</v>
      </c>
    </row>
    <row r="18" spans="1:3" x14ac:dyDescent="0.25">
      <c r="A18" s="2" t="s">
        <v>36</v>
      </c>
      <c r="B18" s="55">
        <f>SUMIFS(Table1[Gjendje ne Fund],Table1[Description],$A18,Table1[Period],'Pasqyra e Pozicionit Financiar'!B$1)</f>
        <v>0</v>
      </c>
      <c r="C18" s="55">
        <f>SUMIFS(Table1[Gjendje ne Fund],Table1[Description],$A18,Table1[Period],'Pasqyra e Pozicionit Financiar'!C$1)</f>
        <v>0</v>
      </c>
    </row>
    <row r="19" spans="1:3" x14ac:dyDescent="0.25">
      <c r="A19" s="2" t="s">
        <v>3</v>
      </c>
      <c r="B19" s="55">
        <f>SUMIFS(Table1[Gjendje ne Fund],Table1[Description],$A19,Table1[Period],'Pasqyra e Pozicionit Financiar'!B$1)</f>
        <v>0</v>
      </c>
      <c r="C19" s="55">
        <f>SUMIFS(Table1[Gjendje ne Fund],Table1[Description],$A19,Table1[Period],'Pasqyra e Pozicionit Financiar'!C$1)</f>
        <v>0</v>
      </c>
    </row>
    <row r="20" spans="1:3" x14ac:dyDescent="0.25">
      <c r="A20" s="2" t="s">
        <v>38</v>
      </c>
      <c r="B20" s="55">
        <f>SUMIFS(Table1[Gjendje ne Fund],Table1[Description],$A20,Table1[Period],'Pasqyra e Pozicionit Financiar'!B$1)</f>
        <v>0</v>
      </c>
      <c r="C20" s="55">
        <f>SUMIFS(Table1[Gjendje ne Fund],Table1[Description],$A20,Table1[Period],'Pasqyra e Pozicionit Financiar'!C$1)</f>
        <v>0</v>
      </c>
    </row>
    <row r="21" spans="1:3" x14ac:dyDescent="0.25">
      <c r="A21" s="2" t="s">
        <v>37</v>
      </c>
      <c r="B21" s="55">
        <f>SUMIFS(Table1[Gjendje ne Fund],Table1[Description],$A21,Table1[Period],'Pasqyra e Pozicionit Financiar'!B$1)</f>
        <v>0</v>
      </c>
      <c r="C21" s="55">
        <f>SUMIFS(Table1[Gjendje ne Fund],Table1[Description],$A21,Table1[Period],'Pasqyra e Pozicionit Financiar'!C$1)</f>
        <v>0</v>
      </c>
    </row>
    <row r="22" spans="1:3" s="31" customFormat="1" x14ac:dyDescent="0.25">
      <c r="A22" s="11" t="s">
        <v>7</v>
      </c>
      <c r="B22" s="62">
        <f>SUM(B17:B21)</f>
        <v>0</v>
      </c>
      <c r="C22" s="62">
        <f>SUM(C17:C21)</f>
        <v>0</v>
      </c>
    </row>
    <row r="23" spans="1:3" x14ac:dyDescent="0.25">
      <c r="A23" s="11"/>
      <c r="B23" s="55"/>
      <c r="C23" s="55"/>
    </row>
    <row r="24" spans="1:3" s="31" customFormat="1" ht="15.75" thickBot="1" x14ac:dyDescent="0.3">
      <c r="A24" s="11" t="s">
        <v>69</v>
      </c>
      <c r="B24" s="61">
        <f>SUM(B7,B14,B22)</f>
        <v>-734019.11960000289</v>
      </c>
      <c r="C24" s="61">
        <f>SUM(C7,C14,C22)</f>
        <v>0</v>
      </c>
    </row>
    <row r="25" spans="1:3" x14ac:dyDescent="0.25">
      <c r="A25" s="6"/>
      <c r="B25" s="55"/>
      <c r="C25" s="55"/>
    </row>
    <row r="26" spans="1:3" x14ac:dyDescent="0.25">
      <c r="A26" s="30" t="s">
        <v>66</v>
      </c>
      <c r="B26" s="55"/>
      <c r="C26" s="55"/>
    </row>
    <row r="27" spans="1:3" x14ac:dyDescent="0.25">
      <c r="A27" s="9" t="s">
        <v>67</v>
      </c>
      <c r="B27" s="55"/>
      <c r="C27" s="55"/>
    </row>
    <row r="28" spans="1:3" x14ac:dyDescent="0.25">
      <c r="A28" s="2" t="s">
        <v>68</v>
      </c>
      <c r="B28" s="55">
        <f>SUMIFS(Table1[Gjendje ne Fund],Table1[Description],$A28,Table1[Period],'Pasqyra e Pozicionit Financiar'!B$1)</f>
        <v>0</v>
      </c>
      <c r="C28" s="55">
        <f>SUMIFS(Table1[Gjendje ne Fund],Table1[Description],$A28,Table1[Period],'Pasqyra e Pozicionit Financiar'!C$1)</f>
        <v>0</v>
      </c>
    </row>
    <row r="29" spans="1:3" x14ac:dyDescent="0.25">
      <c r="A29" s="2" t="s">
        <v>111</v>
      </c>
      <c r="B29" s="55">
        <f>SUMIFS(Table1[Gjendje ne Fund],Table1[Description],$A29,Table1[Period],'Pasqyra e Pozicionit Financiar'!B$1)</f>
        <v>0</v>
      </c>
      <c r="C29" s="55">
        <f>SUMIFS(Table1[Gjendje ne Fund],Table1[Description],$A29,Table1[Period],'Pasqyra e Pozicionit Financiar'!C$1)</f>
        <v>0</v>
      </c>
    </row>
    <row r="30" spans="1:3" x14ac:dyDescent="0.25">
      <c r="A30" s="11" t="s">
        <v>7</v>
      </c>
      <c r="B30" s="54">
        <f>SUM(B28:B29)</f>
        <v>0</v>
      </c>
      <c r="C30" s="54">
        <f>SUM(C28:C29)</f>
        <v>0</v>
      </c>
    </row>
    <row r="31" spans="1:3" x14ac:dyDescent="0.25">
      <c r="A31" s="6"/>
      <c r="B31" s="55"/>
      <c r="C31" s="55"/>
    </row>
    <row r="32" spans="1:3" x14ac:dyDescent="0.25">
      <c r="A32" s="9" t="s">
        <v>4</v>
      </c>
      <c r="B32" s="55"/>
      <c r="C32" s="55"/>
    </row>
    <row r="33" spans="1:3" x14ac:dyDescent="0.25">
      <c r="A33" s="2" t="s">
        <v>63</v>
      </c>
      <c r="B33" s="55">
        <f>SUMIFS(Table1[Gjendje ne Fund],Table1[Description],$A33,Table1[Period],'Pasqyra e Pozicionit Financiar'!B$1)</f>
        <v>0</v>
      </c>
      <c r="C33" s="55">
        <f>SUMIFS(Table1[Gjendje ne Fund],Table1[Description],$A33,Table1[Period],'Pasqyra e Pozicionit Financiar'!C$1)</f>
        <v>0</v>
      </c>
    </row>
    <row r="34" spans="1:3" x14ac:dyDescent="0.25">
      <c r="A34" s="2" t="s">
        <v>5</v>
      </c>
      <c r="B34" s="55">
        <f>SUMIFS(Table1[Gjendje ne Fund],Table1[Description],$A34,Table1[Period],'Pasqyra e Pozicionit Financiar'!B$1)</f>
        <v>0</v>
      </c>
      <c r="C34" s="55">
        <f>SUMIFS(Table1[Gjendje ne Fund],Table1[Description],$A34,Table1[Period],'Pasqyra e Pozicionit Financiar'!C$1)</f>
        <v>0</v>
      </c>
    </row>
    <row r="35" spans="1:3" x14ac:dyDescent="0.25">
      <c r="A35" s="2" t="s">
        <v>64</v>
      </c>
      <c r="B35" s="55">
        <f>SUMIFS(Table1[Gjendje ne Fund],Table1[Description],$A35,Table1[Period],'Pasqyra e Pozicionit Financiar'!B$1)</f>
        <v>0</v>
      </c>
      <c r="C35" s="55">
        <f>SUMIFS(Table1[Gjendje ne Fund],Table1[Description],$A35,Table1[Period],'Pasqyra e Pozicionit Financiar'!C$1)</f>
        <v>0</v>
      </c>
    </row>
    <row r="36" spans="1:3" s="31" customFormat="1" x14ac:dyDescent="0.25">
      <c r="A36" s="11" t="s">
        <v>7</v>
      </c>
      <c r="B36" s="62">
        <f>SUM(B33:B35)</f>
        <v>0</v>
      </c>
      <c r="C36" s="62">
        <f>SUM(C33:C35)</f>
        <v>0</v>
      </c>
    </row>
    <row r="37" spans="1:3" x14ac:dyDescent="0.25">
      <c r="A37" s="11"/>
      <c r="B37" s="55"/>
      <c r="C37" s="55"/>
    </row>
    <row r="38" spans="1:3" x14ac:dyDescent="0.25">
      <c r="A38" s="9" t="s">
        <v>65</v>
      </c>
      <c r="B38" s="54"/>
      <c r="C38" s="54"/>
    </row>
    <row r="39" spans="1:3" x14ac:dyDescent="0.25">
      <c r="A39" s="37" t="s">
        <v>118</v>
      </c>
      <c r="B39" s="56">
        <f>SUMIFS(Table1[Gjendje ne Fund],Table1[Description],$A39,Table1[Period],'Pasqyra e Pozicionit Financiar'!B$1)</f>
        <v>0</v>
      </c>
      <c r="C39" s="56">
        <f>SUMIFS(Table1[Gjendje ne Fund],Table1[Description],$A39,Table1[Period],'Pasqyra e Pozicionit Financiar'!C$1)</f>
        <v>0</v>
      </c>
    </row>
    <row r="40" spans="1:3" x14ac:dyDescent="0.25">
      <c r="A40" s="9"/>
      <c r="B40" s="55"/>
      <c r="C40" s="55"/>
    </row>
    <row r="41" spans="1:3" s="31" customFormat="1" ht="15.75" thickBot="1" x14ac:dyDescent="0.3">
      <c r="A41" s="11" t="s">
        <v>71</v>
      </c>
      <c r="B41" s="61">
        <f>SUM(B30,B36,B39)</f>
        <v>0</v>
      </c>
      <c r="C41" s="61">
        <f>SUM(C30,C36,C39)</f>
        <v>0</v>
      </c>
    </row>
    <row r="42" spans="1:3" ht="18" x14ac:dyDescent="0.25">
      <c r="A42" s="7"/>
      <c r="B42" s="55"/>
      <c r="C42" s="55"/>
    </row>
    <row r="43" spans="1:3" s="31" customFormat="1" ht="15.75" thickBot="1" x14ac:dyDescent="0.3">
      <c r="A43" s="10" t="s">
        <v>8</v>
      </c>
      <c r="B43" s="60">
        <f>SUM(B24,B41)</f>
        <v>-734019.11960000289</v>
      </c>
      <c r="C43" s="60">
        <f>SUM(C24,C41)</f>
        <v>0</v>
      </c>
    </row>
    <row r="44" spans="1:3" ht="15.75" thickTop="1" x14ac:dyDescent="0.25">
      <c r="A44" s="19"/>
      <c r="B44" s="57"/>
      <c r="C44" s="57"/>
    </row>
    <row r="45" spans="1:3" x14ac:dyDescent="0.25">
      <c r="A45" s="30" t="s">
        <v>25</v>
      </c>
      <c r="B45" s="57"/>
      <c r="C45" s="57"/>
    </row>
    <row r="46" spans="1:3" x14ac:dyDescent="0.25">
      <c r="A46" s="9" t="s">
        <v>14</v>
      </c>
      <c r="B46" s="55"/>
      <c r="C46" s="55"/>
    </row>
    <row r="47" spans="1:3" x14ac:dyDescent="0.25">
      <c r="A47" s="2" t="s">
        <v>109</v>
      </c>
      <c r="B47" s="55">
        <f>-SUMIFS(Table1[Gjendje ne Fund],Table1[Description],$A47,Table1[Period],'Pasqyra e Pozicionit Financiar'!B$1)</f>
        <v>0</v>
      </c>
      <c r="C47" s="55">
        <f>-SUMIFS(Table1[Gjendje ne Fund],Table1[Description],$A47,Table1[Period],'Pasqyra e Pozicionit Financiar'!C$1)</f>
        <v>0</v>
      </c>
    </row>
    <row r="48" spans="1:3" x14ac:dyDescent="0.25">
      <c r="A48" s="2" t="s">
        <v>113</v>
      </c>
      <c r="B48" s="55">
        <f>-SUMIFS(Table1[Gjendje ne Fund],Table1[Description],$A48,Table1[Period],'Pasqyra e Pozicionit Financiar'!B$1)</f>
        <v>0</v>
      </c>
      <c r="C48" s="55">
        <f>-SUMIFS(Table1[Gjendje ne Fund],Table1[Description],$A48,Table1[Period],'Pasqyra e Pozicionit Financiar'!C$1)</f>
        <v>0</v>
      </c>
    </row>
    <row r="49" spans="1:4" x14ac:dyDescent="0.25">
      <c r="A49" s="2" t="s">
        <v>72</v>
      </c>
      <c r="B49" s="55">
        <f>-SUMIFS(Table1[Gjendje ne Fund],Table1[Description],$A49,Table1[Period],'Pasqyra e Pozicionit Financiar'!B$1)</f>
        <v>1400078.6572000002</v>
      </c>
      <c r="C49" s="55">
        <f>-SUMIFS(Table1[Gjendje ne Fund],Table1[Description],$A49,Table1[Period],'Pasqyra e Pozicionit Financiar'!C$1)</f>
        <v>0</v>
      </c>
    </row>
    <row r="50" spans="1:4" x14ac:dyDescent="0.25">
      <c r="A50" s="2" t="s">
        <v>112</v>
      </c>
      <c r="B50" s="55">
        <f>-SUMIFS(Table1[Gjendje ne Fund],Table1[Description],$A50,Table1[Period],'Pasqyra e Pozicionit Financiar'!B$1)</f>
        <v>0</v>
      </c>
      <c r="C50" s="55">
        <f>-SUMIFS(Table1[Gjendje ne Fund],Table1[Description],$A50,Table1[Period],'Pasqyra e Pozicionit Financiar'!C$1)</f>
        <v>0</v>
      </c>
    </row>
    <row r="51" spans="1:4" x14ac:dyDescent="0.25">
      <c r="A51" s="2" t="s">
        <v>6</v>
      </c>
      <c r="B51" s="55">
        <f>-SUMIFS(Table1[Gjendje ne Fund],Table1[Description],$A51,Table1[Period],'Pasqyra e Pozicionit Financiar'!B$1)</f>
        <v>0</v>
      </c>
      <c r="C51" s="55">
        <f>-SUMIFS(Table1[Gjendje ne Fund],Table1[Description],$A51,Table1[Period],'Pasqyra e Pozicionit Financiar'!C$1)</f>
        <v>0</v>
      </c>
    </row>
    <row r="52" spans="1:4" x14ac:dyDescent="0.25">
      <c r="A52" s="36" t="s">
        <v>117</v>
      </c>
      <c r="B52" s="55">
        <f>-SUMIFS(Table1[Gjendje ne Fund],Table1[Description],$A52,Table1[Period],'Pasqyra e Pozicionit Financiar'!B$1)</f>
        <v>0</v>
      </c>
      <c r="C52" s="55">
        <f>-SUMIFS(Table1[Gjendje ne Fund],Table1[Description],$A52,Table1[Period],'Pasqyra e Pozicionit Financiar'!C$1)</f>
        <v>0</v>
      </c>
    </row>
    <row r="53" spans="1:4" s="31" customFormat="1" x14ac:dyDescent="0.25">
      <c r="A53" s="11" t="s">
        <v>7</v>
      </c>
      <c r="B53" s="62">
        <f>SUM(B47:B52)</f>
        <v>1400078.6572000002</v>
      </c>
      <c r="C53" s="62">
        <f>SUM(C47:C52)</f>
        <v>0</v>
      </c>
    </row>
    <row r="54" spans="1:4" x14ac:dyDescent="0.25">
      <c r="A54" s="4"/>
      <c r="B54" s="55"/>
      <c r="C54" s="55"/>
    </row>
    <row r="55" spans="1:4" x14ac:dyDescent="0.25">
      <c r="A55" s="9" t="s">
        <v>15</v>
      </c>
      <c r="B55" s="55"/>
      <c r="C55" s="55"/>
    </row>
    <row r="56" spans="1:4" x14ac:dyDescent="0.25">
      <c r="A56" s="2" t="s">
        <v>108</v>
      </c>
      <c r="B56" s="58">
        <f>-SUMIFS(Table1[Gjendje ne Fund],Table1[Description],$A56,Table1[Period],'Pasqyra e Pozicionit Financiar'!B$1)</f>
        <v>0</v>
      </c>
      <c r="C56" s="58">
        <f>-SUMIFS(Table1[Gjendje ne Fund],Table1[Description],$A56,Table1[Period],'Pasqyra e Pozicionit Financiar'!C$1)</f>
        <v>0</v>
      </c>
      <c r="D56" s="1"/>
    </row>
    <row r="57" spans="1:4" x14ac:dyDescent="0.25">
      <c r="A57" s="37" t="s">
        <v>116</v>
      </c>
      <c r="B57" s="58">
        <f>-SUMIFS(Table1[Gjendje ne Fund],Table1[Description],$A57,Table1[Period],'Pasqyra e Pozicionit Financiar'!B$1)</f>
        <v>0</v>
      </c>
      <c r="C57" s="58">
        <f>-SUMIFS(Table1[Gjendje ne Fund],Table1[Description],$A57,Table1[Period],'Pasqyra e Pozicionit Financiar'!C$1)</f>
        <v>0</v>
      </c>
      <c r="D57" s="1"/>
    </row>
    <row r="58" spans="1:4" s="31" customFormat="1" x14ac:dyDescent="0.25">
      <c r="A58" s="11" t="s">
        <v>7</v>
      </c>
      <c r="B58" s="62">
        <f>SUM(B56:B57)</f>
        <v>0</v>
      </c>
      <c r="C58" s="62">
        <f>SUM(C56:C57)</f>
        <v>0</v>
      </c>
    </row>
    <row r="59" spans="1:4" x14ac:dyDescent="0.25">
      <c r="A59" s="11"/>
      <c r="B59" s="55"/>
      <c r="C59" s="55"/>
    </row>
    <row r="60" spans="1:4" s="31" customFormat="1" ht="15.75" thickBot="1" x14ac:dyDescent="0.3">
      <c r="A60" s="11" t="s">
        <v>73</v>
      </c>
      <c r="B60" s="61">
        <f>SUM(B53,B58)</f>
        <v>1400078.6572000002</v>
      </c>
      <c r="C60" s="61">
        <f>SUM(C53,C58)</f>
        <v>0</v>
      </c>
    </row>
    <row r="61" spans="1:4" x14ac:dyDescent="0.25">
      <c r="A61" s="4"/>
      <c r="B61" s="55"/>
      <c r="C61" s="55"/>
    </row>
    <row r="62" spans="1:4" x14ac:dyDescent="0.25">
      <c r="A62" s="9" t="s">
        <v>74</v>
      </c>
      <c r="B62" s="55"/>
      <c r="C62" s="55"/>
    </row>
    <row r="63" spans="1:4" x14ac:dyDescent="0.25">
      <c r="A63" s="18" t="s">
        <v>114</v>
      </c>
      <c r="B63" s="55">
        <f>-SUMIFS(Table1[Gjendje ne Fund],Table1[Description],$A63,Table1[Period],'Pasqyra e Pozicionit Financiar'!B$1)</f>
        <v>100000</v>
      </c>
      <c r="C63" s="55">
        <f>-SUMIFS(Table1[Gjendje ne Fund],Table1[Description],$A63,Table1[Period],'Pasqyra e Pozicionit Financiar'!C$1)</f>
        <v>0</v>
      </c>
    </row>
    <row r="64" spans="1:4" x14ac:dyDescent="0.25">
      <c r="A64" s="18" t="s">
        <v>16</v>
      </c>
      <c r="B64" s="55">
        <f>-SUMIFS(Table1[Gjendje ne Fund],Table1[Description],$A64,Table1[Period],'Pasqyra e Pozicionit Financiar'!B$1)</f>
        <v>0</v>
      </c>
      <c r="C64" s="55">
        <f>-SUMIFS(Table1[Gjendje ne Fund],Table1[Description],$A64,Table1[Period],'Pasqyra e Pozicionit Financiar'!C$1)</f>
        <v>0</v>
      </c>
    </row>
    <row r="65" spans="1:4" x14ac:dyDescent="0.25">
      <c r="A65" s="18" t="s">
        <v>77</v>
      </c>
      <c r="B65" s="55">
        <f>-SUMIFS(Table1[Teprica],Table1[Statement],'Pasqyra e Pozicionit Financiar'!$D66,Table1[Period],'Pasqyra e Pozicionit Financiar'!C$1)</f>
        <v>0</v>
      </c>
      <c r="C65" s="55">
        <f>-SUMIFS(Table1[Gjendje ne Fund],Table1[Description],$A65,Table1[Period],'Pasqyra e Pozicionit Financiar'!C$1)</f>
        <v>0</v>
      </c>
    </row>
    <row r="66" spans="1:4" x14ac:dyDescent="0.25">
      <c r="A66" s="18" t="s">
        <v>23</v>
      </c>
      <c r="B66" s="55">
        <f>-SUMIFS(Table1[Teprica],Table1[Statement],'Pasqyra e Pozicionit Financiar'!$D66,Table1[Period],'Pasqyra e Pozicionit Financiar'!B$1)</f>
        <v>-2234097.7767999982</v>
      </c>
      <c r="C66" s="55">
        <f>-SUMIFS(Table1[Teprica],Table1[Statement],'Pasqyra e Pozicionit Financiar'!$D66,Table1[Period],'Pasqyra e Pozicionit Financiar'!C$1)</f>
        <v>0</v>
      </c>
      <c r="D66" t="s">
        <v>169</v>
      </c>
    </row>
    <row r="67" spans="1:4" x14ac:dyDescent="0.25">
      <c r="A67" s="18" t="s">
        <v>115</v>
      </c>
      <c r="B67" s="55">
        <f>-SUMIFS(Table1[Gjendje ne Fund],Table1[Description],$A67,Table1[Period],'Pasqyra e Pozicionit Financiar'!B$1)</f>
        <v>0</v>
      </c>
      <c r="C67" s="55">
        <f>-SUMIFS(Table1[Gjendje ne Fund],Table1[Description],$A67,Table1[Period],'Pasqyra e Pozicionit Financiar'!C$1)</f>
        <v>0</v>
      </c>
    </row>
    <row r="68" spans="1:4" s="31" customFormat="1" ht="15.75" thickBot="1" x14ac:dyDescent="0.3">
      <c r="A68" s="11" t="s">
        <v>75</v>
      </c>
      <c r="B68" s="61">
        <f>SUM(B63:B67)</f>
        <v>-2134097.7767999982</v>
      </c>
      <c r="C68" s="61">
        <f>SUM(C63:C67)</f>
        <v>0</v>
      </c>
    </row>
    <row r="69" spans="1:4" x14ac:dyDescent="0.25">
      <c r="A69" s="12"/>
      <c r="B69" s="59"/>
      <c r="C69" s="59"/>
    </row>
    <row r="70" spans="1:4" s="31" customFormat="1" ht="15.75" thickBot="1" x14ac:dyDescent="0.3">
      <c r="A70" s="10" t="s">
        <v>76</v>
      </c>
      <c r="B70" s="60">
        <f>SUM(B60,B68)</f>
        <v>-734019.119599998</v>
      </c>
      <c r="C70" s="60">
        <f>SUM(C60,C68)</f>
        <v>0</v>
      </c>
    </row>
    <row r="71" spans="1:4" ht="15.75" thickTop="1" x14ac:dyDescent="0.25">
      <c r="A71" s="12"/>
      <c r="B71" s="12"/>
      <c r="C71" s="12"/>
    </row>
    <row r="72" spans="1:4" s="52" customFormat="1" x14ac:dyDescent="0.25">
      <c r="A72" s="65" t="s">
        <v>171</v>
      </c>
      <c r="B72" s="66">
        <f>B43-B70</f>
        <v>-4.8894435167312622E-9</v>
      </c>
      <c r="C72" s="66">
        <f>C43-C70</f>
        <v>0</v>
      </c>
    </row>
    <row r="74" spans="1:4" ht="21" x14ac:dyDescent="0.35">
      <c r="A74" s="22"/>
    </row>
    <row r="76" spans="1:4" ht="21" x14ac:dyDescent="0.35">
      <c r="A76" s="22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  <headerFooter>
    <oddFooter>&amp;C&amp;P</oddFooter>
  </headerFooter>
  <rowBreaks count="1" manualBreakCount="1">
    <brk id="43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0"/>
  <sheetViews>
    <sheetView view="pageBreakPreview" zoomScale="60" zoomScaleNormal="100" workbookViewId="0">
      <selection activeCell="A34" sqref="A34:A35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31"/>
      <c r="B1" s="53">
        <v>2020</v>
      </c>
      <c r="C1" s="53">
        <v>2019</v>
      </c>
    </row>
    <row r="2" spans="1:3" ht="15" customHeight="1" x14ac:dyDescent="0.25">
      <c r="A2" s="138" t="s">
        <v>29</v>
      </c>
      <c r="B2" s="35" t="s">
        <v>0</v>
      </c>
      <c r="C2" s="35" t="s">
        <v>0</v>
      </c>
    </row>
    <row r="3" spans="1:3" ht="15" customHeight="1" x14ac:dyDescent="0.25">
      <c r="A3" s="139"/>
      <c r="B3" s="35" t="s">
        <v>1</v>
      </c>
      <c r="C3" s="35" t="s">
        <v>2</v>
      </c>
    </row>
    <row r="4" spans="1:3" x14ac:dyDescent="0.25">
      <c r="A4" s="8" t="s">
        <v>92</v>
      </c>
      <c r="B4" s="12"/>
      <c r="C4" s="12"/>
    </row>
    <row r="5" spans="1:3" x14ac:dyDescent="0.25">
      <c r="B5" s="16"/>
      <c r="C5" s="12"/>
    </row>
    <row r="6" spans="1:3" x14ac:dyDescent="0.25">
      <c r="A6" s="13" t="s">
        <v>78</v>
      </c>
      <c r="B6" s="55">
        <f>-SUMIFS(Table1[Teprica],Table1[Description],$A6,Table1[Period],B$1)</f>
        <v>0</v>
      </c>
      <c r="C6" s="55">
        <f>-SUMIFS(Table1[Teprica],Table1[Description],$A6,Table1[Period],C$1)</f>
        <v>0</v>
      </c>
    </row>
    <row r="7" spans="1:3" x14ac:dyDescent="0.25">
      <c r="A7" s="13" t="s">
        <v>119</v>
      </c>
      <c r="B7" s="59">
        <f>-SUMIFS(Table1[Teprica],Table1[Description],$A7,Table1[Period],B$1)</f>
        <v>0</v>
      </c>
      <c r="C7" s="59">
        <f>-SUMIFS(Table1[Teprica],Table1[Description],$A7,Table1[Period],C$1)</f>
        <v>0</v>
      </c>
    </row>
    <row r="8" spans="1:3" x14ac:dyDescent="0.25">
      <c r="A8" s="13" t="s">
        <v>120</v>
      </c>
      <c r="B8" s="59">
        <f>-SUMIFS(Table1[Teprica],Table1[Description],$A8,Table1[Period],B$1)</f>
        <v>0</v>
      </c>
      <c r="C8" s="59">
        <f>-SUMIFS(Table1[Teprica],Table1[Description],$A8,Table1[Period],C$1)</f>
        <v>0</v>
      </c>
    </row>
    <row r="9" spans="1:3" x14ac:dyDescent="0.25">
      <c r="A9" s="13" t="s">
        <v>121</v>
      </c>
      <c r="B9" s="59">
        <f>-SUMIFS(Table1[Teprica],Table1[Description],$A9,Table1[Period],B$1)</f>
        <v>0</v>
      </c>
      <c r="C9" s="59">
        <f>-SUMIFS(Table1[Teprica],Table1[Description],$A9,Table1[Period],C$1)</f>
        <v>0</v>
      </c>
    </row>
    <row r="10" spans="1:3" x14ac:dyDescent="0.25">
      <c r="A10" s="13" t="s">
        <v>122</v>
      </c>
      <c r="B10" s="67">
        <f>-SUMIFS(Table1[Teprica],Table1[Description],$A10,Table1[Period],B$1)</f>
        <v>0</v>
      </c>
      <c r="C10" s="67">
        <f>-SUMIFS(Table1[Teprica],Table1[Description],$A10,Table1[Period],C$1)</f>
        <v>0</v>
      </c>
    </row>
    <row r="11" spans="1:3" x14ac:dyDescent="0.25">
      <c r="A11" s="13" t="s">
        <v>123</v>
      </c>
      <c r="B11" s="67">
        <f>-SUMIFS(Table1[Teprica],Table1[Description],$A11,Table1[Period],B$1)</f>
        <v>-206188.97940000001</v>
      </c>
      <c r="C11" s="67">
        <f>-SUMIFS(Table1[Teprica],Table1[Description],$A11,Table1[Period],C$1)</f>
        <v>0</v>
      </c>
    </row>
    <row r="12" spans="1:3" x14ac:dyDescent="0.25">
      <c r="A12" s="13" t="s">
        <v>124</v>
      </c>
      <c r="B12" s="68">
        <f>SUM(B13:B14)</f>
        <v>-2033396</v>
      </c>
      <c r="C12" s="68">
        <f>SUM(C13:C14)</f>
        <v>0</v>
      </c>
    </row>
    <row r="13" spans="1:3" s="76" customFormat="1" x14ac:dyDescent="0.25">
      <c r="A13" s="74" t="s">
        <v>85</v>
      </c>
      <c r="B13" s="75">
        <f>-SUMIFS(Table1[Teprica],Table1[Description],$A13,Table1[Period],B$1)</f>
        <v>-1744273</v>
      </c>
      <c r="C13" s="75">
        <f>-SUMIFS(Table1[Teprica],Table1[Description],$A13,Table1[Period],C$1)</f>
        <v>0</v>
      </c>
    </row>
    <row r="14" spans="1:3" s="76" customFormat="1" x14ac:dyDescent="0.25">
      <c r="A14" s="74" t="s">
        <v>126</v>
      </c>
      <c r="B14" s="75">
        <f>-SUMIFS(Table1[Teprica],Table1[Description],$A14,Table1[Period],B$1)</f>
        <v>-289123</v>
      </c>
      <c r="C14" s="75">
        <f>-SUMIFS(Table1[Teprica],Table1[Description],$A14,Table1[Period],C$1)</f>
        <v>0</v>
      </c>
    </row>
    <row r="15" spans="1:3" x14ac:dyDescent="0.25">
      <c r="A15" s="13" t="s">
        <v>125</v>
      </c>
      <c r="B15" s="69">
        <f>-SUMIFS(Table1[Teprica],Table1[Description],$A15,Table1[Period],B$1)</f>
        <v>0</v>
      </c>
      <c r="C15" s="69">
        <f>-SUMIFS(Table1[Teprica],Table1[Description],$A15,Table1[Period],C$1)</f>
        <v>0</v>
      </c>
    </row>
    <row r="16" spans="1:3" x14ac:dyDescent="0.25">
      <c r="A16" s="13" t="s">
        <v>17</v>
      </c>
      <c r="B16" s="69">
        <f>-SUMIFS(Table1[Teprica],Table1[Description],$A16,Table1[Period],B$1)</f>
        <v>0</v>
      </c>
      <c r="C16" s="69">
        <f>-SUMIFS(Table1[Teprica],Table1[Description],$A16,Table1[Period],C$1)</f>
        <v>0</v>
      </c>
    </row>
    <row r="17" spans="1:3" s="31" customFormat="1" x14ac:dyDescent="0.25">
      <c r="A17" s="15" t="s">
        <v>89</v>
      </c>
      <c r="B17" s="62">
        <f>SUM(B6:B12,B15:B16)</f>
        <v>-2239584.9794000001</v>
      </c>
      <c r="C17" s="62">
        <f>SUM(C6:C12,C15:C16)</f>
        <v>0</v>
      </c>
    </row>
    <row r="18" spans="1:3" x14ac:dyDescent="0.25">
      <c r="A18" s="11"/>
      <c r="B18" s="55"/>
      <c r="C18" s="55"/>
    </row>
    <row r="19" spans="1:3" x14ac:dyDescent="0.25">
      <c r="A19" s="9" t="s">
        <v>18</v>
      </c>
      <c r="B19" s="70"/>
      <c r="C19" s="70"/>
    </row>
    <row r="20" spans="1:3" x14ac:dyDescent="0.25">
      <c r="A20" s="20" t="s">
        <v>91</v>
      </c>
      <c r="B20" s="72">
        <f>-SUMIFS(Table1[Teprica],Table1[Description],$A20,Table1[Period],B$1)</f>
        <v>-331.87639999999999</v>
      </c>
      <c r="C20" s="72">
        <f>-SUMIFS(Table1[Teprica],Table1[Description],$A20,Table1[Period],C$1)</f>
        <v>0</v>
      </c>
    </row>
    <row r="21" spans="1:3" x14ac:dyDescent="0.25">
      <c r="A21" s="13" t="s">
        <v>19</v>
      </c>
      <c r="B21" s="67">
        <f>-SUMIFS(Table1[Teprica],Table1[Description],$A21,Table1[Period],B$1)</f>
        <v>5819.0790000015404</v>
      </c>
      <c r="C21" s="67">
        <f>-SUMIFS(Table1[Teprica],Table1[Description],$A21,Table1[Period],C$1)</f>
        <v>0</v>
      </c>
    </row>
    <row r="22" spans="1:3" x14ac:dyDescent="0.25">
      <c r="A22" s="13" t="s">
        <v>90</v>
      </c>
      <c r="B22" s="67">
        <f>-SUMIFS(Table1[Teprica],Table1[Description],$A22,Table1[Period],B$1)</f>
        <v>0</v>
      </c>
      <c r="C22" s="67">
        <f>-SUMIFS(Table1[Teprica],Table1[Description],$A22,Table1[Period],C$1)</f>
        <v>0</v>
      </c>
    </row>
    <row r="23" spans="1:3" s="31" customFormat="1" x14ac:dyDescent="0.25">
      <c r="A23" s="11" t="s">
        <v>7</v>
      </c>
      <c r="B23" s="62">
        <f>SUM(B20:B22)</f>
        <v>5487.2026000015403</v>
      </c>
      <c r="C23" s="62">
        <f>SUM(C20:C22)</f>
        <v>0</v>
      </c>
    </row>
    <row r="24" spans="1:3" x14ac:dyDescent="0.25">
      <c r="A24" s="21"/>
      <c r="B24" s="71"/>
      <c r="C24" s="71"/>
    </row>
    <row r="25" spans="1:3" s="31" customFormat="1" ht="15.75" thickBot="1" x14ac:dyDescent="0.3">
      <c r="A25" s="21" t="s">
        <v>22</v>
      </c>
      <c r="B25" s="61">
        <f>SUM(B17,B23)</f>
        <v>-2234097.7767999987</v>
      </c>
      <c r="C25" s="61">
        <f>SUM(C17,C23)</f>
        <v>0</v>
      </c>
    </row>
    <row r="26" spans="1:3" x14ac:dyDescent="0.25">
      <c r="A26" s="14" t="s">
        <v>127</v>
      </c>
      <c r="B26" s="72">
        <f>-SUMIFS(Table1[Teprica],Table1[Description],$A26,Table1[Period],B$1)</f>
        <v>0</v>
      </c>
      <c r="C26" s="72">
        <f>-SUMIFS(Table1[Teprica],Table1[Description],$A26,Table1[Period],C$1)</f>
        <v>0</v>
      </c>
    </row>
    <row r="27" spans="1:3" s="31" customFormat="1" ht="15.75" thickBot="1" x14ac:dyDescent="0.3">
      <c r="A27" s="21" t="s">
        <v>128</v>
      </c>
      <c r="B27" s="73">
        <f>SUM(B25:B26)</f>
        <v>-2234097.7767999987</v>
      </c>
      <c r="C27" s="73">
        <f>SUM(C25:C26)</f>
        <v>0</v>
      </c>
    </row>
    <row r="28" spans="1:3" ht="15.75" thickTop="1" x14ac:dyDescent="0.25">
      <c r="A28" s="12"/>
      <c r="B28" s="12"/>
      <c r="C28" s="12"/>
    </row>
    <row r="29" spans="1:3" s="52" customFormat="1" x14ac:dyDescent="0.25">
      <c r="A29" s="119" t="s">
        <v>171</v>
      </c>
      <c r="B29" s="120">
        <f>'Pasqyra e Pozicionit Financiar'!B66</f>
        <v>-2234097.7767999982</v>
      </c>
      <c r="C29" s="120">
        <f>'Pasqyra e Pozicionit Financiar'!C66</f>
        <v>0</v>
      </c>
    </row>
    <row r="30" spans="1:3" s="52" customFormat="1" x14ac:dyDescent="0.25">
      <c r="A30" s="65"/>
      <c r="B30" s="121">
        <f>B27-B29</f>
        <v>0</v>
      </c>
      <c r="C30" s="121">
        <f>C27-C29</f>
        <v>0</v>
      </c>
    </row>
  </sheetData>
  <mergeCells count="1">
    <mergeCell ref="A2:A3"/>
  </mergeCells>
  <pageMargins left="0.7" right="0.7" top="0.75" bottom="0.75" header="0.3" footer="0.3"/>
  <pageSetup paperSize="9" scale="82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36"/>
  <sheetViews>
    <sheetView workbookViewId="0">
      <selection activeCell="A2" sqref="A2:A3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31"/>
    </row>
    <row r="2" spans="1:3" x14ac:dyDescent="0.25">
      <c r="A2" s="138" t="s">
        <v>29</v>
      </c>
      <c r="B2" s="35" t="s">
        <v>0</v>
      </c>
      <c r="C2" s="35" t="s">
        <v>0</v>
      </c>
    </row>
    <row r="3" spans="1:3" x14ac:dyDescent="0.25">
      <c r="A3" s="138"/>
      <c r="B3" s="35" t="s">
        <v>1</v>
      </c>
      <c r="C3" s="35" t="s">
        <v>2</v>
      </c>
    </row>
    <row r="4" spans="1:3" x14ac:dyDescent="0.25">
      <c r="A4" s="8" t="s">
        <v>129</v>
      </c>
      <c r="B4" s="12"/>
      <c r="C4" s="12"/>
    </row>
    <row r="5" spans="1:3" x14ac:dyDescent="0.25">
      <c r="A5" s="12"/>
      <c r="B5" s="12"/>
      <c r="C5" s="12"/>
    </row>
    <row r="6" spans="1:3" x14ac:dyDescent="0.25">
      <c r="A6" s="9" t="s">
        <v>10</v>
      </c>
      <c r="B6" s="16"/>
      <c r="C6" s="12"/>
    </row>
    <row r="7" spans="1:3" x14ac:dyDescent="0.25">
      <c r="A7" s="2" t="s">
        <v>79</v>
      </c>
      <c r="B7" s="2"/>
      <c r="C7" s="12"/>
    </row>
    <row r="8" spans="1:3" x14ac:dyDescent="0.25">
      <c r="A8" s="2" t="s">
        <v>80</v>
      </c>
      <c r="B8" s="2"/>
      <c r="C8" s="12"/>
    </row>
    <row r="9" spans="1:3" ht="15.75" thickBot="1" x14ac:dyDescent="0.3">
      <c r="A9" s="11" t="s">
        <v>86</v>
      </c>
      <c r="B9" s="33"/>
      <c r="C9" s="33"/>
    </row>
    <row r="10" spans="1:3" x14ac:dyDescent="0.25">
      <c r="A10" s="6"/>
      <c r="B10" s="16"/>
      <c r="C10" s="12"/>
    </row>
    <row r="11" spans="1:3" x14ac:dyDescent="0.25">
      <c r="A11" s="9" t="s">
        <v>13</v>
      </c>
      <c r="B11" s="16"/>
      <c r="C11" s="12"/>
    </row>
    <row r="12" spans="1:3" x14ac:dyDescent="0.25">
      <c r="A12" s="9" t="s">
        <v>82</v>
      </c>
      <c r="B12" s="16"/>
      <c r="C12" s="12"/>
    </row>
    <row r="13" spans="1:3" x14ac:dyDescent="0.25">
      <c r="A13" s="18" t="s">
        <v>81</v>
      </c>
      <c r="B13" s="16"/>
      <c r="C13" s="12"/>
    </row>
    <row r="14" spans="1:3" x14ac:dyDescent="0.25">
      <c r="A14" s="18" t="s">
        <v>88</v>
      </c>
      <c r="B14" s="16"/>
      <c r="C14" s="12"/>
    </row>
    <row r="15" spans="1:3" x14ac:dyDescent="0.25">
      <c r="A15" s="18" t="s">
        <v>83</v>
      </c>
    </row>
    <row r="16" spans="1:3" x14ac:dyDescent="0.25">
      <c r="A16" s="18"/>
      <c r="B16" s="32"/>
      <c r="C16" s="32"/>
    </row>
    <row r="17" spans="1:5" x14ac:dyDescent="0.25">
      <c r="A17" s="8" t="s">
        <v>11</v>
      </c>
      <c r="B17" s="2"/>
      <c r="C17" s="12"/>
    </row>
    <row r="18" spans="1:5" x14ac:dyDescent="0.25">
      <c r="A18" s="2" t="s">
        <v>85</v>
      </c>
      <c r="B18" s="2"/>
      <c r="C18" s="12"/>
    </row>
    <row r="19" spans="1:5" x14ac:dyDescent="0.25">
      <c r="A19" s="2" t="s">
        <v>84</v>
      </c>
      <c r="B19" s="2"/>
      <c r="C19" s="12"/>
    </row>
    <row r="20" spans="1:5" x14ac:dyDescent="0.25">
      <c r="A20" s="2"/>
      <c r="B20" s="32"/>
      <c r="C20" s="32"/>
    </row>
    <row r="21" spans="1:5" x14ac:dyDescent="0.25">
      <c r="A21" s="2" t="s">
        <v>20</v>
      </c>
      <c r="B21" s="2"/>
      <c r="C21" s="12"/>
    </row>
    <row r="22" spans="1:5" x14ac:dyDescent="0.25">
      <c r="A22" s="2" t="s">
        <v>17</v>
      </c>
      <c r="B22" s="2"/>
      <c r="C22" s="12"/>
    </row>
    <row r="23" spans="1:5" x14ac:dyDescent="0.25">
      <c r="A23" s="2" t="s">
        <v>39</v>
      </c>
      <c r="B23" s="2"/>
      <c r="C23" s="12"/>
    </row>
    <row r="24" spans="1:5" ht="15.75" thickBot="1" x14ac:dyDescent="0.3">
      <c r="A24" s="11" t="s">
        <v>87</v>
      </c>
      <c r="B24" s="33"/>
      <c r="C24" s="33"/>
    </row>
    <row r="25" spans="1:5" x14ac:dyDescent="0.25">
      <c r="A25" s="6"/>
      <c r="B25" s="17"/>
      <c r="C25" s="12"/>
    </row>
    <row r="26" spans="1:5" ht="15.75" thickBot="1" x14ac:dyDescent="0.3">
      <c r="A26" s="21" t="s">
        <v>22</v>
      </c>
      <c r="B26" s="33"/>
      <c r="C26" s="33"/>
    </row>
    <row r="27" spans="1:5" x14ac:dyDescent="0.25">
      <c r="A27" s="14" t="s">
        <v>12</v>
      </c>
      <c r="B27" s="17"/>
      <c r="C27" s="12"/>
    </row>
    <row r="28" spans="1:5" ht="15.75" thickBot="1" x14ac:dyDescent="0.3">
      <c r="A28" s="21" t="s">
        <v>21</v>
      </c>
      <c r="B28" s="34"/>
      <c r="C28" s="34"/>
    </row>
    <row r="29" spans="1:5" ht="15.75" thickTop="1" x14ac:dyDescent="0.25">
      <c r="A29" s="12"/>
      <c r="B29" s="12"/>
      <c r="C29" s="12"/>
      <c r="D29" s="12"/>
      <c r="E29" s="12"/>
    </row>
    <row r="30" spans="1:5" x14ac:dyDescent="0.25">
      <c r="D30" s="12"/>
      <c r="E30" s="12"/>
    </row>
    <row r="31" spans="1:5" x14ac:dyDescent="0.25">
      <c r="D31" s="12"/>
      <c r="E31" s="12"/>
    </row>
    <row r="34" spans="1:1" ht="21" x14ac:dyDescent="0.35">
      <c r="A34" s="22"/>
    </row>
    <row r="36" spans="1:1" ht="21" x14ac:dyDescent="0.35">
      <c r="A36" s="2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38"/>
  <sheetViews>
    <sheetView topLeftCell="A16" workbookViewId="0">
      <selection activeCell="A2" sqref="A2:A3"/>
    </sheetView>
  </sheetViews>
  <sheetFormatPr defaultRowHeight="15" x14ac:dyDescent="0.2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 x14ac:dyDescent="0.25">
      <c r="A1" s="31"/>
    </row>
    <row r="2" spans="1:3" ht="21" customHeight="1" x14ac:dyDescent="0.25">
      <c r="A2" s="140" t="s">
        <v>107</v>
      </c>
      <c r="B2" s="35" t="s">
        <v>0</v>
      </c>
      <c r="C2" s="35" t="s">
        <v>0</v>
      </c>
    </row>
    <row r="3" spans="1:3" x14ac:dyDescent="0.25">
      <c r="A3" s="140"/>
      <c r="B3" s="35" t="s">
        <v>1</v>
      </c>
      <c r="C3" s="35" t="s">
        <v>2</v>
      </c>
    </row>
    <row r="4" spans="1:3" x14ac:dyDescent="0.25">
      <c r="A4" s="8" t="s">
        <v>61</v>
      </c>
      <c r="B4" s="35"/>
      <c r="C4" s="35"/>
    </row>
    <row r="5" spans="1:3" x14ac:dyDescent="0.25">
      <c r="A5" s="8"/>
    </row>
    <row r="6" spans="1:3" x14ac:dyDescent="0.25">
      <c r="A6" s="24" t="s">
        <v>40</v>
      </c>
    </row>
    <row r="7" spans="1:3" x14ac:dyDescent="0.25">
      <c r="A7" s="26" t="s">
        <v>93</v>
      </c>
    </row>
    <row r="8" spans="1:3" x14ac:dyDescent="0.25">
      <c r="A8" s="26" t="s">
        <v>94</v>
      </c>
    </row>
    <row r="9" spans="1:3" x14ac:dyDescent="0.25">
      <c r="A9" s="26" t="s">
        <v>95</v>
      </c>
    </row>
    <row r="10" spans="1:3" x14ac:dyDescent="0.25">
      <c r="A10" s="26" t="s">
        <v>62</v>
      </c>
    </row>
    <row r="11" spans="1:3" x14ac:dyDescent="0.25">
      <c r="A11" s="26" t="s">
        <v>56</v>
      </c>
    </row>
    <row r="12" spans="1:3" x14ac:dyDescent="0.25">
      <c r="A12" s="25" t="s">
        <v>26</v>
      </c>
    </row>
    <row r="13" spans="1:3" x14ac:dyDescent="0.25">
      <c r="A13" s="24" t="s">
        <v>45</v>
      </c>
    </row>
    <row r="14" spans="1:3" x14ac:dyDescent="0.25">
      <c r="A14" s="25"/>
    </row>
    <row r="15" spans="1:3" ht="13.5" customHeight="1" x14ac:dyDescent="0.25">
      <c r="A15" s="24" t="s">
        <v>50</v>
      </c>
    </row>
    <row r="16" spans="1:3" ht="13.5" customHeight="1" x14ac:dyDescent="0.25">
      <c r="A16" s="25" t="s">
        <v>46</v>
      </c>
    </row>
    <row r="17" spans="1:1" ht="13.5" customHeight="1" x14ac:dyDescent="0.25">
      <c r="A17" s="25" t="s">
        <v>47</v>
      </c>
    </row>
    <row r="18" spans="1:1" ht="13.5" customHeight="1" x14ac:dyDescent="0.25">
      <c r="A18" s="25" t="s">
        <v>96</v>
      </c>
    </row>
    <row r="19" spans="1:1" ht="13.5" customHeight="1" x14ac:dyDescent="0.25">
      <c r="A19" s="25" t="s">
        <v>48</v>
      </c>
    </row>
    <row r="20" spans="1:1" x14ac:dyDescent="0.25">
      <c r="A20" s="25" t="s">
        <v>42</v>
      </c>
    </row>
    <row r="21" spans="1:1" x14ac:dyDescent="0.25">
      <c r="A21" s="24" t="s">
        <v>49</v>
      </c>
    </row>
    <row r="22" spans="1:1" x14ac:dyDescent="0.25">
      <c r="A22" s="27"/>
    </row>
    <row r="23" spans="1:1" x14ac:dyDescent="0.25">
      <c r="A23" s="24" t="s">
        <v>51</v>
      </c>
    </row>
    <row r="24" spans="1:1" x14ac:dyDescent="0.25">
      <c r="A24" s="25" t="s">
        <v>52</v>
      </c>
    </row>
    <row r="25" spans="1:1" x14ac:dyDescent="0.25">
      <c r="A25" s="25" t="s">
        <v>53</v>
      </c>
    </row>
    <row r="26" spans="1:1" x14ac:dyDescent="0.25">
      <c r="A26" s="25" t="s">
        <v>54</v>
      </c>
    </row>
    <row r="27" spans="1:1" x14ac:dyDescent="0.25">
      <c r="A27" s="25" t="s">
        <v>55</v>
      </c>
    </row>
    <row r="28" spans="1:1" x14ac:dyDescent="0.25">
      <c r="A28" s="25" t="s">
        <v>27</v>
      </c>
    </row>
    <row r="29" spans="1:1" x14ac:dyDescent="0.25">
      <c r="A29" s="25" t="s">
        <v>42</v>
      </c>
    </row>
    <row r="30" spans="1:1" x14ac:dyDescent="0.25">
      <c r="A30" s="24" t="s">
        <v>57</v>
      </c>
    </row>
    <row r="31" spans="1:1" x14ac:dyDescent="0.25">
      <c r="A31" s="27"/>
    </row>
    <row r="32" spans="1:1" x14ac:dyDescent="0.25">
      <c r="A32" s="24" t="s">
        <v>58</v>
      </c>
    </row>
    <row r="33" spans="1:1" x14ac:dyDescent="0.25">
      <c r="A33" s="28" t="s">
        <v>59</v>
      </c>
    </row>
    <row r="34" spans="1:1" x14ac:dyDescent="0.25">
      <c r="A34" s="28" t="s">
        <v>106</v>
      </c>
    </row>
    <row r="35" spans="1:1" x14ac:dyDescent="0.25">
      <c r="A35" s="29" t="s">
        <v>60</v>
      </c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D47"/>
  <sheetViews>
    <sheetView view="pageBreakPreview" zoomScale="80" zoomScaleNormal="100" zoomScaleSheetLayoutView="80" workbookViewId="0">
      <selection activeCell="A34" sqref="A34:A35"/>
    </sheetView>
  </sheetViews>
  <sheetFormatPr defaultRowHeight="15" x14ac:dyDescent="0.25"/>
  <cols>
    <col min="1" max="1" width="76.28515625" style="79" customWidth="1"/>
    <col min="2" max="3" width="15" style="79" customWidth="1"/>
    <col min="4" max="4" width="10.5703125" style="79" customWidth="1"/>
    <col min="5" max="5" width="10.7109375" style="79" customWidth="1"/>
    <col min="6" max="6" width="10.140625" style="79" customWidth="1"/>
    <col min="7" max="7" width="10.7109375" style="79" customWidth="1"/>
    <col min="8" max="8" width="11.5703125" style="79" customWidth="1"/>
    <col min="9" max="9" width="11" style="79" customWidth="1"/>
    <col min="10" max="16384" width="9.140625" style="79"/>
  </cols>
  <sheetData>
    <row r="1" spans="1:3" x14ac:dyDescent="0.25">
      <c r="A1" s="78"/>
      <c r="B1" s="99">
        <v>2020</v>
      </c>
      <c r="C1" s="99">
        <v>2019</v>
      </c>
    </row>
    <row r="2" spans="1:3" ht="21" customHeight="1" x14ac:dyDescent="0.25">
      <c r="A2" s="141" t="s">
        <v>107</v>
      </c>
      <c r="B2" s="92" t="s">
        <v>0</v>
      </c>
      <c r="C2" s="92" t="s">
        <v>0</v>
      </c>
    </row>
    <row r="3" spans="1:3" x14ac:dyDescent="0.25">
      <c r="A3" s="141"/>
      <c r="B3" s="92" t="s">
        <v>1</v>
      </c>
      <c r="C3" s="92" t="s">
        <v>2</v>
      </c>
    </row>
    <row r="4" spans="1:3" x14ac:dyDescent="0.25">
      <c r="A4" s="93" t="s">
        <v>41</v>
      </c>
      <c r="B4" s="92"/>
      <c r="C4" s="92"/>
    </row>
    <row r="5" spans="1:3" x14ac:dyDescent="0.25">
      <c r="A5" s="93"/>
    </row>
    <row r="6" spans="1:3" x14ac:dyDescent="0.25">
      <c r="A6" s="80" t="s">
        <v>40</v>
      </c>
    </row>
    <row r="7" spans="1:3" x14ac:dyDescent="0.25">
      <c r="A7" s="81" t="s">
        <v>97</v>
      </c>
      <c r="B7" s="82">
        <f>-SUMIFS(Table1[Teprica],Table1[Cash Flow Schedule],$A7,Table1[Period],'Pasqyra Cashflow-indirekte'!B$1)</f>
        <v>-2234097.7767999982</v>
      </c>
      <c r="C7" s="82">
        <f>-SUMIFS(Table1[Teprica],Table1[Cash Flow Schedule],$A7,Table1[Period],'Pasqyra Cashflow-indirekte'!C$1)</f>
        <v>0</v>
      </c>
    </row>
    <row r="8" spans="1:3" x14ac:dyDescent="0.25">
      <c r="A8" s="83" t="s">
        <v>98</v>
      </c>
      <c r="B8" s="82">
        <f>-SUMIFS(Table1[Teprica],Table1[Cash Flow Schedule],$A8,Table1[Period],'Pasqyra Cashflow-indirekte'!B$1)</f>
        <v>0</v>
      </c>
      <c r="C8" s="82">
        <f>-SUMIFS(Table1[Teprica],Table1[Cash Flow Schedule],$A8,Table1[Period],'Pasqyra Cashflow-indirekte'!C$1)</f>
        <v>0</v>
      </c>
    </row>
    <row r="9" spans="1:3" x14ac:dyDescent="0.25">
      <c r="A9" s="84" t="s">
        <v>99</v>
      </c>
      <c r="B9" s="82">
        <f>-SUMIFS(Table1[Teprica],Table1[Cash Flow Schedule],$A9,Table1[Period],'Pasqyra Cashflow-indirekte'!B$1)</f>
        <v>0</v>
      </c>
      <c r="C9" s="82">
        <f>-SUMIFS(Table1[Teprica],Table1[Cash Flow Schedule],$A9,Table1[Period],'Pasqyra Cashflow-indirekte'!C$1)</f>
        <v>0</v>
      </c>
    </row>
    <row r="10" spans="1:3" x14ac:dyDescent="0.25">
      <c r="A10" s="85" t="s">
        <v>105</v>
      </c>
      <c r="B10" s="82">
        <f>-SUMIFS(Table1[Teprica],Table1[Cash Flow Schedule],$A10,Table1[Period],'Pasqyra Cashflow-indirekte'!B$1)</f>
        <v>0</v>
      </c>
      <c r="C10" s="82">
        <f>-SUMIFS(Table1[Teprica],Table1[Cash Flow Schedule],$A10,Table1[Period],'Pasqyra Cashflow-indirekte'!C$1)</f>
        <v>0</v>
      </c>
    </row>
    <row r="11" spans="1:3" x14ac:dyDescent="0.25">
      <c r="A11" s="85" t="s">
        <v>100</v>
      </c>
      <c r="B11" s="82">
        <f>-SUMIFS(Table1[Teprica],Table1[Cash Flow Schedule],$A11,Table1[Period],'Pasqyra Cashflow-indirekte'!B$1)</f>
        <v>0</v>
      </c>
      <c r="C11" s="82">
        <f>-SUMIFS(Table1[Teprica],Table1[Cash Flow Schedule],$A11,Table1[Period],'Pasqyra Cashflow-indirekte'!C$1)</f>
        <v>0</v>
      </c>
    </row>
    <row r="12" spans="1:3" x14ac:dyDescent="0.25">
      <c r="A12" s="85" t="s">
        <v>101</v>
      </c>
      <c r="B12" s="82">
        <f>-SUMIFS(Table1[Teprica],Table1[Cash Flow Schedule],$A12,Table1[Period],'Pasqyra Cashflow-indirekte'!B$1)</f>
        <v>0</v>
      </c>
      <c r="C12" s="82">
        <f>-SUMIFS(Table1[Teprica],Table1[Cash Flow Schedule],$A12,Table1[Period],'Pasqyra Cashflow-indirekte'!C$1)</f>
        <v>0</v>
      </c>
    </row>
    <row r="13" spans="1:3" x14ac:dyDescent="0.25">
      <c r="A13" s="85" t="s">
        <v>102</v>
      </c>
      <c r="B13" s="82">
        <f>-SUMIFS(Table1[Teprica],Table1[Cash Flow Schedule],$A13,Table1[Period],'Pasqyra Cashflow-indirekte'!B$1)</f>
        <v>0</v>
      </c>
      <c r="C13" s="82">
        <f>-SUMIFS(Table1[Teprica],Table1[Cash Flow Schedule],$A13,Table1[Period],'Pasqyra Cashflow-indirekte'!C$1)</f>
        <v>0</v>
      </c>
    </row>
    <row r="14" spans="1:3" x14ac:dyDescent="0.25">
      <c r="A14" s="85" t="s">
        <v>173</v>
      </c>
      <c r="B14" s="82">
        <f>-SUMIFS(Table1[Teprica],Table1[Cash Flow Schedule],$A14,Table1[Period],'Pasqyra Cashflow-indirekte'!B$1)</f>
        <v>0</v>
      </c>
      <c r="C14" s="82">
        <f>-SUMIFS(Table1[Teprica],Table1[Cash Flow Schedule],$A14,Table1[Period],'Pasqyra Cashflow-indirekte'!C$1)</f>
        <v>0</v>
      </c>
    </row>
    <row r="15" spans="1:3" x14ac:dyDescent="0.25">
      <c r="A15" s="85"/>
    </row>
    <row r="16" spans="1:3" x14ac:dyDescent="0.25">
      <c r="A16" s="81" t="s">
        <v>43</v>
      </c>
    </row>
    <row r="17" spans="1:3" x14ac:dyDescent="0.25">
      <c r="A17" s="85" t="s">
        <v>104</v>
      </c>
      <c r="B17" s="82">
        <f>-SUMIFS(Table1[Teprica],Table1[Cash Flow Schedule],$A17,Table1[Period],'Pasqyra Cashflow-indirekte'!B$1)</f>
        <v>1247087.1355999999</v>
      </c>
      <c r="C17" s="82">
        <f>-SUMIFS(Table1[Teprica],Table1[Cash Flow Schedule],$A17,Table1[Period],'Pasqyra Cashflow-indirekte'!C$1)</f>
        <v>0</v>
      </c>
    </row>
    <row r="18" spans="1:3" x14ac:dyDescent="0.25">
      <c r="A18" s="85" t="s">
        <v>103</v>
      </c>
      <c r="B18" s="82">
        <f>-SUMIFS(Table1[Teprica],Table1[Cash Flow Schedule],$A18,Table1[Period],'Pasqyra Cashflow-indirekte'!B$1)</f>
        <v>0</v>
      </c>
      <c r="C18" s="82">
        <f>-SUMIFS(Table1[Teprica],Table1[Cash Flow Schedule],$A18,Table1[Period],'Pasqyra Cashflow-indirekte'!C$1)</f>
        <v>0</v>
      </c>
    </row>
    <row r="19" spans="1:3" x14ac:dyDescent="0.25">
      <c r="A19" s="85" t="s">
        <v>44</v>
      </c>
      <c r="B19" s="82">
        <f>-SUMIFS(Table1[Teprica],Table1[Cash Flow Schedule],$A19,Table1[Period],'Pasqyra Cashflow-indirekte'!B$1)</f>
        <v>1400078.6572000002</v>
      </c>
      <c r="C19" s="82">
        <f>-SUMIFS(Table1[Teprica],Table1[Cash Flow Schedule],$A19,Table1[Period],'Pasqyra Cashflow-indirekte'!C$1)</f>
        <v>0</v>
      </c>
    </row>
    <row r="20" spans="1:3" x14ac:dyDescent="0.25">
      <c r="A20" s="85" t="s">
        <v>56</v>
      </c>
      <c r="B20" s="82">
        <f>-SUMIFS(Table1[Teprica],Table1[Cash Flow Schedule],$A20,Table1[Period],'Pasqyra Cashflow-indirekte'!B$1)</f>
        <v>0</v>
      </c>
      <c r="C20" s="82">
        <f>-SUMIFS(Table1[Teprica],Table1[Cash Flow Schedule],$A20,Table1[Period],'Pasqyra Cashflow-indirekte'!C$1)</f>
        <v>0</v>
      </c>
    </row>
    <row r="21" spans="1:3" x14ac:dyDescent="0.25">
      <c r="A21" s="85" t="s">
        <v>26</v>
      </c>
      <c r="B21" s="82">
        <f>-SUMIFS(Table1[Teprica],Table1[Cash Flow Schedule],$A21,Table1[Period],'Pasqyra Cashflow-indirekte'!B$1)</f>
        <v>0</v>
      </c>
      <c r="C21" s="82">
        <f>-SUMIFS(Table1[Teprica],Table1[Cash Flow Schedule],$A21,Table1[Period],'Pasqyra Cashflow-indirekte'!C$1)</f>
        <v>0</v>
      </c>
    </row>
    <row r="22" spans="1:3" x14ac:dyDescent="0.25">
      <c r="A22" s="80" t="s">
        <v>45</v>
      </c>
      <c r="B22" s="94">
        <f>SUM(B7:B14,B17:B21)</f>
        <v>413068.01600000192</v>
      </c>
      <c r="C22" s="94">
        <f>SUM(C7:C14,C17:C21)</f>
        <v>0</v>
      </c>
    </row>
    <row r="23" spans="1:3" x14ac:dyDescent="0.25">
      <c r="A23" s="86"/>
    </row>
    <row r="24" spans="1:3" x14ac:dyDescent="0.25">
      <c r="A24" s="80" t="s">
        <v>50</v>
      </c>
    </row>
    <row r="25" spans="1:3" x14ac:dyDescent="0.25">
      <c r="A25" s="85" t="s">
        <v>46</v>
      </c>
      <c r="B25" s="82">
        <f>-SUMIFS(Table1[Teprica],Table1[Cash Flow Schedule],$A25,Table1[Period],'Pasqyra Cashflow-indirekte'!B$1)</f>
        <v>0</v>
      </c>
      <c r="C25" s="82">
        <f>-SUMIFS(Table1[Teprica],Table1[Cash Flow Schedule],$A25,Table1[Period],'Pasqyra Cashflow-indirekte'!C$1)</f>
        <v>0</v>
      </c>
    </row>
    <row r="26" spans="1:3" x14ac:dyDescent="0.25">
      <c r="A26" s="85" t="s">
        <v>47</v>
      </c>
      <c r="B26" s="82">
        <f>-SUMIFS(Table1[Teprica],Table1[Cash Flow Schedule],$A26,Table1[Period],'Pasqyra Cashflow-indirekte'!B$1)</f>
        <v>0</v>
      </c>
      <c r="C26" s="82">
        <f>-SUMIFS(Table1[Teprica],Table1[Cash Flow Schedule],$A26,Table1[Period],'Pasqyra Cashflow-indirekte'!C$1)</f>
        <v>0</v>
      </c>
    </row>
    <row r="27" spans="1:3" x14ac:dyDescent="0.25">
      <c r="A27" s="85" t="s">
        <v>96</v>
      </c>
      <c r="B27" s="82">
        <f>-SUMIFS(Table1[Teprica],Table1[Cash Flow Schedule],$A27,Table1[Period],'Pasqyra Cashflow-indirekte'!B$1)</f>
        <v>0</v>
      </c>
      <c r="C27" s="82">
        <f>-SUMIFS(Table1[Teprica],Table1[Cash Flow Schedule],$A27,Table1[Period],'Pasqyra Cashflow-indirekte'!C$1)</f>
        <v>0</v>
      </c>
    </row>
    <row r="28" spans="1:3" x14ac:dyDescent="0.25">
      <c r="A28" s="85" t="s">
        <v>48</v>
      </c>
      <c r="B28" s="82">
        <f>-SUMIFS(Table1[Teprica],Table1[Cash Flow Schedule],$A28,Table1[Period],'Pasqyra Cashflow-indirekte'!B$1)</f>
        <v>0</v>
      </c>
      <c r="C28" s="82">
        <f>-SUMIFS(Table1[Teprica],Table1[Cash Flow Schedule],$A28,Table1[Period],'Pasqyra Cashflow-indirekte'!C$1)</f>
        <v>0</v>
      </c>
    </row>
    <row r="29" spans="1:3" x14ac:dyDescent="0.25">
      <c r="A29" s="85" t="s">
        <v>173</v>
      </c>
      <c r="B29" s="82">
        <f>-SUMIFS(Table1[Teprica],Table1[Cash Flow Schedule],$A29,Table1[Period],'Pasqyra Cashflow-indirekte'!B$1)</f>
        <v>0</v>
      </c>
      <c r="C29" s="82">
        <f>-SUMIFS(Table1[Teprica],Table1[Cash Flow Schedule],$A29,Table1[Period],'Pasqyra Cashflow-indirekte'!C$1)</f>
        <v>0</v>
      </c>
    </row>
    <row r="30" spans="1:3" x14ac:dyDescent="0.25">
      <c r="A30" s="80" t="s">
        <v>49</v>
      </c>
      <c r="B30" s="94">
        <f>SUM(B25:B29)</f>
        <v>0</v>
      </c>
      <c r="C30" s="94">
        <f>SUM(C25:C29)</f>
        <v>0</v>
      </c>
    </row>
    <row r="31" spans="1:3" x14ac:dyDescent="0.25">
      <c r="A31" s="86"/>
    </row>
    <row r="32" spans="1:3" x14ac:dyDescent="0.25">
      <c r="A32" s="80" t="s">
        <v>51</v>
      </c>
    </row>
    <row r="33" spans="1:4" x14ac:dyDescent="0.25">
      <c r="A33" s="85" t="s">
        <v>52</v>
      </c>
      <c r="B33" s="82">
        <f>-SUMIFS(Table1[Teprica],Table1[Cash Flow Schedule],$A33,Table1[Period],'Pasqyra Cashflow-indirekte'!B$1)</f>
        <v>100000</v>
      </c>
      <c r="C33" s="82">
        <f>-SUMIFS(Table1[Teprica],Table1[Cash Flow Schedule],$A33,Table1[Period],'Pasqyra Cashflow-indirekte'!C$1)</f>
        <v>0</v>
      </c>
    </row>
    <row r="34" spans="1:4" x14ac:dyDescent="0.25">
      <c r="A34" s="85" t="s">
        <v>53</v>
      </c>
      <c r="B34" s="82">
        <f>-SUMIFS(Table1[Teprica],Table1[Cash Flow Schedule],$A34,Table1[Period],'Pasqyra Cashflow-indirekte'!B$1)</f>
        <v>0</v>
      </c>
      <c r="C34" s="82">
        <f>-SUMIFS(Table1[Teprica],Table1[Cash Flow Schedule],$A34,Table1[Period],'Pasqyra Cashflow-indirekte'!C$1)</f>
        <v>0</v>
      </c>
    </row>
    <row r="35" spans="1:4" x14ac:dyDescent="0.25">
      <c r="A35" s="85" t="s">
        <v>54</v>
      </c>
      <c r="B35" s="82">
        <f>-SUMIFS(Table1[Teprica],Table1[Cash Flow Schedule],$A35,Table1[Period],'Pasqyra Cashflow-indirekte'!B$1)</f>
        <v>0</v>
      </c>
      <c r="C35" s="82">
        <f>-SUMIFS(Table1[Teprica],Table1[Cash Flow Schedule],$A35,Table1[Period],'Pasqyra Cashflow-indirekte'!C$1)</f>
        <v>0</v>
      </c>
    </row>
    <row r="36" spans="1:4" x14ac:dyDescent="0.25">
      <c r="A36" s="85" t="s">
        <v>55</v>
      </c>
      <c r="B36" s="82">
        <f>-SUMIFS(Table1[Teprica],Table1[Cash Flow Schedule],$A36,Table1[Period],'Pasqyra Cashflow-indirekte'!B$1)</f>
        <v>0</v>
      </c>
      <c r="C36" s="82">
        <f>-SUMIFS(Table1[Teprica],Table1[Cash Flow Schedule],$A36,Table1[Period],'Pasqyra Cashflow-indirekte'!C$1)</f>
        <v>0</v>
      </c>
    </row>
    <row r="37" spans="1:4" x14ac:dyDescent="0.25">
      <c r="A37" s="85" t="s">
        <v>27</v>
      </c>
      <c r="B37" s="82">
        <f>-SUMIFS(Table1[Teprica],Table1[Cash Flow Schedule],$A37,Table1[Period],'Pasqyra Cashflow-indirekte'!B$1)</f>
        <v>0</v>
      </c>
      <c r="C37" s="82">
        <f>-SUMIFS(Table1[Teprica],Table1[Cash Flow Schedule],$A37,Table1[Period],'Pasqyra Cashflow-indirekte'!C$1)</f>
        <v>0</v>
      </c>
    </row>
    <row r="38" spans="1:4" x14ac:dyDescent="0.25">
      <c r="A38" s="85" t="s">
        <v>173</v>
      </c>
      <c r="B38" s="82">
        <f>-SUMIFS(Table1[Teprica],Table1[Cash Flow Schedule],$A38,Table1[Period],'Pasqyra Cashflow-indirekte'!B$1)</f>
        <v>0</v>
      </c>
      <c r="C38" s="82">
        <f>-SUMIFS(Table1[Teprica],Table1[Cash Flow Schedule],$A38,Table1[Period],'Pasqyra Cashflow-indirekte'!C$1)</f>
        <v>0</v>
      </c>
    </row>
    <row r="39" spans="1:4" x14ac:dyDescent="0.25">
      <c r="A39" s="80" t="s">
        <v>57</v>
      </c>
      <c r="B39" s="94">
        <f>SUM(B33:B38)</f>
        <v>100000</v>
      </c>
      <c r="C39" s="94">
        <f>SUM(C33:C38)</f>
        <v>0</v>
      </c>
    </row>
    <row r="40" spans="1:4" x14ac:dyDescent="0.25">
      <c r="A40" s="86"/>
    </row>
    <row r="41" spans="1:4" x14ac:dyDescent="0.25">
      <c r="A41" s="80" t="s">
        <v>58</v>
      </c>
      <c r="B41" s="94">
        <f>SUM(B22,B30,B39)</f>
        <v>513068.01600000192</v>
      </c>
      <c r="C41" s="94">
        <f>SUM(C22,C30,C39)</f>
        <v>0</v>
      </c>
    </row>
    <row r="42" spans="1:4" x14ac:dyDescent="0.25">
      <c r="A42" s="87" t="s">
        <v>59</v>
      </c>
      <c r="B42" s="88">
        <f>'Pasqyra e Pozicionit Financiar'!$C$7</f>
        <v>0</v>
      </c>
      <c r="C42" s="88">
        <v>0</v>
      </c>
    </row>
    <row r="43" spans="1:4" x14ac:dyDescent="0.25">
      <c r="A43" s="89" t="s">
        <v>60</v>
      </c>
      <c r="B43" s="94">
        <f>SUM(B41:B42)</f>
        <v>513068.01600000192</v>
      </c>
      <c r="C43" s="94">
        <f>SUM(C41:C42)</f>
        <v>0</v>
      </c>
    </row>
    <row r="44" spans="1:4" x14ac:dyDescent="0.25">
      <c r="A44" s="90"/>
    </row>
    <row r="45" spans="1:4" s="97" customFormat="1" x14ac:dyDescent="0.25">
      <c r="A45" s="95" t="s">
        <v>171</v>
      </c>
      <c r="B45" s="96">
        <f>'Pasqyra e Pozicionit Financiar'!B7</f>
        <v>513068.01599999703</v>
      </c>
      <c r="C45" s="96">
        <f>'Pasqyra e Pozicionit Financiar'!C7</f>
        <v>0</v>
      </c>
    </row>
    <row r="46" spans="1:4" s="97" customFormat="1" x14ac:dyDescent="0.25">
      <c r="A46" s="95"/>
      <c r="B46" s="98">
        <f>B43-B45</f>
        <v>4.8894435167312622E-9</v>
      </c>
      <c r="C46" s="98">
        <f>C43-C45</f>
        <v>0</v>
      </c>
    </row>
    <row r="47" spans="1:4" x14ac:dyDescent="0.25">
      <c r="B47" s="91"/>
      <c r="C47" s="91"/>
      <c r="D47" s="91"/>
    </row>
  </sheetData>
  <mergeCells count="1">
    <mergeCell ref="A2:A3"/>
  </mergeCells>
  <conditionalFormatting sqref="A6:A43">
    <cfRule type="duplicateValues" dxfId="60" priority="1"/>
  </conditionalFormatting>
  <pageMargins left="0.7" right="0.7" top="0.75" bottom="0.75" header="0.3" footer="0.3"/>
  <pageSetup scale="85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FB67-9168-45FB-8694-CCF9E0BDBDA7}">
  <dimension ref="A1:M16"/>
  <sheetViews>
    <sheetView tabSelected="1" zoomScale="80" zoomScaleNormal="80" workbookViewId="0">
      <pane ySplit="1" topLeftCell="A2" activePane="bottomLeft" state="frozen"/>
      <selection activeCell="L10" sqref="L10"/>
      <selection pane="bottomLeft" activeCell="G42" sqref="G42"/>
    </sheetView>
  </sheetViews>
  <sheetFormatPr defaultRowHeight="15" x14ac:dyDescent="0.25"/>
  <cols>
    <col min="1" max="1" width="10.28515625" style="38" bestFit="1" customWidth="1"/>
    <col min="2" max="2" width="48.7109375" style="38" bestFit="1" customWidth="1"/>
    <col min="3" max="3" width="20.7109375" style="41" bestFit="1" customWidth="1"/>
    <col min="4" max="5" width="15.140625" style="41" bestFit="1" customWidth="1"/>
    <col min="6" max="6" width="15.85546875" style="41" bestFit="1" customWidth="1"/>
    <col min="7" max="7" width="20" style="41" bestFit="1" customWidth="1"/>
    <col min="8" max="8" width="9.5703125" style="42" bestFit="1" customWidth="1"/>
    <col min="9" max="9" width="14.85546875" style="38" bestFit="1" customWidth="1"/>
    <col min="10" max="10" width="71.42578125" style="38" bestFit="1" customWidth="1"/>
    <col min="11" max="11" width="79.140625" style="38" bestFit="1" customWidth="1"/>
    <col min="12" max="12" width="42.140625" style="38" bestFit="1" customWidth="1"/>
    <col min="13" max="13" width="14.28515625" style="38" bestFit="1" customWidth="1"/>
    <col min="14" max="16384" width="9.140625" style="38"/>
  </cols>
  <sheetData>
    <row r="1" spans="1:13" x14ac:dyDescent="0.25">
      <c r="A1" s="46" t="s">
        <v>130</v>
      </c>
      <c r="B1" s="46" t="s">
        <v>131</v>
      </c>
      <c r="C1" s="47" t="s">
        <v>132</v>
      </c>
      <c r="D1" s="47" t="s">
        <v>134</v>
      </c>
      <c r="E1" s="47" t="s">
        <v>135</v>
      </c>
      <c r="F1" s="47" t="s">
        <v>136</v>
      </c>
      <c r="G1" s="47" t="s">
        <v>133</v>
      </c>
      <c r="H1" s="48" t="s">
        <v>166</v>
      </c>
      <c r="I1" s="47" t="s">
        <v>167</v>
      </c>
      <c r="J1" s="47" t="s">
        <v>170</v>
      </c>
      <c r="K1" s="47" t="s">
        <v>172</v>
      </c>
      <c r="L1" s="47" t="s">
        <v>174</v>
      </c>
      <c r="M1" s="47" t="s">
        <v>214</v>
      </c>
    </row>
    <row r="2" spans="1:13" x14ac:dyDescent="0.25">
      <c r="A2" s="39" t="s">
        <v>137</v>
      </c>
      <c r="B2" s="39" t="s">
        <v>138</v>
      </c>
      <c r="C2" s="44">
        <v>0</v>
      </c>
      <c r="D2" s="44">
        <v>0</v>
      </c>
      <c r="E2" s="44">
        <v>100000</v>
      </c>
      <c r="F2" s="44">
        <v>-100000</v>
      </c>
      <c r="G2" s="44">
        <v>-100000</v>
      </c>
      <c r="H2" s="43">
        <v>2020</v>
      </c>
      <c r="I2" s="51" t="str">
        <f>VLOOKUP(Table1[[#This Row],[Nr.Llog]],Table2[],9,0)</f>
        <v>BS</v>
      </c>
      <c r="J2" s="51" t="str">
        <f>VLOOKUP(Table1[[#This Row],[Nr.Llog]],Table2[],10,0)</f>
        <v>Kapitali i pronarit</v>
      </c>
      <c r="K2" s="77" t="str">
        <f>VLOOKUP(Table1[[#This Row],[Nr.Llog]],Table2[],11,0)</f>
        <v>Arketime nga emetimi i kapitalit te nenshkruar</v>
      </c>
      <c r="L2" s="51" t="str">
        <f>VLOOKUP(Table1[[#This Row],[Nr.Llog]],Table2[],12,0)</f>
        <v xml:space="preserve">Kapitali i nenshkruar </v>
      </c>
      <c r="M2" s="126">
        <f>VLOOKUP(Table1[[#This Row],[Nr.Llog]],Table2[],13,0)</f>
        <v>0</v>
      </c>
    </row>
    <row r="3" spans="1:13" x14ac:dyDescent="0.25">
      <c r="A3" s="39" t="s">
        <v>139</v>
      </c>
      <c r="B3" s="39" t="s">
        <v>194</v>
      </c>
      <c r="C3" s="44">
        <v>0</v>
      </c>
      <c r="D3" s="44">
        <v>5727025</v>
      </c>
      <c r="E3" s="44">
        <v>5727025</v>
      </c>
      <c r="F3" s="44">
        <v>0</v>
      </c>
      <c r="G3" s="44">
        <v>0</v>
      </c>
      <c r="H3" s="43">
        <v>2020</v>
      </c>
      <c r="I3" s="51" t="str">
        <f>VLOOKUP(Table1[[#This Row],[Nr.Llog]],Table2[],9,0)</f>
        <v>BS</v>
      </c>
      <c r="J3" s="51" t="str">
        <f>VLOOKUP(Table1[[#This Row],[Nr.Llog]],Table2[],10,0)</f>
        <v>Kerkesa te arketueshme afatshkurtra</v>
      </c>
      <c r="K3" s="77" t="str">
        <f>VLOOKUP(Table1[[#This Row],[Nr.Llog]],Table2[],11,0)</f>
        <v>Renie/(Rritje) ne kerkesat e arketueshme nga aktiviteti dhe kerkesa te tjera</v>
      </c>
      <c r="L3" s="51" t="str">
        <f>VLOOKUP(Table1[[#This Row],[Nr.Llog]],Table2[],12,0)</f>
        <v>Kliente</v>
      </c>
      <c r="M3" s="126">
        <f>VLOOKUP(Table1[[#This Row],[Nr.Llog]],Table2[],13,0)</f>
        <v>0</v>
      </c>
    </row>
    <row r="4" spans="1:13" x14ac:dyDescent="0.25">
      <c r="A4" s="39" t="s">
        <v>140</v>
      </c>
      <c r="B4" s="39" t="s">
        <v>195</v>
      </c>
      <c r="C4" s="44">
        <v>0</v>
      </c>
      <c r="D4" s="44">
        <v>347101.59</v>
      </c>
      <c r="E4" s="44">
        <v>347101.58730000001</v>
      </c>
      <c r="F4" s="44">
        <v>2.7000000118277967E-3</v>
      </c>
      <c r="G4" s="44">
        <v>2.7000000118277967E-3</v>
      </c>
      <c r="H4" s="43">
        <v>2020</v>
      </c>
      <c r="I4" s="51" t="str">
        <f>VLOOKUP(Table1[[#This Row],[Nr.Llog]],Table2[],9,0)</f>
        <v>BS</v>
      </c>
      <c r="J4" s="51" t="str">
        <f>VLOOKUP(Table1[[#This Row],[Nr.Llog]],Table2[],10,0)</f>
        <v>Kerkesa te arketueshme afatshkurtra</v>
      </c>
      <c r="K4" s="77" t="str">
        <f>VLOOKUP(Table1[[#This Row],[Nr.Llog]],Table2[],11,0)</f>
        <v>Renie/(Rritje) ne kerkesat e arketueshme nga aktiviteti dhe kerkesa te tjera</v>
      </c>
      <c r="L4" s="51" t="str">
        <f>VLOOKUP(Table1[[#This Row],[Nr.Llog]],Table2[],12,0)</f>
        <v>Kliente</v>
      </c>
      <c r="M4" s="126">
        <f>VLOOKUP(Table1[[#This Row],[Nr.Llog]],Table2[],13,0)</f>
        <v>0</v>
      </c>
    </row>
    <row r="5" spans="1:13" x14ac:dyDescent="0.25">
      <c r="A5" s="39" t="s">
        <v>141</v>
      </c>
      <c r="B5" s="39" t="s">
        <v>196</v>
      </c>
      <c r="C5" s="44">
        <v>0</v>
      </c>
      <c r="D5" s="44">
        <v>31793.94</v>
      </c>
      <c r="E5" s="44">
        <v>31793.944</v>
      </c>
      <c r="F5" s="44">
        <v>-4.0000000008149073E-3</v>
      </c>
      <c r="G5" s="44">
        <v>-4.0000000008149073E-3</v>
      </c>
      <c r="H5" s="43">
        <v>2020</v>
      </c>
      <c r="I5" s="51" t="str">
        <f>VLOOKUP(Table1[[#This Row],[Nr.Llog]],Table2[],9,0)</f>
        <v>BS</v>
      </c>
      <c r="J5" s="51" t="str">
        <f>VLOOKUP(Table1[[#This Row],[Nr.Llog]],Table2[],10,0)</f>
        <v>Kerkesa te arketueshme afatshkurtra</v>
      </c>
      <c r="K5" s="77" t="str">
        <f>VLOOKUP(Table1[[#This Row],[Nr.Llog]],Table2[],11,0)</f>
        <v>Renie/(Rritje) ne kerkesat e arketueshme nga aktiviteti dhe kerkesa te tjera</v>
      </c>
      <c r="L5" s="51" t="str">
        <f>VLOOKUP(Table1[[#This Row],[Nr.Llog]],Table2[],12,0)</f>
        <v>Kliente</v>
      </c>
      <c r="M5" s="126">
        <f>VLOOKUP(Table1[[#This Row],[Nr.Llog]],Table2[],13,0)</f>
        <v>0</v>
      </c>
    </row>
    <row r="6" spans="1:13" x14ac:dyDescent="0.25">
      <c r="A6" s="39" t="s">
        <v>197</v>
      </c>
      <c r="B6" s="39" t="s">
        <v>198</v>
      </c>
      <c r="C6" s="44">
        <v>0</v>
      </c>
      <c r="D6" s="44">
        <v>327010.06559999997</v>
      </c>
      <c r="E6" s="44">
        <v>1550370</v>
      </c>
      <c r="F6" s="44">
        <v>-1223359.9344000001</v>
      </c>
      <c r="G6" s="44">
        <v>-1223359.9344000001</v>
      </c>
      <c r="H6" s="43">
        <v>2020</v>
      </c>
      <c r="I6" s="51" t="str">
        <f>VLOOKUP(Table1[[#This Row],[Nr.Llog]],Table2[],9,0)</f>
        <v>BS</v>
      </c>
      <c r="J6" s="51" t="str">
        <f>VLOOKUP(Table1[[#This Row],[Nr.Llog]],Table2[],10,0)</f>
        <v>Te pagueshme ndaj punonjesve, kontribute dhe te tjera te ngjashme</v>
      </c>
      <c r="K6" s="77" t="str">
        <f>VLOOKUP(Table1[[#This Row],[Nr.Llog]],Table2[],11,0)</f>
        <v>Rritje/(Renie) ne detyrime te pagueshme</v>
      </c>
      <c r="L6" s="51" t="str">
        <f>VLOOKUP(Table1[[#This Row],[Nr.Llog]],Table2[],12,0)</f>
        <v>Punonjesit</v>
      </c>
      <c r="M6" s="126">
        <f>VLOOKUP(Table1[[#This Row],[Nr.Llog]],Table2[],13,0)</f>
        <v>0</v>
      </c>
    </row>
    <row r="7" spans="1:13" x14ac:dyDescent="0.25">
      <c r="A7" s="39" t="s">
        <v>142</v>
      </c>
      <c r="B7" s="39" t="s">
        <v>143</v>
      </c>
      <c r="C7" s="44">
        <v>0</v>
      </c>
      <c r="D7" s="44">
        <v>306307.27719999995</v>
      </c>
      <c r="E7" s="44">
        <v>483026</v>
      </c>
      <c r="F7" s="44">
        <v>-176718.72280000005</v>
      </c>
      <c r="G7" s="44">
        <v>-176718.72280000005</v>
      </c>
      <c r="H7" s="43">
        <v>2020</v>
      </c>
      <c r="I7" s="51" t="str">
        <f>VLOOKUP(Table1[[#This Row],[Nr.Llog]],Table2[],9,0)</f>
        <v>BS</v>
      </c>
      <c r="J7" s="51" t="str">
        <f>VLOOKUP(Table1[[#This Row],[Nr.Llog]],Table2[],10,0)</f>
        <v>Te pagueshme ndaj punonjesve, kontribute dhe te tjera te ngjashme</v>
      </c>
      <c r="K7" s="77" t="str">
        <f>VLOOKUP(Table1[[#This Row],[Nr.Llog]],Table2[],11,0)</f>
        <v>Rritje/(Renie) ne detyrime te pagueshme</v>
      </c>
      <c r="L7" s="51" t="str">
        <f>VLOOKUP(Table1[[#This Row],[Nr.Llog]],Table2[],12,0)</f>
        <v>Sigurime Shoqerore dhe shendetesore</v>
      </c>
      <c r="M7" s="126">
        <f>VLOOKUP(Table1[[#This Row],[Nr.Llog]],Table2[],13,0)</f>
        <v>0</v>
      </c>
    </row>
    <row r="8" spans="1:13" x14ac:dyDescent="0.25">
      <c r="A8" s="39" t="s">
        <v>199</v>
      </c>
      <c r="B8" s="39" t="s">
        <v>200</v>
      </c>
      <c r="C8" s="44">
        <v>0</v>
      </c>
      <c r="D8" s="44">
        <v>5063986.2957000006</v>
      </c>
      <c r="E8" s="44">
        <v>6311073.4300000006</v>
      </c>
      <c r="F8" s="44">
        <v>-1247087.1343</v>
      </c>
      <c r="G8" s="44">
        <v>-1247087.1343</v>
      </c>
      <c r="H8" s="43">
        <v>2020</v>
      </c>
      <c r="I8" s="51" t="str">
        <f>VLOOKUP(Table1[[#This Row],[Nr.Llog]],Table2[],9,0)</f>
        <v>BS</v>
      </c>
      <c r="J8" s="51" t="str">
        <f>VLOOKUP(Table1[[#This Row],[Nr.Llog]],Table2[],10,0)</f>
        <v>Te tjera te arketueshme</v>
      </c>
      <c r="K8" s="77" t="str">
        <f>VLOOKUP(Table1[[#This Row],[Nr.Llog]],Table2[],11,0)</f>
        <v>Renie/(Rritje) ne kerkesat e arketueshme nga aktiviteti dhe kerkesa te tjera</v>
      </c>
      <c r="L8" s="51" t="str">
        <f>VLOOKUP(Table1[[#This Row],[Nr.Llog]],Table2[],12,0)</f>
        <v>Debitore te tjere dhe kreditore te tjere</v>
      </c>
      <c r="M8" s="126">
        <f>VLOOKUP(Table1[[#This Row],[Nr.Llog]],Table2[],13,0)</f>
        <v>0</v>
      </c>
    </row>
    <row r="9" spans="1:13" x14ac:dyDescent="0.25">
      <c r="A9" s="39" t="s">
        <v>144</v>
      </c>
      <c r="B9" s="39" t="s">
        <v>201</v>
      </c>
      <c r="C9" s="44">
        <v>0</v>
      </c>
      <c r="D9" s="44">
        <v>6316892.5103000021</v>
      </c>
      <c r="E9" s="44">
        <v>5803824.494300005</v>
      </c>
      <c r="F9" s="44">
        <v>513068.01599999703</v>
      </c>
      <c r="G9" s="44">
        <v>513068.01599999703</v>
      </c>
      <c r="H9" s="43">
        <v>2020</v>
      </c>
      <c r="I9" s="51" t="str">
        <f>VLOOKUP(Table1[[#This Row],[Nr.Llog]],Table2[],9,0)</f>
        <v>BS</v>
      </c>
      <c r="J9" s="51" t="str">
        <f>VLOOKUP(Table1[[#This Row],[Nr.Llog]],Table2[],10,0)</f>
        <v>Mjete monetare</v>
      </c>
      <c r="K9" s="77">
        <f>VLOOKUP(Table1[[#This Row],[Nr.Llog]],Table2[],11,0)</f>
        <v>0</v>
      </c>
      <c r="L9" s="51" t="str">
        <f>VLOOKUP(Table1[[#This Row],[Nr.Llog]],Table2[],12,0)</f>
        <v>Mjete monetare ne Eur</v>
      </c>
      <c r="M9" s="126">
        <f>VLOOKUP(Table1[[#This Row],[Nr.Llog]],Table2[],13,0)</f>
        <v>0</v>
      </c>
    </row>
    <row r="10" spans="1:13" x14ac:dyDescent="0.25">
      <c r="A10" s="39" t="s">
        <v>146</v>
      </c>
      <c r="B10" s="39" t="s">
        <v>147</v>
      </c>
      <c r="C10" s="44">
        <v>0</v>
      </c>
      <c r="D10" s="44">
        <v>43663.765599999992</v>
      </c>
      <c r="E10" s="44">
        <v>0</v>
      </c>
      <c r="F10" s="44">
        <v>43663.765599999992</v>
      </c>
      <c r="G10" s="44">
        <v>43663.765599999992</v>
      </c>
      <c r="H10" s="43">
        <v>2020</v>
      </c>
      <c r="I10" s="51" t="str">
        <f>VLOOKUP(Table1[[#This Row],[Nr.Llog]],Table2[],9,0)</f>
        <v>PL</v>
      </c>
      <c r="J10" s="51" t="str">
        <f>VLOOKUP(Table1[[#This Row],[Nr.Llog]],Table2[],10,0)</f>
        <v>Shpenzime te tjera nga veprimtarite e shfrytezimit</v>
      </c>
      <c r="K10" s="77" t="str">
        <f>VLOOKUP(Table1[[#This Row],[Nr.Llog]],Table2[],11,0)</f>
        <v>Fitimi/(Humbja) perpara tatimit</v>
      </c>
      <c r="L10" s="51" t="str">
        <f>VLOOKUP(Table1[[#This Row],[Nr.Llog]],Table2[],12,0)</f>
        <v>Shpenzime per sherbime bankare</v>
      </c>
      <c r="M10" s="126" t="str">
        <f>VLOOKUP(Table1[[#This Row],[Nr.Llog]],Table2[],13,0)</f>
        <v>Shpenzimet</v>
      </c>
    </row>
    <row r="11" spans="1:13" x14ac:dyDescent="0.25">
      <c r="A11" s="39" t="s">
        <v>148</v>
      </c>
      <c r="B11" s="39" t="s">
        <v>149</v>
      </c>
      <c r="C11" s="44">
        <v>0</v>
      </c>
      <c r="D11" s="44">
        <v>1744273</v>
      </c>
      <c r="E11" s="44">
        <v>0</v>
      </c>
      <c r="F11" s="44">
        <v>1744273</v>
      </c>
      <c r="G11" s="44">
        <v>1744273</v>
      </c>
      <c r="H11" s="43">
        <v>2020</v>
      </c>
      <c r="I11" s="51" t="str">
        <f>VLOOKUP(Table1[[#This Row],[Nr.Llog]],Table2[],9,0)</f>
        <v>PL</v>
      </c>
      <c r="J11" s="51" t="str">
        <f>VLOOKUP(Table1[[#This Row],[Nr.Llog]],Table2[],10,0)</f>
        <v>Pagat</v>
      </c>
      <c r="K11" s="77" t="str">
        <f>VLOOKUP(Table1[[#This Row],[Nr.Llog]],Table2[],11,0)</f>
        <v>Fitimi/(Humbja) perpara tatimit</v>
      </c>
      <c r="L11" s="51" t="str">
        <f>VLOOKUP(Table1[[#This Row],[Nr.Llog]],Table2[],12,0)</f>
        <v>Pagat dhe shperblimet e personelit</v>
      </c>
      <c r="M11" s="126" t="str">
        <f>VLOOKUP(Table1[[#This Row],[Nr.Llog]],Table2[],13,0)</f>
        <v>Shpenzimet</v>
      </c>
    </row>
    <row r="12" spans="1:13" x14ac:dyDescent="0.25">
      <c r="A12" s="39" t="s">
        <v>150</v>
      </c>
      <c r="B12" s="39" t="s">
        <v>151</v>
      </c>
      <c r="C12" s="44">
        <v>0</v>
      </c>
      <c r="D12" s="44">
        <v>289123</v>
      </c>
      <c r="E12" s="44">
        <v>0</v>
      </c>
      <c r="F12" s="44">
        <v>289123</v>
      </c>
      <c r="G12" s="44">
        <v>289123</v>
      </c>
      <c r="H12" s="43">
        <v>2020</v>
      </c>
      <c r="I12" s="51" t="str">
        <f>VLOOKUP(Table1[[#This Row],[Nr.Llog]],Table2[],9,0)</f>
        <v>PL</v>
      </c>
      <c r="J12" s="51" t="str">
        <f>VLOOKUP(Table1[[#This Row],[Nr.Llog]],Table2[],10,0)</f>
        <v>Shpenzimet e sigurimeve shoqerore dhe shendetsore</v>
      </c>
      <c r="K12" s="77" t="str">
        <f>VLOOKUP(Table1[[#This Row],[Nr.Llog]],Table2[],11,0)</f>
        <v>Fitimi/(Humbja) perpara tatimit</v>
      </c>
      <c r="L12" s="51" t="str">
        <f>VLOOKUP(Table1[[#This Row],[Nr.Llog]],Table2[],12,0)</f>
        <v>Sigurimet shoqerore dhe shendetesore</v>
      </c>
      <c r="M12" s="126" t="str">
        <f>VLOOKUP(Table1[[#This Row],[Nr.Llog]],Table2[],13,0)</f>
        <v>Shpenzimet</v>
      </c>
    </row>
    <row r="13" spans="1:13" x14ac:dyDescent="0.25">
      <c r="A13" s="39" t="s">
        <v>152</v>
      </c>
      <c r="B13" s="39" t="s">
        <v>153</v>
      </c>
      <c r="C13" s="44">
        <v>0</v>
      </c>
      <c r="D13" s="44">
        <v>162525.21380000003</v>
      </c>
      <c r="E13" s="44">
        <v>0</v>
      </c>
      <c r="F13" s="44">
        <v>162525.21380000003</v>
      </c>
      <c r="G13" s="44">
        <v>162525.21380000003</v>
      </c>
      <c r="H13" s="43">
        <v>2020</v>
      </c>
      <c r="I13" s="51" t="str">
        <f>VLOOKUP(Table1[[#This Row],[Nr.Llog]],Table2[],9,0)</f>
        <v>PL</v>
      </c>
      <c r="J13" s="51" t="str">
        <f>VLOOKUP(Table1[[#This Row],[Nr.Llog]],Table2[],10,0)</f>
        <v>Shpenzime te tjera nga veprimtarite e shfrytezimit</v>
      </c>
      <c r="K13" s="77" t="str">
        <f>VLOOKUP(Table1[[#This Row],[Nr.Llog]],Table2[],11,0)</f>
        <v>Fitimi/(Humbja) perpara tatimit</v>
      </c>
      <c r="L13" s="51" t="str">
        <f>VLOOKUP(Table1[[#This Row],[Nr.Llog]],Table2[],12,0)</f>
        <v>Gjoba dhe demshperblime</v>
      </c>
      <c r="M13" s="126" t="str">
        <f>VLOOKUP(Table1[[#This Row],[Nr.Llog]],Table2[],13,0)</f>
        <v>Shpenzimet</v>
      </c>
    </row>
    <row r="14" spans="1:13" x14ac:dyDescent="0.25">
      <c r="A14" s="39" t="s">
        <v>164</v>
      </c>
      <c r="B14" s="39" t="s">
        <v>165</v>
      </c>
      <c r="C14" s="44">
        <v>0</v>
      </c>
      <c r="D14" s="44">
        <v>331.87639999999999</v>
      </c>
      <c r="E14" s="44">
        <v>0</v>
      </c>
      <c r="F14" s="44">
        <v>331.87639999999999</v>
      </c>
      <c r="G14" s="44">
        <v>331.87639999999999</v>
      </c>
      <c r="H14" s="43">
        <v>2020</v>
      </c>
      <c r="I14" s="51" t="str">
        <f>VLOOKUP(Table1[[#This Row],[Nr.Llog]],Table2[],9,0)</f>
        <v>PL</v>
      </c>
      <c r="J14" s="51" t="str">
        <f>VLOOKUP(Table1[[#This Row],[Nr.Llog]],Table2[],10,0)</f>
        <v>Te ardhurat/(shpenzimet) nga interesi</v>
      </c>
      <c r="K14" s="77" t="str">
        <f>VLOOKUP(Table1[[#This Row],[Nr.Llog]],Table2[],11,0)</f>
        <v>Fitimi/(Humbja) perpara tatimit</v>
      </c>
      <c r="L14" s="51" t="str">
        <f>VLOOKUP(Table1[[#This Row],[Nr.Llog]],Table2[],12,0)</f>
        <v>Te ardhurat/(shpenzimet) nga interesi</v>
      </c>
      <c r="M14" s="126" t="str">
        <f>VLOOKUP(Table1[[#This Row],[Nr.Llog]],Table2[],13,0)</f>
        <v>Shpenzimet</v>
      </c>
    </row>
    <row r="15" spans="1:13" x14ac:dyDescent="0.25">
      <c r="A15" s="39" t="s">
        <v>202</v>
      </c>
      <c r="B15" s="39" t="s">
        <v>156</v>
      </c>
      <c r="C15" s="126">
        <v>0</v>
      </c>
      <c r="D15" s="126">
        <v>0</v>
      </c>
      <c r="E15" s="126">
        <v>5819.0790000015404</v>
      </c>
      <c r="F15" s="126">
        <v>-5819.0790000015404</v>
      </c>
      <c r="G15" s="126">
        <v>-5819.0790000015404</v>
      </c>
      <c r="H15" s="43">
        <v>2020</v>
      </c>
      <c r="I15" s="51" t="str">
        <f>VLOOKUP(Table1[[#This Row],[Nr.Llog]],Table2[],9,0)</f>
        <v>PL</v>
      </c>
      <c r="J15" s="51" t="str">
        <f>VLOOKUP(Table1[[#This Row],[Nr.Llog]],Table2[],10,0)</f>
        <v>Fitime/(humbje) nga kurset e kembimit</v>
      </c>
      <c r="K15" s="51" t="str">
        <f>VLOOKUP(Table1[[#This Row],[Nr.Llog]],Table2[],11,0)</f>
        <v>Fitimi/(Humbja) perpara tatimit</v>
      </c>
      <c r="L15" s="51" t="str">
        <f>VLOOKUP(Table1[[#This Row],[Nr.Llog]],Table2[],12,0)</f>
        <v>Fitim nga kembimet valutore</v>
      </c>
      <c r="M15" s="126" t="str">
        <f>VLOOKUP(Table1[[#This Row],[Nr.Llog]],Table2[],13,0)</f>
        <v>Te ardhurat</v>
      </c>
    </row>
    <row r="16" spans="1:13" x14ac:dyDescent="0.25">
      <c r="A16" s="112" t="s">
        <v>186</v>
      </c>
      <c r="B16" s="112"/>
      <c r="C16" s="114"/>
      <c r="D16" s="114"/>
      <c r="E16" s="114"/>
      <c r="F16" s="114"/>
      <c r="G16" s="113">
        <f>SUBTOTAL(109,Table1[Gjendje ne Fund])</f>
        <v>-4.3737600208260119E-9</v>
      </c>
      <c r="H16" s="115"/>
      <c r="I16" s="116"/>
      <c r="J16" s="116"/>
      <c r="K16" s="116"/>
      <c r="L16" s="116">
        <f>SUBTOTAL(103,Table1[Notes])</f>
        <v>14</v>
      </c>
      <c r="M16" s="112"/>
    </row>
  </sheetData>
  <conditionalFormatting sqref="G2:G15">
    <cfRule type="cellIs" dxfId="59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477F-201B-4C72-AF40-FF37EC10DEBE}">
  <dimension ref="A1:M16"/>
  <sheetViews>
    <sheetView topLeftCell="D1" zoomScale="80" zoomScaleNormal="80" workbookViewId="0">
      <pane ySplit="1" topLeftCell="A2" activePane="bottomLeft" state="frozen"/>
      <selection activeCell="L10" sqref="L10"/>
      <selection pane="bottomLeft" activeCell="L10" sqref="L10"/>
    </sheetView>
  </sheetViews>
  <sheetFormatPr defaultRowHeight="15" x14ac:dyDescent="0.25"/>
  <cols>
    <col min="1" max="1" width="10.28515625" style="38" bestFit="1" customWidth="1"/>
    <col min="2" max="2" width="48.7109375" style="38" bestFit="1" customWidth="1"/>
    <col min="3" max="3" width="20.7109375" style="45" bestFit="1" customWidth="1"/>
    <col min="4" max="5" width="15.140625" style="45" bestFit="1" customWidth="1"/>
    <col min="6" max="6" width="15.85546875" style="45" bestFit="1" customWidth="1"/>
    <col min="7" max="7" width="20" style="45" bestFit="1" customWidth="1"/>
    <col min="8" max="8" width="9.5703125" style="38" bestFit="1" customWidth="1"/>
    <col min="9" max="9" width="13.42578125" style="38" bestFit="1" customWidth="1"/>
    <col min="10" max="10" width="70" style="38" bestFit="1" customWidth="1"/>
    <col min="11" max="11" width="77.7109375" style="38" bestFit="1" customWidth="1"/>
    <col min="12" max="12" width="49.140625" style="38" bestFit="1" customWidth="1"/>
    <col min="13" max="13" width="12.7109375" style="38" bestFit="1" customWidth="1"/>
    <col min="14" max="16384" width="9.140625" style="38"/>
  </cols>
  <sheetData>
    <row r="1" spans="1:13" x14ac:dyDescent="0.25">
      <c r="A1" s="46" t="s">
        <v>130</v>
      </c>
      <c r="B1" s="46" t="s">
        <v>131</v>
      </c>
      <c r="C1" s="49" t="s">
        <v>132</v>
      </c>
      <c r="D1" s="49" t="s">
        <v>134</v>
      </c>
      <c r="E1" s="49" t="s">
        <v>135</v>
      </c>
      <c r="F1" s="49" t="s">
        <v>136</v>
      </c>
      <c r="G1" s="49" t="s">
        <v>133</v>
      </c>
      <c r="H1" s="50" t="s">
        <v>166</v>
      </c>
      <c r="I1" s="50" t="s">
        <v>167</v>
      </c>
      <c r="J1" s="50" t="s">
        <v>170</v>
      </c>
      <c r="K1" s="50" t="s">
        <v>172</v>
      </c>
      <c r="L1" s="50" t="s">
        <v>174</v>
      </c>
      <c r="M1" s="50" t="s">
        <v>213</v>
      </c>
    </row>
    <row r="2" spans="1:13" x14ac:dyDescent="0.25">
      <c r="A2" s="39" t="s">
        <v>137</v>
      </c>
      <c r="B2" s="39" t="s">
        <v>138</v>
      </c>
      <c r="C2" s="44">
        <v>0</v>
      </c>
      <c r="D2" s="44">
        <v>0</v>
      </c>
      <c r="E2" s="44">
        <v>100000</v>
      </c>
      <c r="F2" s="44">
        <v>-100000</v>
      </c>
      <c r="G2" s="44">
        <v>-100000</v>
      </c>
      <c r="H2" s="38">
        <v>2020</v>
      </c>
      <c r="I2" s="38" t="s">
        <v>168</v>
      </c>
      <c r="J2" s="122" t="s">
        <v>114</v>
      </c>
      <c r="K2" s="38" t="s">
        <v>52</v>
      </c>
      <c r="L2" s="38" t="s">
        <v>190</v>
      </c>
    </row>
    <row r="3" spans="1:13" x14ac:dyDescent="0.25">
      <c r="A3" s="39" t="s">
        <v>139</v>
      </c>
      <c r="B3" s="39" t="s">
        <v>194</v>
      </c>
      <c r="C3" s="44">
        <v>0</v>
      </c>
      <c r="D3" s="44">
        <v>0</v>
      </c>
      <c r="E3" s="44">
        <v>5727025</v>
      </c>
      <c r="F3" s="44">
        <v>-5727025</v>
      </c>
      <c r="G3" s="44">
        <v>-5727025</v>
      </c>
      <c r="H3" s="38">
        <v>2020</v>
      </c>
      <c r="I3" s="38" t="s">
        <v>168</v>
      </c>
      <c r="J3" s="122" t="s">
        <v>70</v>
      </c>
      <c r="K3" s="38" t="s">
        <v>104</v>
      </c>
      <c r="L3" s="38" t="s">
        <v>181</v>
      </c>
    </row>
    <row r="4" spans="1:13" x14ac:dyDescent="0.25">
      <c r="A4" s="39" t="s">
        <v>140</v>
      </c>
      <c r="B4" s="39" t="s">
        <v>195</v>
      </c>
      <c r="C4" s="44">
        <v>0</v>
      </c>
      <c r="D4" s="44">
        <v>0</v>
      </c>
      <c r="E4" s="44">
        <v>347101.58730000001</v>
      </c>
      <c r="F4" s="44">
        <v>-347101.58730000001</v>
      </c>
      <c r="G4" s="44">
        <v>-347101.58730000001</v>
      </c>
      <c r="H4" s="38">
        <v>2020</v>
      </c>
      <c r="I4" s="38" t="s">
        <v>168</v>
      </c>
      <c r="J4" s="122" t="s">
        <v>70</v>
      </c>
      <c r="K4" s="38" t="s">
        <v>104</v>
      </c>
      <c r="L4" s="38" t="s">
        <v>181</v>
      </c>
    </row>
    <row r="5" spans="1:13" x14ac:dyDescent="0.25">
      <c r="A5" s="39" t="s">
        <v>141</v>
      </c>
      <c r="B5" s="39" t="s">
        <v>196</v>
      </c>
      <c r="C5" s="44">
        <v>0</v>
      </c>
      <c r="D5" s="44">
        <v>0</v>
      </c>
      <c r="E5" s="44">
        <v>31793.944</v>
      </c>
      <c r="F5" s="44">
        <v>-31793.944</v>
      </c>
      <c r="G5" s="44">
        <v>-31793.944</v>
      </c>
      <c r="H5" s="38">
        <v>2020</v>
      </c>
      <c r="I5" s="38" t="s">
        <v>168</v>
      </c>
      <c r="J5" s="122" t="s">
        <v>70</v>
      </c>
      <c r="K5" s="38" t="s">
        <v>104</v>
      </c>
      <c r="L5" s="38" t="s">
        <v>181</v>
      </c>
    </row>
    <row r="6" spans="1:13" x14ac:dyDescent="0.25">
      <c r="A6" s="39" t="s">
        <v>197</v>
      </c>
      <c r="B6" s="39" t="s">
        <v>198</v>
      </c>
      <c r="C6" s="44">
        <v>0</v>
      </c>
      <c r="D6" s="44">
        <v>327010.06559999997</v>
      </c>
      <c r="E6" s="44">
        <v>1550370</v>
      </c>
      <c r="F6" s="44">
        <v>-1223359.9344000001</v>
      </c>
      <c r="G6" s="44">
        <v>-1223359.9344000001</v>
      </c>
      <c r="H6" s="38">
        <v>2020</v>
      </c>
      <c r="I6" s="38" t="s">
        <v>168</v>
      </c>
      <c r="J6" s="122" t="s">
        <v>72</v>
      </c>
      <c r="K6" s="38" t="s">
        <v>44</v>
      </c>
      <c r="L6" s="38" t="s">
        <v>187</v>
      </c>
    </row>
    <row r="7" spans="1:13" x14ac:dyDescent="0.25">
      <c r="A7" s="39" t="s">
        <v>142</v>
      </c>
      <c r="B7" s="39" t="s">
        <v>143</v>
      </c>
      <c r="C7" s="44">
        <v>0</v>
      </c>
      <c r="D7" s="44">
        <v>306307.27719999995</v>
      </c>
      <c r="E7" s="44">
        <v>483026</v>
      </c>
      <c r="F7" s="44">
        <v>-176718.72280000005</v>
      </c>
      <c r="G7" s="44">
        <v>-176718.72280000005</v>
      </c>
      <c r="H7" s="38">
        <v>2020</v>
      </c>
      <c r="I7" s="38" t="s">
        <v>168</v>
      </c>
      <c r="J7" s="122" t="s">
        <v>72</v>
      </c>
      <c r="K7" s="38" t="s">
        <v>44</v>
      </c>
      <c r="L7" s="39" t="s">
        <v>143</v>
      </c>
    </row>
    <row r="8" spans="1:13" x14ac:dyDescent="0.25">
      <c r="A8" s="39" t="s">
        <v>199</v>
      </c>
      <c r="B8" s="39" t="s">
        <v>200</v>
      </c>
      <c r="C8" s="44">
        <v>0</v>
      </c>
      <c r="D8" s="44">
        <v>5063986.2957000006</v>
      </c>
      <c r="E8" s="44">
        <v>205152.9</v>
      </c>
      <c r="F8" s="44">
        <v>4858833.3957000002</v>
      </c>
      <c r="G8" s="44">
        <v>4858833.3957000002</v>
      </c>
      <c r="H8" s="38">
        <v>2020</v>
      </c>
      <c r="I8" s="38" t="s">
        <v>168</v>
      </c>
      <c r="J8" s="122" t="s">
        <v>32</v>
      </c>
      <c r="K8" s="38" t="s">
        <v>104</v>
      </c>
      <c r="L8" s="39" t="s">
        <v>200</v>
      </c>
    </row>
    <row r="9" spans="1:13" x14ac:dyDescent="0.25">
      <c r="A9" s="39" t="s">
        <v>144</v>
      </c>
      <c r="B9" s="39" t="s">
        <v>201</v>
      </c>
      <c r="C9" s="44">
        <v>0</v>
      </c>
      <c r="D9" s="44">
        <v>6311073.4313000003</v>
      </c>
      <c r="E9" s="44">
        <v>5803824.4943000041</v>
      </c>
      <c r="F9" s="44">
        <v>507248.93699999619</v>
      </c>
      <c r="G9" s="44">
        <v>507248.93699999619</v>
      </c>
      <c r="H9" s="38">
        <v>2020</v>
      </c>
      <c r="I9" s="38" t="s">
        <v>168</v>
      </c>
      <c r="J9" s="122" t="s">
        <v>30</v>
      </c>
      <c r="L9" s="124" t="s">
        <v>178</v>
      </c>
    </row>
    <row r="10" spans="1:13" x14ac:dyDescent="0.25">
      <c r="A10" s="39" t="s">
        <v>146</v>
      </c>
      <c r="B10" s="39" t="s">
        <v>147</v>
      </c>
      <c r="C10" s="44">
        <v>0</v>
      </c>
      <c r="D10" s="44">
        <v>43663.765599999992</v>
      </c>
      <c r="E10" s="44">
        <v>0</v>
      </c>
      <c r="F10" s="44">
        <v>43663.765599999992</v>
      </c>
      <c r="G10" s="44">
        <v>43663.765599999992</v>
      </c>
      <c r="H10" s="38">
        <v>2020</v>
      </c>
      <c r="I10" s="38" t="s">
        <v>169</v>
      </c>
      <c r="J10" s="122" t="s">
        <v>123</v>
      </c>
      <c r="K10" s="123" t="s">
        <v>97</v>
      </c>
      <c r="L10" s="38" t="s">
        <v>147</v>
      </c>
      <c r="M10" s="38" t="s">
        <v>205</v>
      </c>
    </row>
    <row r="11" spans="1:13" x14ac:dyDescent="0.25">
      <c r="A11" s="39" t="s">
        <v>148</v>
      </c>
      <c r="B11" s="39" t="s">
        <v>149</v>
      </c>
      <c r="C11" s="44">
        <v>0</v>
      </c>
      <c r="D11" s="44">
        <v>1744273</v>
      </c>
      <c r="E11" s="44">
        <v>0</v>
      </c>
      <c r="F11" s="44">
        <v>1744273</v>
      </c>
      <c r="G11" s="44">
        <v>1744273</v>
      </c>
      <c r="H11" s="38">
        <v>2020</v>
      </c>
      <c r="I11" s="38" t="s">
        <v>169</v>
      </c>
      <c r="J11" s="122" t="s">
        <v>85</v>
      </c>
      <c r="K11" s="123" t="s">
        <v>97</v>
      </c>
      <c r="L11" s="39" t="s">
        <v>149</v>
      </c>
      <c r="M11" s="38" t="s">
        <v>205</v>
      </c>
    </row>
    <row r="12" spans="1:13" x14ac:dyDescent="0.25">
      <c r="A12" s="39" t="s">
        <v>150</v>
      </c>
      <c r="B12" s="39" t="s">
        <v>151</v>
      </c>
      <c r="C12" s="44">
        <v>0</v>
      </c>
      <c r="D12" s="44">
        <v>289123</v>
      </c>
      <c r="E12" s="44">
        <v>0</v>
      </c>
      <c r="F12" s="44">
        <v>289123</v>
      </c>
      <c r="G12" s="44">
        <v>289123</v>
      </c>
      <c r="H12" s="38">
        <v>2020</v>
      </c>
      <c r="I12" s="38" t="s">
        <v>169</v>
      </c>
      <c r="J12" s="122" t="s">
        <v>126</v>
      </c>
      <c r="K12" s="123" t="s">
        <v>97</v>
      </c>
      <c r="L12" s="39" t="s">
        <v>151</v>
      </c>
      <c r="M12" s="38" t="s">
        <v>205</v>
      </c>
    </row>
    <row r="13" spans="1:13" x14ac:dyDescent="0.25">
      <c r="A13" s="39" t="s">
        <v>152</v>
      </c>
      <c r="B13" s="39" t="s">
        <v>153</v>
      </c>
      <c r="C13" s="44">
        <v>0</v>
      </c>
      <c r="D13" s="44">
        <v>162525.21380000003</v>
      </c>
      <c r="E13" s="44">
        <v>0</v>
      </c>
      <c r="F13" s="44">
        <v>162525.21380000003</v>
      </c>
      <c r="G13" s="44">
        <v>162525.21380000003</v>
      </c>
      <c r="H13" s="38">
        <v>2020</v>
      </c>
      <c r="I13" s="38" t="s">
        <v>169</v>
      </c>
      <c r="J13" s="122" t="s">
        <v>123</v>
      </c>
      <c r="K13" s="123" t="s">
        <v>97</v>
      </c>
      <c r="L13" s="38" t="s">
        <v>153</v>
      </c>
      <c r="M13" s="38" t="s">
        <v>205</v>
      </c>
    </row>
    <row r="14" spans="1:13" x14ac:dyDescent="0.25">
      <c r="A14" s="39" t="s">
        <v>164</v>
      </c>
      <c r="B14" s="39" t="s">
        <v>165</v>
      </c>
      <c r="C14" s="44">
        <v>0</v>
      </c>
      <c r="D14" s="44">
        <v>331.87639999999999</v>
      </c>
      <c r="E14" s="44">
        <v>0</v>
      </c>
      <c r="F14" s="44">
        <v>331.87639999999999</v>
      </c>
      <c r="G14" s="44">
        <v>331.87639999999999</v>
      </c>
      <c r="H14" s="38">
        <v>2020</v>
      </c>
      <c r="I14" s="38" t="s">
        <v>169</v>
      </c>
      <c r="J14" s="122" t="s">
        <v>91</v>
      </c>
      <c r="K14" s="123" t="s">
        <v>97</v>
      </c>
      <c r="L14" s="122" t="s">
        <v>91</v>
      </c>
      <c r="M14" s="38" t="s">
        <v>205</v>
      </c>
    </row>
    <row r="15" spans="1:13" x14ac:dyDescent="0.25">
      <c r="A15" s="39" t="s">
        <v>202</v>
      </c>
      <c r="B15" s="39" t="s">
        <v>156</v>
      </c>
      <c r="C15" s="126">
        <v>0</v>
      </c>
      <c r="D15" s="126">
        <v>0</v>
      </c>
      <c r="E15" s="126">
        <v>5819.0790000015404</v>
      </c>
      <c r="F15" s="126">
        <v>-5819.0790000015404</v>
      </c>
      <c r="G15" s="126">
        <v>-5819.0790000015404</v>
      </c>
      <c r="H15" s="43">
        <v>2020</v>
      </c>
      <c r="I15" s="38" t="s">
        <v>169</v>
      </c>
      <c r="J15" s="122" t="s">
        <v>19</v>
      </c>
      <c r="K15" s="123" t="s">
        <v>97</v>
      </c>
      <c r="L15" s="38" t="s">
        <v>156</v>
      </c>
      <c r="M15" s="38" t="s">
        <v>204</v>
      </c>
    </row>
    <row r="16" spans="1:13" x14ac:dyDescent="0.25">
      <c r="A16" s="39" t="s">
        <v>186</v>
      </c>
      <c r="B16" s="39"/>
      <c r="C16" s="43"/>
      <c r="D16" s="43"/>
      <c r="E16" s="43"/>
      <c r="F16" s="43"/>
      <c r="G16" s="40">
        <f>SUBTOTAL(109,Table2[Gjendje ne Fund])</f>
        <v>-5819.0790000052157</v>
      </c>
      <c r="J16" s="122"/>
      <c r="K16" s="125"/>
      <c r="L16" s="125">
        <f>SUBTOTAL(103,Table2[Notes])</f>
        <v>14</v>
      </c>
      <c r="M16" s="136"/>
    </row>
  </sheetData>
  <conditionalFormatting sqref="G1:G14 G16:G1048576">
    <cfRule type="cellIs" dxfId="30" priority="2" operator="lessThan">
      <formula>0</formula>
    </cfRule>
  </conditionalFormatting>
  <conditionalFormatting sqref="G15">
    <cfRule type="cellIs" dxfId="29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8795-C89A-4CCA-9E73-7E56AC4153B0}">
  <dimension ref="A1:D109"/>
  <sheetViews>
    <sheetView topLeftCell="A70" zoomScale="80" zoomScaleNormal="80" workbookViewId="0">
      <selection activeCell="L10" sqref="L10"/>
    </sheetView>
  </sheetViews>
  <sheetFormatPr defaultRowHeight="15" x14ac:dyDescent="0.25"/>
  <cols>
    <col min="1" max="1" width="7.7109375" style="79" customWidth="1"/>
    <col min="2" max="2" width="67" style="107" bestFit="1" customWidth="1"/>
    <col min="3" max="3" width="14.28515625" style="79" bestFit="1" customWidth="1"/>
    <col min="4" max="4" width="12.140625" style="79" bestFit="1" customWidth="1"/>
    <col min="5" max="16384" width="9.140625" style="79"/>
  </cols>
  <sheetData>
    <row r="1" spans="1:4" x14ac:dyDescent="0.25">
      <c r="B1" s="102"/>
      <c r="C1" s="103">
        <v>2020</v>
      </c>
      <c r="D1" s="102">
        <v>2019</v>
      </c>
    </row>
    <row r="2" spans="1:4" x14ac:dyDescent="0.25">
      <c r="B2" s="102"/>
      <c r="C2" s="103"/>
      <c r="D2" s="102"/>
    </row>
    <row r="3" spans="1:4" ht="15.75" thickBot="1" x14ac:dyDescent="0.3">
      <c r="A3" s="79">
        <v>4</v>
      </c>
      <c r="B3" s="102" t="s">
        <v>175</v>
      </c>
      <c r="C3" s="106">
        <v>44196</v>
      </c>
      <c r="D3" s="106">
        <v>43830</v>
      </c>
    </row>
    <row r="4" spans="1:4" x14ac:dyDescent="0.25">
      <c r="B4" s="104" t="s">
        <v>176</v>
      </c>
      <c r="C4" s="108">
        <f>SUMIFS(Table1[Gjendje ne Fund],Table1[Notes],$B4,Table1[Period],Notes!C$1)</f>
        <v>0</v>
      </c>
      <c r="D4" s="108">
        <f>SUMIFS(Table1[Gjendje ne Fund],Table1[Notes],$B4,Table1[Period],Notes!D$1)</f>
        <v>0</v>
      </c>
    </row>
    <row r="5" spans="1:4" x14ac:dyDescent="0.25">
      <c r="B5" s="104" t="s">
        <v>178</v>
      </c>
      <c r="C5" s="108">
        <f>SUMIFS(Table1[Gjendje ne Fund],Table1[Notes],$B5,Table1[Period],Notes!C$1)</f>
        <v>513068.01599999703</v>
      </c>
      <c r="D5" s="108">
        <f>SUMIFS(Table1[Gjendje ne Fund],Table1[Notes],$B5,Table1[Period],Notes!D$1)</f>
        <v>0</v>
      </c>
    </row>
    <row r="6" spans="1:4" ht="15.75" thickBot="1" x14ac:dyDescent="0.3">
      <c r="B6" s="102" t="s">
        <v>177</v>
      </c>
      <c r="C6" s="109">
        <f>SUM(C4:C5)</f>
        <v>513068.01599999703</v>
      </c>
      <c r="D6" s="109">
        <f>SUM(D4:D5)</f>
        <v>0</v>
      </c>
    </row>
    <row r="7" spans="1:4" s="97" customFormat="1" x14ac:dyDescent="0.25">
      <c r="A7" s="79"/>
      <c r="B7" s="111" t="s">
        <v>171</v>
      </c>
      <c r="C7" s="96">
        <f>'Pasqyra e Pozicionit Financiar'!B7-C6</f>
        <v>0</v>
      </c>
      <c r="D7" s="96">
        <f>'Pasqyra e Pozicionit Financiar'!C7-D6</f>
        <v>0</v>
      </c>
    </row>
    <row r="9" spans="1:4" ht="15.75" thickBot="1" x14ac:dyDescent="0.3">
      <c r="A9" s="79">
        <f>A3+1</f>
        <v>5</v>
      </c>
      <c r="B9" s="102" t="s">
        <v>180</v>
      </c>
      <c r="C9" s="105">
        <v>44196</v>
      </c>
      <c r="D9" s="105">
        <v>43830</v>
      </c>
    </row>
    <row r="10" spans="1:4" ht="15.75" thickBot="1" x14ac:dyDescent="0.3">
      <c r="B10" s="104" t="s">
        <v>181</v>
      </c>
      <c r="C10" s="108">
        <f>SUMIFS(Table1[Gjendje ne Fund],Table1[Notes],$B10,Table1[Period],Notes!C$1)</f>
        <v>-1.2999999889871106E-3</v>
      </c>
      <c r="D10" s="108">
        <f>SUMIFS(Table1[Gjendje ne Fund],Table1[Notes],$B10,Table1[Period],Notes!D$1)</f>
        <v>0</v>
      </c>
    </row>
    <row r="11" spans="1:4" ht="15.75" thickBot="1" x14ac:dyDescent="0.3">
      <c r="B11" s="102" t="s">
        <v>179</v>
      </c>
      <c r="C11" s="110">
        <f>SUM(C10)</f>
        <v>-1.2999999889871106E-3</v>
      </c>
      <c r="D11" s="110">
        <f>SUM(D10)</f>
        <v>0</v>
      </c>
    </row>
    <row r="12" spans="1:4" x14ac:dyDescent="0.25">
      <c r="B12" s="111" t="s">
        <v>171</v>
      </c>
      <c r="C12" s="96">
        <f>'Pasqyra e Pozicionit Financiar'!B10-C11</f>
        <v>0</v>
      </c>
      <c r="D12" s="96">
        <f>'Pasqyra e Pozicionit Financiar'!C10-D11</f>
        <v>0</v>
      </c>
    </row>
    <row r="14" spans="1:4" ht="15.75" thickBot="1" x14ac:dyDescent="0.3">
      <c r="A14" s="79">
        <f>A9+1</f>
        <v>6</v>
      </c>
      <c r="B14" s="102" t="s">
        <v>32</v>
      </c>
      <c r="C14" s="105">
        <v>44196</v>
      </c>
      <c r="D14" s="105">
        <v>43830</v>
      </c>
    </row>
    <row r="15" spans="1:4" ht="15.75" thickBot="1" x14ac:dyDescent="0.3">
      <c r="B15" s="104" t="s">
        <v>200</v>
      </c>
      <c r="C15" s="108">
        <f>SUMIFS(Table1[Gjendje ne Fund],Table1[Notes],$B15,Table1[Period],Notes!C$1)</f>
        <v>-1247087.1343</v>
      </c>
      <c r="D15" s="108">
        <f>SUMIFS(Table1[Gjendje ne Fund],Table1[Notes],$B15,Table1[Period],Notes!D$1)</f>
        <v>0</v>
      </c>
    </row>
    <row r="16" spans="1:4" ht="15.75" thickBot="1" x14ac:dyDescent="0.3">
      <c r="B16" s="102" t="s">
        <v>179</v>
      </c>
      <c r="C16" s="110">
        <f>SUM(C15:C15)</f>
        <v>-1247087.1343</v>
      </c>
      <c r="D16" s="110">
        <f>SUM(D15:D15)</f>
        <v>0</v>
      </c>
    </row>
    <row r="17" spans="1:4" x14ac:dyDescent="0.25">
      <c r="B17" s="111" t="s">
        <v>171</v>
      </c>
      <c r="C17" s="96">
        <f>'Pasqyra e Pozicionit Financiar'!B11-C16</f>
        <v>0</v>
      </c>
      <c r="D17" s="96">
        <f>'Pasqyra e Pozicionit Financiar'!C11-D16</f>
        <v>0</v>
      </c>
    </row>
    <row r="19" spans="1:4" ht="15.75" thickBot="1" x14ac:dyDescent="0.3">
      <c r="A19" s="79">
        <f>A14+1</f>
        <v>7</v>
      </c>
      <c r="B19" s="102" t="s">
        <v>35</v>
      </c>
      <c r="C19" s="105">
        <v>44196</v>
      </c>
      <c r="D19" s="105">
        <v>43830</v>
      </c>
    </row>
    <row r="20" spans="1:4" ht="15.75" thickBot="1" x14ac:dyDescent="0.3">
      <c r="B20" s="104" t="s">
        <v>35</v>
      </c>
      <c r="C20" s="108">
        <f>SUMIFS(Table1[Gjendje ne Fund],Table1[Notes],$B20,Table1[Period],Notes!C$1)</f>
        <v>0</v>
      </c>
      <c r="D20" s="108">
        <f>SUMIFS(Table1[Gjendje ne Fund],Table1[Notes],$B20,Table1[Period],Notes!D$1)</f>
        <v>0</v>
      </c>
    </row>
    <row r="21" spans="1:4" ht="15.75" thickBot="1" x14ac:dyDescent="0.3">
      <c r="B21" s="102" t="s">
        <v>179</v>
      </c>
      <c r="C21" s="110">
        <f>SUM(C20:C20)</f>
        <v>0</v>
      </c>
      <c r="D21" s="110">
        <f>SUM(D20:D20)</f>
        <v>0</v>
      </c>
    </row>
    <row r="22" spans="1:4" x14ac:dyDescent="0.25">
      <c r="B22" s="111" t="s">
        <v>171</v>
      </c>
      <c r="C22" s="96">
        <f>'Pasqyra e Pozicionit Financiar'!B17-C20</f>
        <v>0</v>
      </c>
      <c r="D22" s="96">
        <f>'Pasqyra e Pozicionit Financiar'!C17-D20</f>
        <v>0</v>
      </c>
    </row>
    <row r="24" spans="1:4" ht="15.75" thickBot="1" x14ac:dyDescent="0.3">
      <c r="A24" s="79">
        <f>A19+1</f>
        <v>8</v>
      </c>
      <c r="B24" s="102" t="s">
        <v>184</v>
      </c>
      <c r="C24" s="105">
        <v>44196</v>
      </c>
      <c r="D24" s="105">
        <v>43830</v>
      </c>
    </row>
    <row r="25" spans="1:4" x14ac:dyDescent="0.25">
      <c r="B25" s="101" t="s">
        <v>182</v>
      </c>
      <c r="C25" s="108">
        <f>SUMIFS(Table1[Gjendje ne Fund],Table1[Notes],$B25,Table1[Period],Notes!C$1)</f>
        <v>0</v>
      </c>
      <c r="D25" s="108">
        <f>SUMIFS(Table1[Gjendje ne Fund],Table1[Notes],$B25,Table1[Period],Notes!D$1)</f>
        <v>0</v>
      </c>
    </row>
    <row r="26" spans="1:4" ht="15.75" thickBot="1" x14ac:dyDescent="0.3">
      <c r="B26" s="101" t="s">
        <v>183</v>
      </c>
      <c r="C26" s="108">
        <f>SUMIFS(Table1[Gjendje ne Fund],Table1[Notes],$B26,Table1[Period],Notes!C$1)</f>
        <v>0</v>
      </c>
      <c r="D26" s="108">
        <f>SUMIFS(Table1[Gjendje ne Fund],Table1[Notes],$B26,Table1[Period],Notes!D$1)</f>
        <v>0</v>
      </c>
    </row>
    <row r="27" spans="1:4" ht="15.75" thickBot="1" x14ac:dyDescent="0.3">
      <c r="B27" s="102" t="s">
        <v>179</v>
      </c>
      <c r="C27" s="110">
        <f>SUM(C25:C26)</f>
        <v>0</v>
      </c>
      <c r="D27" s="110">
        <f>SUM(D25:D26)</f>
        <v>0</v>
      </c>
    </row>
    <row r="28" spans="1:4" x14ac:dyDescent="0.25">
      <c r="B28" s="111" t="s">
        <v>171</v>
      </c>
      <c r="C28" s="96">
        <f>'Pasqyra e Pozicionit Financiar'!B36-C27</f>
        <v>0</v>
      </c>
      <c r="D28" s="96">
        <f>'Pasqyra e Pozicionit Financiar'!C36-D27</f>
        <v>0</v>
      </c>
    </row>
    <row r="30" spans="1:4" ht="15.75" thickBot="1" x14ac:dyDescent="0.3">
      <c r="A30" s="79">
        <f>A24+1</f>
        <v>9</v>
      </c>
      <c r="B30" s="102" t="s">
        <v>113</v>
      </c>
      <c r="C30" s="105">
        <v>44196</v>
      </c>
      <c r="D30" s="105">
        <v>43830</v>
      </c>
    </row>
    <row r="31" spans="1:4" ht="15.75" thickBot="1" x14ac:dyDescent="0.3">
      <c r="B31" s="101" t="s">
        <v>185</v>
      </c>
      <c r="C31" s="108">
        <f>-SUMIFS(Table1[Gjendje ne Fund],Table1[Notes],$B31,Table1[Period],Notes!C$1)</f>
        <v>0</v>
      </c>
      <c r="D31" s="108">
        <f>-SUMIFS(Table1[Gjendje ne Fund],Table1[Notes],$B31,Table1[Period],Notes!D$1)</f>
        <v>0</v>
      </c>
    </row>
    <row r="32" spans="1:4" ht="15.75" thickBot="1" x14ac:dyDescent="0.3">
      <c r="B32" s="102" t="s">
        <v>179</v>
      </c>
      <c r="C32" s="110">
        <f>SUM(C31)</f>
        <v>0</v>
      </c>
      <c r="D32" s="110">
        <f>SUM(D31)</f>
        <v>0</v>
      </c>
    </row>
    <row r="33" spans="1:4" x14ac:dyDescent="0.25">
      <c r="B33" s="111" t="s">
        <v>171</v>
      </c>
      <c r="C33" s="96">
        <f>'Pasqyra e Pozicionit Financiar'!B48-C32</f>
        <v>0</v>
      </c>
      <c r="D33" s="96">
        <f>'Pasqyra e Pozicionit Financiar'!C48-D32</f>
        <v>0</v>
      </c>
    </row>
    <row r="35" spans="1:4" ht="15.75" thickBot="1" x14ac:dyDescent="0.3">
      <c r="B35" s="102" t="s">
        <v>72</v>
      </c>
      <c r="C35" s="105">
        <v>44196</v>
      </c>
      <c r="D35" s="105">
        <v>43830</v>
      </c>
    </row>
    <row r="36" spans="1:4" x14ac:dyDescent="0.25">
      <c r="A36" s="79">
        <f>A30+1</f>
        <v>10</v>
      </c>
      <c r="B36" s="107" t="s">
        <v>187</v>
      </c>
      <c r="C36" s="108">
        <f>-SUMIFS(Table1[Gjendje ne Fund],Table1[Notes],$B36,Table1[Period],Notes!C$1)</f>
        <v>1223359.9344000001</v>
      </c>
      <c r="D36" s="108">
        <f>-SUMIFS(Table1[Gjendje ne Fund],Table1[Notes],$B36,Table1[Period],Notes!D$1)</f>
        <v>0</v>
      </c>
    </row>
    <row r="37" spans="1:4" ht="15.75" thickBot="1" x14ac:dyDescent="0.3">
      <c r="B37" s="107" t="s">
        <v>143</v>
      </c>
      <c r="C37" s="108">
        <f>-SUMIFS(Table1[Gjendje ne Fund],Table1[Notes],$B37,Table1[Period],Notes!C$1)</f>
        <v>176718.72280000005</v>
      </c>
      <c r="D37" s="108">
        <f>-SUMIFS(Table1[Gjendje ne Fund],Table1[Notes],$B37,Table1[Period],Notes!D$1)</f>
        <v>0</v>
      </c>
    </row>
    <row r="38" spans="1:4" ht="15.75" thickBot="1" x14ac:dyDescent="0.3">
      <c r="B38" s="100" t="s">
        <v>179</v>
      </c>
      <c r="C38" s="110">
        <f>SUM(C36:C37)</f>
        <v>1400078.6572000002</v>
      </c>
      <c r="D38" s="110">
        <f>SUM(D36:D37)</f>
        <v>0</v>
      </c>
    </row>
    <row r="39" spans="1:4" x14ac:dyDescent="0.25">
      <c r="B39" s="111" t="s">
        <v>171</v>
      </c>
      <c r="C39" s="96">
        <f>'Pasqyra e Pozicionit Financiar'!B49-C38</f>
        <v>0</v>
      </c>
      <c r="D39" s="96">
        <f>'Pasqyra e Pozicionit Financiar'!C49-D38</f>
        <v>0</v>
      </c>
    </row>
    <row r="41" spans="1:4" ht="15.75" thickBot="1" x14ac:dyDescent="0.3">
      <c r="A41" s="79">
        <f>A36+1</f>
        <v>11</v>
      </c>
      <c r="B41" s="102" t="s">
        <v>112</v>
      </c>
      <c r="C41" s="105">
        <v>44196</v>
      </c>
      <c r="D41" s="105">
        <v>43830</v>
      </c>
    </row>
    <row r="42" spans="1:4" x14ac:dyDescent="0.25">
      <c r="B42" s="107" t="s">
        <v>157</v>
      </c>
      <c r="C42" s="108">
        <f>-SUMIFS(Table1[Gjendje ne Fund],Table1[Notes],$B42,Table1[Period],Notes!C$1)</f>
        <v>0</v>
      </c>
      <c r="D42" s="108">
        <f>-SUMIFS(Table1[Gjendje ne Fund],Table1[Notes],$B42,Table1[Period],Notes!D$1)</f>
        <v>0</v>
      </c>
    </row>
    <row r="43" spans="1:4" x14ac:dyDescent="0.25">
      <c r="B43" s="107" t="s">
        <v>188</v>
      </c>
      <c r="C43" s="108">
        <f>-SUMIFS(Table1[Gjendje ne Fund],Table1[Notes],$B43,Table1[Period],Notes!C$1)</f>
        <v>0</v>
      </c>
      <c r="D43" s="108">
        <f>-SUMIFS(Table1[Gjendje ne Fund],Table1[Notes],$B43,Table1[Period],Notes!D$1)</f>
        <v>0</v>
      </c>
    </row>
    <row r="44" spans="1:4" x14ac:dyDescent="0.25">
      <c r="B44" s="107" t="s">
        <v>158</v>
      </c>
      <c r="C44" s="108">
        <f>-SUMIFS(Table1[Gjendje ne Fund],Table1[Notes],$B44,Table1[Period],Notes!C$1)</f>
        <v>0</v>
      </c>
      <c r="D44" s="108">
        <f>-SUMIFS(Table1[Gjendje ne Fund],Table1[Notes],$B44,Table1[Period],Notes!D$1)</f>
        <v>0</v>
      </c>
    </row>
    <row r="45" spans="1:4" ht="15.75" thickBot="1" x14ac:dyDescent="0.3">
      <c r="B45" s="107" t="s">
        <v>159</v>
      </c>
      <c r="C45" s="108">
        <f>-SUMIFS(Table1[Gjendje ne Fund],Table1[Notes],$B45,Table1[Period],Notes!C$1)</f>
        <v>0</v>
      </c>
      <c r="D45" s="108">
        <f>-SUMIFS(Table1[Gjendje ne Fund],Table1[Notes],$B45,Table1[Period],Notes!D$1)</f>
        <v>0</v>
      </c>
    </row>
    <row r="46" spans="1:4" ht="15.75" thickBot="1" x14ac:dyDescent="0.3">
      <c r="B46" s="100" t="s">
        <v>179</v>
      </c>
      <c r="C46" s="110">
        <f>SUM(C42:C45)</f>
        <v>0</v>
      </c>
      <c r="D46" s="110">
        <f>SUM(D42:D45)</f>
        <v>0</v>
      </c>
    </row>
    <row r="47" spans="1:4" x14ac:dyDescent="0.25">
      <c r="B47" s="111" t="s">
        <v>171</v>
      </c>
      <c r="C47" s="96">
        <f>'Pasqyra e Pozicionit Financiar'!B50-C46</f>
        <v>0</v>
      </c>
      <c r="D47" s="96">
        <f>'Pasqyra e Pozicionit Financiar'!C50-D46</f>
        <v>0</v>
      </c>
    </row>
    <row r="49" spans="1:4" ht="15.75" thickBot="1" x14ac:dyDescent="0.3">
      <c r="A49" s="79">
        <f>A41+1</f>
        <v>12</v>
      </c>
      <c r="B49" s="100" t="s">
        <v>189</v>
      </c>
      <c r="C49" s="105">
        <v>44196</v>
      </c>
      <c r="D49" s="105">
        <v>43830</v>
      </c>
    </row>
    <row r="50" spans="1:4" ht="15.75" thickBot="1" x14ac:dyDescent="0.3">
      <c r="B50" s="101" t="s">
        <v>190</v>
      </c>
      <c r="C50" s="108">
        <f>-SUMIFS(Table1[Gjendje ne Fund],Table1[Notes],$B50,Table1[Period],Notes!C$1)</f>
        <v>100000</v>
      </c>
      <c r="D50" s="108">
        <f>-SUMIFS(Table1[Gjendje ne Fund],Table1[Notes],$B50,Table1[Period],Notes!D$1)</f>
        <v>0</v>
      </c>
    </row>
    <row r="51" spans="1:4" ht="15.75" thickBot="1" x14ac:dyDescent="0.3">
      <c r="B51" s="100" t="s">
        <v>177</v>
      </c>
      <c r="C51" s="110">
        <f>SUM(C50)</f>
        <v>100000</v>
      </c>
      <c r="D51" s="110">
        <f>SUM(D50)</f>
        <v>0</v>
      </c>
    </row>
    <row r="52" spans="1:4" x14ac:dyDescent="0.25">
      <c r="B52" s="111" t="s">
        <v>171</v>
      </c>
      <c r="C52" s="96">
        <f>'Pasqyra e Pozicionit Financiar'!B63-C51</f>
        <v>0</v>
      </c>
      <c r="D52" s="96">
        <f>'Pasqyra e Pozicionit Financiar'!C63-D51</f>
        <v>0</v>
      </c>
    </row>
    <row r="54" spans="1:4" ht="15.75" thickBot="1" x14ac:dyDescent="0.3">
      <c r="A54" s="79">
        <f>A49+1</f>
        <v>13</v>
      </c>
      <c r="B54" s="100" t="s">
        <v>78</v>
      </c>
      <c r="C54" s="105">
        <v>44196</v>
      </c>
      <c r="D54" s="105">
        <v>43830</v>
      </c>
    </row>
    <row r="55" spans="1:4" x14ac:dyDescent="0.25">
      <c r="B55" s="101" t="s">
        <v>155</v>
      </c>
      <c r="C55" s="108">
        <f>-SUMIFS(Table1[Teprica],Table1[Notes],$B55,Table1[Period],Notes!C$1)</f>
        <v>0</v>
      </c>
      <c r="D55" s="108">
        <f>-SUMIFS(Table1[Teprica],Table1[Notes],$B55,Table1[Period],Notes!D$1)</f>
        <v>0</v>
      </c>
    </row>
    <row r="56" spans="1:4" ht="15.75" thickBot="1" x14ac:dyDescent="0.3">
      <c r="B56" s="100" t="s">
        <v>179</v>
      </c>
      <c r="C56" s="118">
        <f>SUM(C55:C55)</f>
        <v>0</v>
      </c>
      <c r="D56" s="118">
        <f>SUM(D55:D55)</f>
        <v>0</v>
      </c>
    </row>
    <row r="57" spans="1:4" x14ac:dyDescent="0.25">
      <c r="B57" s="111" t="s">
        <v>171</v>
      </c>
      <c r="C57" s="96">
        <f>'PASH-sipas natyres'!B6-C56</f>
        <v>0</v>
      </c>
      <c r="D57" s="96">
        <f>'PASH-sipas natyres'!C6-D56</f>
        <v>0</v>
      </c>
    </row>
    <row r="59" spans="1:4" ht="15.75" thickBot="1" x14ac:dyDescent="0.3">
      <c r="A59" s="79">
        <f>A54+1</f>
        <v>14</v>
      </c>
      <c r="B59" s="100" t="s">
        <v>11</v>
      </c>
      <c r="C59" s="105">
        <v>44196</v>
      </c>
      <c r="D59" s="105">
        <v>43830</v>
      </c>
    </row>
    <row r="60" spans="1:4" x14ac:dyDescent="0.25">
      <c r="B60" s="101" t="s">
        <v>149</v>
      </c>
      <c r="C60" s="108">
        <f>SUMIFS(Table1[Teprica],Table1[Notes],$B60,Table1[Period],Notes!C$1)</f>
        <v>1744273</v>
      </c>
      <c r="D60" s="108">
        <f>SUMIFS(Table1[Teprica],Table1[Notes],$B60,Table1[Period],Notes!D$1)</f>
        <v>0</v>
      </c>
    </row>
    <row r="61" spans="1:4" x14ac:dyDescent="0.25">
      <c r="B61" s="101" t="s">
        <v>151</v>
      </c>
      <c r="C61" s="108">
        <f>SUMIFS(Table1[Teprica],Table1[Notes],$B61,Table1[Period],Notes!C$1)</f>
        <v>289123</v>
      </c>
      <c r="D61" s="108">
        <f>SUMIFS(Table1[Teprica],Table1[Notes],$B61,Table1[Period],Notes!D$1)</f>
        <v>0</v>
      </c>
    </row>
    <row r="62" spans="1:4" ht="15.75" thickBot="1" x14ac:dyDescent="0.3">
      <c r="B62" s="100" t="s">
        <v>179</v>
      </c>
      <c r="C62" s="118">
        <f>SUM(C60:C61)</f>
        <v>2033396</v>
      </c>
      <c r="D62" s="118">
        <f>SUM(D60:D61)</f>
        <v>0</v>
      </c>
    </row>
    <row r="63" spans="1:4" x14ac:dyDescent="0.25">
      <c r="B63" s="111" t="s">
        <v>171</v>
      </c>
      <c r="C63" s="96">
        <f>'PASH-sipas natyres'!B12+C62</f>
        <v>0</v>
      </c>
      <c r="D63" s="96">
        <f>'PASH-sipas natyres'!C12+D62</f>
        <v>0</v>
      </c>
    </row>
    <row r="65" spans="1:4" ht="15.75" thickBot="1" x14ac:dyDescent="0.3">
      <c r="A65" s="79">
        <f>A59+1</f>
        <v>15</v>
      </c>
      <c r="B65" s="100" t="s">
        <v>191</v>
      </c>
      <c r="C65" s="105">
        <v>44196</v>
      </c>
      <c r="D65" s="105">
        <v>43830</v>
      </c>
    </row>
    <row r="66" spans="1:4" x14ac:dyDescent="0.25">
      <c r="B66" s="101" t="s">
        <v>191</v>
      </c>
      <c r="C66" s="108">
        <f>SUMIFS(Table1[Teprica],Table1[Notes],$B66,Table1[Period],Notes!C$1)</f>
        <v>0</v>
      </c>
      <c r="D66" s="108">
        <f>SUMIFS(Table1[Teprica],Table1[Notes],$B66,Table1[Period],Notes!D$1)</f>
        <v>0</v>
      </c>
    </row>
    <row r="67" spans="1:4" ht="15.75" thickBot="1" x14ac:dyDescent="0.3">
      <c r="B67" s="100" t="s">
        <v>179</v>
      </c>
      <c r="C67" s="118">
        <f>SUM(C66)</f>
        <v>0</v>
      </c>
      <c r="D67" s="118">
        <f>SUM(D66)</f>
        <v>0</v>
      </c>
    </row>
    <row r="68" spans="1:4" x14ac:dyDescent="0.25">
      <c r="B68" s="111" t="s">
        <v>171</v>
      </c>
      <c r="C68" s="96">
        <f>'PASH-sipas natyres'!B15+C67</f>
        <v>0</v>
      </c>
      <c r="D68" s="96">
        <f>'PASH-sipas natyres'!C15+D67</f>
        <v>0</v>
      </c>
    </row>
    <row r="70" spans="1:4" ht="15.75" thickBot="1" x14ac:dyDescent="0.3">
      <c r="A70" s="79">
        <f>A65+1</f>
        <v>16</v>
      </c>
      <c r="B70" s="100" t="s">
        <v>192</v>
      </c>
      <c r="C70" s="105">
        <v>44196</v>
      </c>
      <c r="D70" s="105">
        <v>43830</v>
      </c>
    </row>
    <row r="71" spans="1:4" x14ac:dyDescent="0.25">
      <c r="B71" s="107" t="s">
        <v>160</v>
      </c>
      <c r="C71" s="108">
        <f>SUMIFS(Table1[Teprica],Table1[Notes],$B71,Table1[Period],Notes!C$1)</f>
        <v>0</v>
      </c>
      <c r="D71" s="108">
        <f>SUMIFS(Table1[Teprica],Table1[Notes],$B71,Table1[Period],Notes!D$1)</f>
        <v>0</v>
      </c>
    </row>
    <row r="72" spans="1:4" x14ac:dyDescent="0.25">
      <c r="B72" s="107" t="s">
        <v>161</v>
      </c>
      <c r="C72" s="108">
        <f>SUMIFS(Table1[Teprica],Table1[Notes],$B72,Table1[Period],Notes!C$1)</f>
        <v>0</v>
      </c>
      <c r="D72" s="108">
        <f>SUMIFS(Table1[Teprica],Table1[Notes],$B72,Table1[Period],Notes!D$1)</f>
        <v>0</v>
      </c>
    </row>
    <row r="73" spans="1:4" x14ac:dyDescent="0.25">
      <c r="B73" s="107" t="s">
        <v>145</v>
      </c>
      <c r="C73" s="108">
        <f>SUMIFS(Table1[Teprica],Table1[Notes],$B73,Table1[Period],Notes!C$1)</f>
        <v>0</v>
      </c>
      <c r="D73" s="108">
        <f>SUMIFS(Table1[Teprica],Table1[Notes],$B73,Table1[Period],Notes!D$1)</f>
        <v>0</v>
      </c>
    </row>
    <row r="74" spans="1:4" x14ac:dyDescent="0.25">
      <c r="B74" s="107" t="s">
        <v>162</v>
      </c>
      <c r="C74" s="108">
        <f>SUMIFS(Table1[Teprica],Table1[Notes],$B74,Table1[Period],Notes!C$1)</f>
        <v>0</v>
      </c>
      <c r="D74" s="108">
        <f>SUMIFS(Table1[Teprica],Table1[Notes],$B74,Table1[Period],Notes!D$1)</f>
        <v>0</v>
      </c>
    </row>
    <row r="75" spans="1:4" x14ac:dyDescent="0.25">
      <c r="B75" s="107" t="s">
        <v>147</v>
      </c>
      <c r="C75" s="108">
        <f>SUMIFS(Table1[Teprica],Table1[Notes],$B75,Table1[Period],Notes!C$1)</f>
        <v>43663.765599999992</v>
      </c>
      <c r="D75" s="108">
        <f>SUMIFS(Table1[Teprica],Table1[Notes],$B75,Table1[Period],Notes!D$1)</f>
        <v>0</v>
      </c>
    </row>
    <row r="76" spans="1:4" x14ac:dyDescent="0.25">
      <c r="B76" s="107" t="s">
        <v>163</v>
      </c>
      <c r="C76" s="108">
        <f>SUMIFS(Table1[Teprica],Table1[Notes],$B76,Table1[Period],Notes!C$1)</f>
        <v>0</v>
      </c>
      <c r="D76" s="108">
        <f>SUMIFS(Table1[Teprica],Table1[Notes],$B76,Table1[Period],Notes!D$1)</f>
        <v>0</v>
      </c>
    </row>
    <row r="77" spans="1:4" ht="15.75" thickBot="1" x14ac:dyDescent="0.3">
      <c r="B77" s="107" t="s">
        <v>153</v>
      </c>
      <c r="C77" s="108">
        <f>SUMIFS(Table1[Teprica],Table1[Notes],$B77,Table1[Period],Notes!C$1)</f>
        <v>162525.21380000003</v>
      </c>
      <c r="D77" s="108">
        <f>SUMIFS(Table1[Teprica],Table1[Notes],$B77,Table1[Period],Notes!D$1)</f>
        <v>0</v>
      </c>
    </row>
    <row r="78" spans="1:4" ht="15.75" thickBot="1" x14ac:dyDescent="0.3">
      <c r="B78" s="100" t="s">
        <v>177</v>
      </c>
      <c r="C78" s="110">
        <f>SUM(C71:C77)</f>
        <v>206188.97940000001</v>
      </c>
      <c r="D78" s="110">
        <f>SUM(D71:D77)</f>
        <v>0</v>
      </c>
    </row>
    <row r="79" spans="1:4" x14ac:dyDescent="0.25">
      <c r="B79" s="111" t="s">
        <v>171</v>
      </c>
      <c r="C79" s="96">
        <f>'PASH-sipas natyres'!B11+C78</f>
        <v>0</v>
      </c>
      <c r="D79" s="96">
        <f>'PASH-sipas natyres'!C11+D78</f>
        <v>0</v>
      </c>
    </row>
    <row r="81" spans="1:4" ht="15.75" thickBot="1" x14ac:dyDescent="0.3">
      <c r="A81" s="79">
        <f>A70+1</f>
        <v>17</v>
      </c>
      <c r="B81" s="100" t="s">
        <v>91</v>
      </c>
      <c r="C81" s="105">
        <v>44196</v>
      </c>
      <c r="D81" s="105">
        <v>43830</v>
      </c>
    </row>
    <row r="82" spans="1:4" ht="15.75" thickBot="1" x14ac:dyDescent="0.3">
      <c r="B82" s="101" t="s">
        <v>91</v>
      </c>
      <c r="C82" s="108">
        <f>SUMIFS(Table1[Teprica],Table1[Notes],$B82,Table1[Period],Notes!C$1)</f>
        <v>331.87639999999999</v>
      </c>
      <c r="D82" s="108">
        <f>SUMIFS(Table1[Teprica],Table1[Notes],$B82,Table1[Period],Notes!D$1)</f>
        <v>0</v>
      </c>
    </row>
    <row r="83" spans="1:4" ht="15.75" thickBot="1" x14ac:dyDescent="0.3">
      <c r="B83" s="100" t="s">
        <v>177</v>
      </c>
      <c r="C83" s="110">
        <f>SUM(C82)</f>
        <v>331.87639999999999</v>
      </c>
      <c r="D83" s="110">
        <f>SUM(D82)</f>
        <v>0</v>
      </c>
    </row>
    <row r="84" spans="1:4" x14ac:dyDescent="0.25">
      <c r="B84" s="111" t="s">
        <v>171</v>
      </c>
      <c r="C84" s="96">
        <f>'PASH-sipas natyres'!B20+C83</f>
        <v>0</v>
      </c>
      <c r="D84" s="96">
        <f>'PASH-sipas natyres'!C20+D83</f>
        <v>0</v>
      </c>
    </row>
    <row r="86" spans="1:4" ht="15.75" thickBot="1" x14ac:dyDescent="0.3">
      <c r="A86" s="79">
        <f>A81+1</f>
        <v>18</v>
      </c>
      <c r="B86" s="100" t="s">
        <v>193</v>
      </c>
      <c r="C86" s="105">
        <v>44196</v>
      </c>
      <c r="D86" s="105">
        <v>43830</v>
      </c>
    </row>
    <row r="87" spans="1:4" x14ac:dyDescent="0.25">
      <c r="B87" s="101" t="s">
        <v>154</v>
      </c>
      <c r="C87" s="108">
        <f>SUMIFS(Table1[Teprica],Table1[Notes],$B87,Table1[Period],Notes!C$1)</f>
        <v>0</v>
      </c>
      <c r="D87" s="108">
        <f>SUMIFS(Table1[Teprica],Table1[Notes],$B87,Table1[Period],Notes!D$1)</f>
        <v>0</v>
      </c>
    </row>
    <row r="88" spans="1:4" x14ac:dyDescent="0.25">
      <c r="B88" s="101" t="s">
        <v>156</v>
      </c>
      <c r="C88" s="108">
        <f>SUMIFS(Table1[Teprica],Table1[Notes],$B88,Table1[Period],Notes!C$1)</f>
        <v>-5819.0790000015404</v>
      </c>
      <c r="D88" s="108">
        <f>SUMIFS(Table1[Teprica],Table1[Notes],$B88,Table1[Period],Notes!D$1)</f>
        <v>0</v>
      </c>
    </row>
    <row r="89" spans="1:4" ht="15.75" thickBot="1" x14ac:dyDescent="0.3">
      <c r="B89" s="100" t="s">
        <v>179</v>
      </c>
      <c r="C89" s="117">
        <f>SUM(C87:C88)</f>
        <v>-5819.0790000015404</v>
      </c>
      <c r="D89" s="117">
        <f>SUM(D87:D88)</f>
        <v>0</v>
      </c>
    </row>
    <row r="90" spans="1:4" x14ac:dyDescent="0.25">
      <c r="B90" s="111" t="s">
        <v>171</v>
      </c>
      <c r="C90" s="96">
        <f>'PASH-sipas natyres'!B21+C89</f>
        <v>0</v>
      </c>
      <c r="D90" s="96">
        <f>'PASH-sipas natyres'!C21+D89</f>
        <v>0</v>
      </c>
    </row>
    <row r="92" spans="1:4" ht="15.75" thickBot="1" x14ac:dyDescent="0.3">
      <c r="A92" s="79">
        <v>19</v>
      </c>
      <c r="B92" s="100" t="s">
        <v>203</v>
      </c>
      <c r="C92" s="105">
        <v>44196</v>
      </c>
      <c r="D92" s="105">
        <v>43830</v>
      </c>
    </row>
    <row r="93" spans="1:4" x14ac:dyDescent="0.25">
      <c r="B93" s="101" t="s">
        <v>204</v>
      </c>
      <c r="C93" s="108">
        <f>-SUMIFS(Table1[Teprica],Table1[Tax],Notes!$B93,Table1[Period],Notes!C$1)</f>
        <v>5819.0790000015404</v>
      </c>
      <c r="D93" s="137"/>
    </row>
    <row r="94" spans="1:4" x14ac:dyDescent="0.25">
      <c r="B94" s="101" t="s">
        <v>205</v>
      </c>
      <c r="C94" s="108">
        <f>-SUMIFS(Table1[Teprica],Table1[Tax],Notes!$B94,Table1[Period],Notes!C$1)</f>
        <v>-2239916.8558</v>
      </c>
      <c r="D94" s="137"/>
    </row>
    <row r="95" spans="1:4" x14ac:dyDescent="0.25">
      <c r="B95" s="101" t="s">
        <v>206</v>
      </c>
      <c r="C95" s="108">
        <f>Trial.Balance!$G$13</f>
        <v>162525.21380000003</v>
      </c>
      <c r="D95" s="137"/>
    </row>
    <row r="96" spans="1:4" x14ac:dyDescent="0.25">
      <c r="B96" s="101" t="s">
        <v>207</v>
      </c>
      <c r="C96" s="108">
        <v>0</v>
      </c>
      <c r="D96" s="108">
        <v>0</v>
      </c>
    </row>
    <row r="97" spans="1:4" x14ac:dyDescent="0.25">
      <c r="B97" s="101" t="s">
        <v>208</v>
      </c>
      <c r="C97" s="108">
        <f>SUM(C93:C96)</f>
        <v>-2071572.5629999982</v>
      </c>
      <c r="D97" s="108">
        <f>SUM(D93:D96)</f>
        <v>0</v>
      </c>
    </row>
    <row r="98" spans="1:4" x14ac:dyDescent="0.25">
      <c r="B98" s="101" t="s">
        <v>209</v>
      </c>
      <c r="C98" s="127">
        <v>-0.15</v>
      </c>
      <c r="D98" s="127">
        <v>0</v>
      </c>
    </row>
    <row r="99" spans="1:4" ht="15.75" thickBot="1" x14ac:dyDescent="0.3">
      <c r="B99" s="100" t="s">
        <v>12</v>
      </c>
      <c r="C99" s="128">
        <v>0</v>
      </c>
      <c r="D99" s="128">
        <v>0</v>
      </c>
    </row>
    <row r="100" spans="1:4" x14ac:dyDescent="0.25">
      <c r="A100" s="129"/>
      <c r="B100" s="130" t="s">
        <v>210</v>
      </c>
      <c r="C100" s="131">
        <f>SUM(C93,C94,C99)</f>
        <v>-2234097.7767999982</v>
      </c>
      <c r="D100" s="131">
        <f>SUM(D93,D94,D99)</f>
        <v>0</v>
      </c>
    </row>
    <row r="101" spans="1:4" x14ac:dyDescent="0.25">
      <c r="B101" s="111" t="s">
        <v>171</v>
      </c>
      <c r="C101" s="96">
        <f>'PASH-sipas natyres'!B27-C100</f>
        <v>0</v>
      </c>
      <c r="D101" s="96">
        <f>'PASH-sipas natyres'!C27-D100</f>
        <v>0</v>
      </c>
    </row>
    <row r="102" spans="1:4" x14ac:dyDescent="0.25">
      <c r="B102" s="79"/>
      <c r="C102" s="132"/>
      <c r="D102" s="132"/>
    </row>
    <row r="103" spans="1:4" ht="15.75" thickBot="1" x14ac:dyDescent="0.3">
      <c r="A103" s="133"/>
      <c r="B103" s="133" t="s">
        <v>211</v>
      </c>
      <c r="C103" s="105">
        <v>44196</v>
      </c>
      <c r="D103" s="105">
        <v>43830</v>
      </c>
    </row>
    <row r="104" spans="1:4" x14ac:dyDescent="0.25">
      <c r="B104" s="101" t="s">
        <v>204</v>
      </c>
      <c r="C104" s="132">
        <f>SUM(C93:C93)</f>
        <v>5819.0790000015404</v>
      </c>
      <c r="D104" s="134"/>
    </row>
    <row r="105" spans="1:4" x14ac:dyDescent="0.25">
      <c r="B105" s="101" t="s">
        <v>205</v>
      </c>
      <c r="C105" s="132">
        <f>SUM(C94:C94)</f>
        <v>-2239916.8558</v>
      </c>
      <c r="D105" s="134"/>
    </row>
    <row r="106" spans="1:4" x14ac:dyDescent="0.25">
      <c r="B106" s="101" t="s">
        <v>206</v>
      </c>
      <c r="C106" s="132">
        <f>SUM(C95:C95)</f>
        <v>162525.21380000003</v>
      </c>
      <c r="D106" s="134"/>
    </row>
    <row r="107" spans="1:4" x14ac:dyDescent="0.25">
      <c r="B107" s="79" t="s">
        <v>212</v>
      </c>
      <c r="C107" s="132">
        <f>SUM(C104:C106)</f>
        <v>-2071572.5629999982</v>
      </c>
      <c r="D107" s="134"/>
    </row>
    <row r="108" spans="1:4" x14ac:dyDescent="0.25">
      <c r="B108" s="101" t="s">
        <v>209</v>
      </c>
      <c r="C108" s="127">
        <v>-0.15</v>
      </c>
      <c r="D108" s="134"/>
    </row>
    <row r="109" spans="1:4" x14ac:dyDescent="0.25">
      <c r="B109" s="100" t="s">
        <v>12</v>
      </c>
      <c r="C109" s="135">
        <f>C107*C108</f>
        <v>310735.88444999972</v>
      </c>
      <c r="D109" s="13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7201-F461-4B89-968B-DF276DC5C5E1}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Pasqyra e Pozicionit Financiar</vt:lpstr>
      <vt:lpstr>PASH-sipas natyres</vt:lpstr>
      <vt:lpstr>PASH-sipas funksionit</vt:lpstr>
      <vt:lpstr>Pasqyra CashFlow-direkte</vt:lpstr>
      <vt:lpstr>Pasqyra Cashflow-indirekte</vt:lpstr>
      <vt:lpstr>Trial.Balance</vt:lpstr>
      <vt:lpstr>Account.Schedule</vt:lpstr>
      <vt:lpstr>Notes</vt:lpstr>
      <vt:lpstr>Deklarata e TF</vt:lpstr>
      <vt:lpstr>'PASH-sipas natyres'!Print_Area</vt:lpstr>
      <vt:lpstr>'Pasqyra Cashflow-indirekte'!Print_Area</vt:lpstr>
      <vt:lpstr>'Pasqyra e Pozicionit Financiar'!Print_Area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Taulant Asllani</cp:lastModifiedBy>
  <dcterms:created xsi:type="dcterms:W3CDTF">2016-08-04T12:40:37Z</dcterms:created>
  <dcterms:modified xsi:type="dcterms:W3CDTF">2021-03-28T17:56:42Z</dcterms:modified>
</cp:coreProperties>
</file>