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5480" windowHeight="8736" firstSheet="4" activeTab="10"/>
  </bookViews>
  <sheets>
    <sheet name="Kopertina" sheetId="1" r:id="rId1"/>
    <sheet name="Aktivi" sheetId="8" r:id="rId2"/>
    <sheet name="Pasivi" sheetId="3" r:id="rId3"/>
    <sheet name="Ardhura-Shpenzime" sheetId="4" r:id="rId4"/>
    <sheet name="Cash Flow" sheetId="5" r:id="rId5"/>
    <sheet name="Kap_veta" sheetId="6" r:id="rId6"/>
    <sheet name="Shenimet shpjeguese" sheetId="9" r:id="rId7"/>
    <sheet name="AMORTIZIMI AAM" sheetId="11" r:id="rId8"/>
    <sheet name="AAM" sheetId="12" r:id="rId9"/>
    <sheet name="Aneks Statistikor" sheetId="13" r:id="rId10"/>
    <sheet name="aktivitet per BM" sheetId="14" r:id="rId11"/>
    <sheet name="Sheet1" sheetId="15" r:id="rId12"/>
  </sheets>
  <externalReferences>
    <externalReference r:id="rId13"/>
  </externalReferences>
  <definedNames>
    <definedName name="_xlnm._FilterDatabase" localSheetId="10" hidden="1">'aktivitet per BM'!$H$4:$J$41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9">'Aneks Statistikor'!$A$1:$J$97</definedName>
  </definedNames>
  <calcPr calcId="125725"/>
</workbook>
</file>

<file path=xl/calcChain.xml><?xml version="1.0" encoding="utf-8"?>
<calcChain xmlns="http://schemas.openxmlformats.org/spreadsheetml/2006/main">
  <c r="C17" i="6"/>
  <c r="B17" s="1"/>
  <c r="B22" s="1"/>
  <c r="G105" i="9"/>
  <c r="D41" i="3"/>
  <c r="G14" i="6"/>
  <c r="G271" i="9"/>
  <c r="G227"/>
  <c r="G226"/>
  <c r="I88" i="13" s="1"/>
  <c r="G204" i="9"/>
  <c r="G203"/>
  <c r="E27" i="12"/>
  <c r="D11"/>
  <c r="I16" i="11"/>
  <c r="I23"/>
  <c r="E15" i="9"/>
  <c r="G56"/>
  <c r="G143"/>
  <c r="G151"/>
  <c r="D151"/>
  <c r="J91" i="13"/>
  <c r="D16" i="5"/>
  <c r="D24" s="1"/>
  <c r="D38" s="1"/>
  <c r="D41"/>
  <c r="D37"/>
  <c r="D34"/>
  <c r="D31"/>
  <c r="D23"/>
  <c r="D22"/>
  <c r="D21"/>
  <c r="D20"/>
  <c r="D19"/>
  <c r="D17"/>
  <c r="D15"/>
  <c r="D11"/>
  <c r="D9"/>
  <c r="E34" i="4"/>
  <c r="E30"/>
  <c r="E20"/>
  <c r="E19"/>
  <c r="E11"/>
  <c r="E44" i="3"/>
  <c r="E43"/>
  <c r="E30"/>
  <c r="E29"/>
  <c r="E23"/>
  <c r="E21"/>
  <c r="E13"/>
  <c r="E47" i="8"/>
  <c r="E35"/>
  <c r="E8"/>
  <c r="E14"/>
  <c r="E19"/>
  <c r="J84" i="13"/>
  <c r="I84"/>
  <c r="J23"/>
  <c r="J22"/>
  <c r="J11"/>
  <c r="J10"/>
  <c r="J9"/>
  <c r="J8" s="1"/>
  <c r="I9"/>
  <c r="E10" i="12"/>
  <c r="E68" i="9" s="1"/>
  <c r="D10" i="12"/>
  <c r="L10" i="11"/>
  <c r="G10"/>
  <c r="M10" s="1"/>
  <c r="G11"/>
  <c r="C22" i="6"/>
  <c r="D22"/>
  <c r="C16"/>
  <c r="D16"/>
  <c r="B16"/>
  <c r="F8"/>
  <c r="G8"/>
  <c r="C8"/>
  <c r="D8"/>
  <c r="E8"/>
  <c r="B8"/>
  <c r="G9"/>
  <c r="G10"/>
  <c r="G12"/>
  <c r="G13"/>
  <c r="G15"/>
  <c r="E155" i="9"/>
  <c r="F155"/>
  <c r="D11" i="8"/>
  <c r="D20"/>
  <c r="F20" s="1"/>
  <c r="D21"/>
  <c r="F21" s="1"/>
  <c r="D22"/>
  <c r="D23"/>
  <c r="D24"/>
  <c r="D30"/>
  <c r="F80" i="9"/>
  <c r="F82"/>
  <c r="F83"/>
  <c r="F84"/>
  <c r="F12" i="12"/>
  <c r="F68" i="9"/>
  <c r="E41" i="12"/>
  <c r="F41"/>
  <c r="F27"/>
  <c r="F75" i="9" s="1"/>
  <c r="F29" i="12"/>
  <c r="F45" s="1"/>
  <c r="F30"/>
  <c r="F26"/>
  <c r="F42" s="1"/>
  <c r="D26"/>
  <c r="D69" i="9" s="1"/>
  <c r="D8" i="12"/>
  <c r="D40" s="1"/>
  <c r="G40" s="1"/>
  <c r="D71" i="9"/>
  <c r="I75" i="13"/>
  <c r="F25" i="9"/>
  <c r="F11" i="8"/>
  <c r="D25" i="12"/>
  <c r="G25" s="1"/>
  <c r="G41" s="1"/>
  <c r="D43" i="8" s="1"/>
  <c r="D41" s="1"/>
  <c r="D9" i="12"/>
  <c r="A41"/>
  <c r="A42" s="1"/>
  <c r="A43" s="1"/>
  <c r="A44" s="1"/>
  <c r="A45" s="1"/>
  <c r="A46" s="1"/>
  <c r="A47" s="1"/>
  <c r="A48" s="1"/>
  <c r="A49" s="1"/>
  <c r="A26"/>
  <c r="A27" s="1"/>
  <c r="A28" s="1"/>
  <c r="A29" s="1"/>
  <c r="A30" s="1"/>
  <c r="A31" s="1"/>
  <c r="A32" s="1"/>
  <c r="A33" s="1"/>
  <c r="A25"/>
  <c r="A9"/>
  <c r="A10" s="1"/>
  <c r="A11" s="1"/>
  <c r="A12" s="1"/>
  <c r="A13" s="1"/>
  <c r="A14" s="1"/>
  <c r="A15" s="1"/>
  <c r="A16" s="1"/>
  <c r="A17" s="1"/>
  <c r="K32" i="14"/>
  <c r="J75" i="13"/>
  <c r="J85"/>
  <c r="J83"/>
  <c r="J79"/>
  <c r="J73"/>
  <c r="J67"/>
  <c r="J63"/>
  <c r="J61"/>
  <c r="G152" i="9"/>
  <c r="G153"/>
  <c r="G154"/>
  <c r="D39" i="3"/>
  <c r="F39" s="1"/>
  <c r="I91" i="13"/>
  <c r="F41" i="3"/>
  <c r="K27" i="14"/>
  <c r="K31" s="1"/>
  <c r="G172" i="9"/>
  <c r="D81"/>
  <c r="D29" i="12"/>
  <c r="I21" i="11"/>
  <c r="G39" i="12"/>
  <c r="G23"/>
  <c r="D23"/>
  <c r="D39" s="1"/>
  <c r="I59" i="13"/>
  <c r="G97" i="9"/>
  <c r="F11" i="3"/>
  <c r="E11" i="12"/>
  <c r="E74" i="9" s="1"/>
  <c r="I24" i="11"/>
  <c r="K24" s="1"/>
  <c r="G21"/>
  <c r="L21"/>
  <c r="L18"/>
  <c r="I18"/>
  <c r="K18" s="1"/>
  <c r="G18"/>
  <c r="I19"/>
  <c r="K19" s="1"/>
  <c r="M19" s="1"/>
  <c r="I20"/>
  <c r="K20" s="1"/>
  <c r="G20"/>
  <c r="I11"/>
  <c r="G104" i="9"/>
  <c r="G107" s="1"/>
  <c r="D14" i="3" s="1"/>
  <c r="G30" i="9"/>
  <c r="I17" i="11"/>
  <c r="K17" s="1"/>
  <c r="D15" i="9"/>
  <c r="D14" s="1"/>
  <c r="D24"/>
  <c r="G24" s="1"/>
  <c r="D9" i="8" s="1"/>
  <c r="D84" i="9"/>
  <c r="D23" i="4"/>
  <c r="M22" i="11"/>
  <c r="G17"/>
  <c r="G19"/>
  <c r="D75" i="9"/>
  <c r="D74"/>
  <c r="D83"/>
  <c r="D80"/>
  <c r="D78"/>
  <c r="D77"/>
  <c r="D22" i="4"/>
  <c r="F22" s="1"/>
  <c r="D28"/>
  <c r="D27"/>
  <c r="F27" s="1"/>
  <c r="D26"/>
  <c r="F26" s="1"/>
  <c r="I83" i="13"/>
  <c r="I81"/>
  <c r="I79"/>
  <c r="I89"/>
  <c r="I86"/>
  <c r="I77"/>
  <c r="I73"/>
  <c r="I72"/>
  <c r="I71"/>
  <c r="I63"/>
  <c r="I61"/>
  <c r="K43" i="14"/>
  <c r="I22" i="13" s="1"/>
  <c r="K16" i="14"/>
  <c r="K17" s="1"/>
  <c r="I21" i="13"/>
  <c r="I23"/>
  <c r="I20"/>
  <c r="I19" s="1"/>
  <c r="I15"/>
  <c r="I14"/>
  <c r="I13"/>
  <c r="I11"/>
  <c r="I10"/>
  <c r="G15" i="12"/>
  <c r="L16" i="11"/>
  <c r="C46" i="12"/>
  <c r="C45"/>
  <c r="C44"/>
  <c r="C43"/>
  <c r="C30"/>
  <c r="C29"/>
  <c r="C28"/>
  <c r="C27"/>
  <c r="F28"/>
  <c r="F78" i="9" s="1"/>
  <c r="D30" i="12"/>
  <c r="D28"/>
  <c r="D27"/>
  <c r="F14"/>
  <c r="F46" s="1"/>
  <c r="F11"/>
  <c r="F74" i="9" s="1"/>
  <c r="E14" i="12"/>
  <c r="E83" i="9" s="1"/>
  <c r="E13" i="12"/>
  <c r="E12"/>
  <c r="D14"/>
  <c r="D46" s="1"/>
  <c r="D13"/>
  <c r="D45" s="1"/>
  <c r="D12"/>
  <c r="G263" i="9"/>
  <c r="J36" i="11"/>
  <c r="C36"/>
  <c r="F36"/>
  <c r="H36"/>
  <c r="G23"/>
  <c r="G24"/>
  <c r="G27"/>
  <c r="G29"/>
  <c r="M29" s="1"/>
  <c r="G30"/>
  <c r="M30" s="1"/>
  <c r="G31"/>
  <c r="G32"/>
  <c r="G33"/>
  <c r="G34"/>
  <c r="G35"/>
  <c r="G16"/>
  <c r="G28"/>
  <c r="L28"/>
  <c r="L29"/>
  <c r="L30"/>
  <c r="I34"/>
  <c r="K34" s="1"/>
  <c r="M34" s="1"/>
  <c r="I32"/>
  <c r="K32" s="1"/>
  <c r="M32" s="1"/>
  <c r="I29"/>
  <c r="K29" s="1"/>
  <c r="I33"/>
  <c r="K33" s="1"/>
  <c r="M33" s="1"/>
  <c r="L33"/>
  <c r="L34"/>
  <c r="L17"/>
  <c r="L19"/>
  <c r="L20"/>
  <c r="L23"/>
  <c r="K23" s="1"/>
  <c r="L24"/>
  <c r="L27"/>
  <c r="I27" s="1"/>
  <c r="E29" i="12" s="1"/>
  <c r="L31" i="11"/>
  <c r="I31" s="1"/>
  <c r="E30" i="12" s="1"/>
  <c r="L32" i="11"/>
  <c r="J64" i="13"/>
  <c r="I99"/>
  <c r="J66"/>
  <c r="J65"/>
  <c r="J59"/>
  <c r="J15"/>
  <c r="J12" s="1"/>
  <c r="K7" i="14"/>
  <c r="K52"/>
  <c r="K20"/>
  <c r="K26" s="1"/>
  <c r="D16" i="4"/>
  <c r="F16" s="1"/>
  <c r="D17"/>
  <c r="I66" i="13" s="1"/>
  <c r="F22" i="8"/>
  <c r="G17" i="9"/>
  <c r="G18"/>
  <c r="G19"/>
  <c r="G20"/>
  <c r="G21"/>
  <c r="H39" i="11"/>
  <c r="G15" i="9"/>
  <c r="G14" s="1"/>
  <c r="G16"/>
  <c r="G22"/>
  <c r="G23"/>
  <c r="E14"/>
  <c r="F14"/>
  <c r="B16"/>
  <c r="B17"/>
  <c r="B18"/>
  <c r="B19" s="1"/>
  <c r="B20" s="1"/>
  <c r="B21" s="1"/>
  <c r="B22" s="1"/>
  <c r="B23" s="1"/>
  <c r="G206"/>
  <c r="D13" i="4" s="1"/>
  <c r="F13" s="1"/>
  <c r="G192" i="9"/>
  <c r="D9" i="4" s="1"/>
  <c r="F9" s="1"/>
  <c r="G182" i="9"/>
  <c r="D8" i="4" s="1"/>
  <c r="D7"/>
  <c r="I29" i="13"/>
  <c r="K54" i="14"/>
  <c r="I2"/>
  <c r="I1"/>
  <c r="B2" i="13"/>
  <c r="B1"/>
  <c r="E54" i="12"/>
  <c r="B2"/>
  <c r="B1"/>
  <c r="G237" i="9"/>
  <c r="B2" i="11"/>
  <c r="B53" i="13" s="1"/>
  <c r="B1" i="11"/>
  <c r="B52" i="13" s="1"/>
  <c r="D10" i="3"/>
  <c r="F10" s="1"/>
  <c r="C10" i="8"/>
  <c r="C9"/>
  <c r="F18"/>
  <c r="D155" i="9"/>
  <c r="G137"/>
  <c r="D17" i="3" s="1"/>
  <c r="F17" s="1"/>
  <c r="G145" i="9"/>
  <c r="D18" i="3" s="1"/>
  <c r="F18" s="1"/>
  <c r="F96" i="9"/>
  <c r="G57"/>
  <c r="G116"/>
  <c r="E98"/>
  <c r="D98"/>
  <c r="G71"/>
  <c r="B68"/>
  <c r="B71" s="1"/>
  <c r="B74" s="1"/>
  <c r="B77" s="1"/>
  <c r="B80" s="1"/>
  <c r="B83" s="1"/>
  <c r="G12"/>
  <c r="G49" i="12"/>
  <c r="G48"/>
  <c r="G47"/>
  <c r="G33"/>
  <c r="G32"/>
  <c r="G31"/>
  <c r="G24"/>
  <c r="G17"/>
  <c r="G16"/>
  <c r="G8"/>
  <c r="L14" i="11"/>
  <c r="I14" s="1"/>
  <c r="K14" s="1"/>
  <c r="G14"/>
  <c r="L13"/>
  <c r="I13" s="1"/>
  <c r="G13"/>
  <c r="L11"/>
  <c r="L9"/>
  <c r="I9" s="1"/>
  <c r="G9"/>
  <c r="L8"/>
  <c r="I8"/>
  <c r="K8" s="1"/>
  <c r="G8"/>
  <c r="A27" i="9"/>
  <c r="C15" i="8"/>
  <c r="C45" i="5"/>
  <c r="C44"/>
  <c r="E25" i="6"/>
  <c r="E24"/>
  <c r="C4" i="5"/>
  <c r="B4"/>
  <c r="D5" i="6"/>
  <c r="C5"/>
  <c r="A2"/>
  <c r="A1"/>
  <c r="B2" i="5"/>
  <c r="B1"/>
  <c r="E37" i="4"/>
  <c r="E36"/>
  <c r="C4"/>
  <c r="B4"/>
  <c r="C4" i="3"/>
  <c r="B4"/>
  <c r="C4" i="8"/>
  <c r="B4"/>
  <c r="B2" i="4"/>
  <c r="B1"/>
  <c r="E47" i="3"/>
  <c r="E46"/>
  <c r="E51" i="8"/>
  <c r="E50"/>
  <c r="F25" i="4"/>
  <c r="F23"/>
  <c r="F10"/>
  <c r="F12" i="3"/>
  <c r="F19"/>
  <c r="C23" i="5" s="1"/>
  <c r="F20" i="3"/>
  <c r="F25"/>
  <c r="F26"/>
  <c r="C34" i="5" s="1"/>
  <c r="C37" s="1"/>
  <c r="F27" i="3"/>
  <c r="F28"/>
  <c r="F32"/>
  <c r="F33"/>
  <c r="F35"/>
  <c r="F36"/>
  <c r="F40"/>
  <c r="F8"/>
  <c r="B2"/>
  <c r="B1"/>
  <c r="B2" i="8"/>
  <c r="B1"/>
  <c r="F12"/>
  <c r="F13"/>
  <c r="F25"/>
  <c r="F26"/>
  <c r="F27"/>
  <c r="C18" i="5" s="1"/>
  <c r="F31" i="8"/>
  <c r="F32"/>
  <c r="F33"/>
  <c r="F34"/>
  <c r="F40"/>
  <c r="F42"/>
  <c r="F44"/>
  <c r="F45"/>
  <c r="F46"/>
  <c r="F30"/>
  <c r="G29" i="9"/>
  <c r="A36"/>
  <c r="I28" i="11"/>
  <c r="K28" s="1"/>
  <c r="E36"/>
  <c r="C17" i="8"/>
  <c r="C18"/>
  <c r="G39" i="9"/>
  <c r="A47"/>
  <c r="C20" i="8"/>
  <c r="C24"/>
  <c r="G49" i="9"/>
  <c r="A61"/>
  <c r="C23" i="8"/>
  <c r="C22"/>
  <c r="C21"/>
  <c r="C38"/>
  <c r="C39"/>
  <c r="C37"/>
  <c r="A90" i="9"/>
  <c r="C10" i="3" s="1"/>
  <c r="G65" i="9"/>
  <c r="C36" i="8"/>
  <c r="G94" i="9"/>
  <c r="A101"/>
  <c r="G103" s="1"/>
  <c r="C14" i="3"/>
  <c r="A110" i="9"/>
  <c r="A118" s="1"/>
  <c r="E25"/>
  <c r="D43" i="12"/>
  <c r="K11" i="11"/>
  <c r="M11" s="1"/>
  <c r="K21"/>
  <c r="M21" s="1"/>
  <c r="G10" i="12"/>
  <c r="D68" i="9"/>
  <c r="G98"/>
  <c r="F98"/>
  <c r="D85"/>
  <c r="F24" i="8"/>
  <c r="E80" i="9"/>
  <c r="G11" i="12"/>
  <c r="I18" i="13"/>
  <c r="I16" s="1"/>
  <c r="F7" i="4"/>
  <c r="G14" i="12"/>
  <c r="D9" i="3"/>
  <c r="F9" s="1"/>
  <c r="C31" i="5"/>
  <c r="G33" i="9" l="1"/>
  <c r="D15" i="8" s="1"/>
  <c r="E16" i="6"/>
  <c r="E22" s="1"/>
  <c r="D38" i="3" s="1"/>
  <c r="D37" s="1"/>
  <c r="F37" s="1"/>
  <c r="D24" i="4"/>
  <c r="F24" s="1"/>
  <c r="G229" i="9"/>
  <c r="D14" i="4" s="1"/>
  <c r="F14" s="1"/>
  <c r="K12" i="14"/>
  <c r="G13" i="12"/>
  <c r="G36" i="11"/>
  <c r="F76" i="9"/>
  <c r="D76"/>
  <c r="D42" i="12"/>
  <c r="G155" i="9"/>
  <c r="D24" i="3" s="1"/>
  <c r="D23" s="1"/>
  <c r="F28" i="4"/>
  <c r="I85" i="13"/>
  <c r="D15" i="4"/>
  <c r="F15" s="1"/>
  <c r="I65" i="13"/>
  <c r="D15" i="3"/>
  <c r="F15" s="1"/>
  <c r="C20" i="5" s="1"/>
  <c r="F11" i="6"/>
  <c r="E28" i="8"/>
  <c r="E48" s="1"/>
  <c r="D70" i="9"/>
  <c r="M14" i="11"/>
  <c r="M18"/>
  <c r="M17"/>
  <c r="D82" i="9"/>
  <c r="M20" i="11"/>
  <c r="K9"/>
  <c r="M9" s="1"/>
  <c r="E26" i="12"/>
  <c r="E69" i="9" s="1"/>
  <c r="E45" i="12"/>
  <c r="G74" i="9"/>
  <c r="F43" i="12"/>
  <c r="E46"/>
  <c r="F69" i="9"/>
  <c r="F70" s="1"/>
  <c r="F44" i="12"/>
  <c r="D67" i="9"/>
  <c r="G67" s="1"/>
  <c r="D36" i="8" s="1"/>
  <c r="F36" s="1"/>
  <c r="E42" i="12"/>
  <c r="M24" i="11"/>
  <c r="E43" i="12"/>
  <c r="F77" i="9"/>
  <c r="F79" s="1"/>
  <c r="C16" i="3"/>
  <c r="A131" i="9"/>
  <c r="G121"/>
  <c r="C11" i="3"/>
  <c r="G112" i="9"/>
  <c r="C15" i="3"/>
  <c r="D17" i="8"/>
  <c r="F17" s="1"/>
  <c r="F17" i="4"/>
  <c r="K13" i="14"/>
  <c r="K44" s="1"/>
  <c r="D19" i="8"/>
  <c r="F19" s="1"/>
  <c r="C15" i="5" s="1"/>
  <c r="D10" i="8"/>
  <c r="F10" s="1"/>
  <c r="C40" i="5"/>
  <c r="D79" i="9"/>
  <c r="I12" i="11"/>
  <c r="G244" i="9" s="1"/>
  <c r="I15" i="11"/>
  <c r="K13"/>
  <c r="M13" s="1"/>
  <c r="D41" i="12"/>
  <c r="F41" i="8" s="1"/>
  <c r="D72" i="9"/>
  <c r="L36" i="11"/>
  <c r="M28"/>
  <c r="G83" i="9"/>
  <c r="M23" i="11"/>
  <c r="E28" i="12"/>
  <c r="E78" i="9" s="1"/>
  <c r="G78" s="1"/>
  <c r="I26" i="11"/>
  <c r="G246" i="9" s="1"/>
  <c r="G12" i="12"/>
  <c r="D18"/>
  <c r="E18"/>
  <c r="F18"/>
  <c r="D34"/>
  <c r="I30" i="11"/>
  <c r="K27"/>
  <c r="M8"/>
  <c r="I35"/>
  <c r="K31"/>
  <c r="I22"/>
  <c r="K16"/>
  <c r="M16" s="1"/>
  <c r="I58" i="13"/>
  <c r="E269" i="9"/>
  <c r="G269" s="1"/>
  <c r="I12" i="13"/>
  <c r="D11" i="4"/>
  <c r="F11" s="1"/>
  <c r="I8" i="13"/>
  <c r="F23" i="8"/>
  <c r="C22" i="5"/>
  <c r="F15" i="8"/>
  <c r="C16" i="5" s="1"/>
  <c r="G25" i="9"/>
  <c r="I64" i="13"/>
  <c r="D25" i="9"/>
  <c r="G80"/>
  <c r="G68"/>
  <c r="D44" i="12"/>
  <c r="F8" i="4"/>
  <c r="E77" i="9"/>
  <c r="E86" s="1"/>
  <c r="F34" i="12"/>
  <c r="I68" i="13"/>
  <c r="J24"/>
  <c r="J68"/>
  <c r="J58"/>
  <c r="F14" i="3"/>
  <c r="C19" i="5" s="1"/>
  <c r="F38" i="3" l="1"/>
  <c r="F86" i="9"/>
  <c r="G26" i="12"/>
  <c r="G42" s="1"/>
  <c r="D37" i="8" s="1"/>
  <c r="F37" s="1"/>
  <c r="F16" i="6"/>
  <c r="G11"/>
  <c r="G16" s="1"/>
  <c r="F50" i="12"/>
  <c r="D50"/>
  <c r="E44"/>
  <c r="G69" i="9"/>
  <c r="G70" s="1"/>
  <c r="M31" i="11"/>
  <c r="G30" i="12"/>
  <c r="G46" s="1"/>
  <c r="M27" i="11"/>
  <c r="G29" i="12"/>
  <c r="G45" s="1"/>
  <c r="E70" i="9"/>
  <c r="G18" i="6"/>
  <c r="G19"/>
  <c r="C17" i="3"/>
  <c r="A139" i="9"/>
  <c r="G133"/>
  <c r="D8" i="8"/>
  <c r="G28" i="12"/>
  <c r="G44" s="1"/>
  <c r="F43" i="8"/>
  <c r="D73" i="9"/>
  <c r="D86" s="1"/>
  <c r="D87" s="1"/>
  <c r="G72"/>
  <c r="G73" s="1"/>
  <c r="G18" i="12"/>
  <c r="G247" i="9"/>
  <c r="G248"/>
  <c r="G245"/>
  <c r="I36" i="11"/>
  <c r="K36"/>
  <c r="I24" i="13"/>
  <c r="F24" i="3"/>
  <c r="E49" i="8"/>
  <c r="F9"/>
  <c r="G77" i="9"/>
  <c r="G79" s="1"/>
  <c r="E79"/>
  <c r="J90" i="13"/>
  <c r="F23" i="3"/>
  <c r="D29"/>
  <c r="M36" i="11" l="1"/>
  <c r="D39" i="8"/>
  <c r="G20" i="6"/>
  <c r="A146" i="9"/>
  <c r="C18" i="3"/>
  <c r="G141" i="9"/>
  <c r="E81"/>
  <c r="E84"/>
  <c r="G249"/>
  <c r="E270" s="1"/>
  <c r="G27" i="12"/>
  <c r="G43" s="1"/>
  <c r="D38" i="8" s="1"/>
  <c r="E75" i="9"/>
  <c r="E34" i="12"/>
  <c r="C41" i="5"/>
  <c r="F8" i="8"/>
  <c r="D40" i="5" s="1"/>
  <c r="F29" i="3"/>
  <c r="D35" i="8" l="1"/>
  <c r="D47" s="1"/>
  <c r="C24" i="3"/>
  <c r="G149" i="9"/>
  <c r="A160"/>
  <c r="D18" i="4"/>
  <c r="C11" i="5" s="1"/>
  <c r="E82" i="9"/>
  <c r="G81"/>
  <c r="G82" s="1"/>
  <c r="F39" i="8"/>
  <c r="E50" i="12"/>
  <c r="G84" i="9"/>
  <c r="G85" s="1"/>
  <c r="E85"/>
  <c r="G270"/>
  <c r="G272" s="1"/>
  <c r="G274" s="1"/>
  <c r="G275" s="1"/>
  <c r="E272"/>
  <c r="G75"/>
  <c r="G76" s="1"/>
  <c r="E76"/>
  <c r="G34" i="12"/>
  <c r="G21" i="6" l="1"/>
  <c r="G163" i="9"/>
  <c r="C7" i="4"/>
  <c r="A174" i="9"/>
  <c r="D19" i="4"/>
  <c r="D20" s="1"/>
  <c r="I67" i="13"/>
  <c r="I90" s="1"/>
  <c r="F18" i="4"/>
  <c r="G86" i="9"/>
  <c r="G50" i="12"/>
  <c r="G277" i="9"/>
  <c r="D32" i="4"/>
  <c r="F32" s="1"/>
  <c r="D34" i="3" l="1"/>
  <c r="F34" s="1"/>
  <c r="G45" i="9"/>
  <c r="D16" i="8" s="1"/>
  <c r="D14" s="1"/>
  <c r="D28" s="1"/>
  <c r="D48" s="1"/>
  <c r="G123" i="9"/>
  <c r="G129" s="1"/>
  <c r="D16" i="3" s="1"/>
  <c r="A184" i="9"/>
  <c r="G177"/>
  <c r="C8" i="4"/>
  <c r="F19"/>
  <c r="F38" i="8"/>
  <c r="F16"/>
  <c r="C17" i="5" s="1"/>
  <c r="D30" i="4"/>
  <c r="F20"/>
  <c r="F16" i="3" l="1"/>
  <c r="C21" i="5" s="1"/>
  <c r="D13" i="3"/>
  <c r="A194" i="9"/>
  <c r="C9" i="4"/>
  <c r="G188" i="9"/>
  <c r="F30" i="4"/>
  <c r="D34"/>
  <c r="F35" i="8"/>
  <c r="F47"/>
  <c r="F14"/>
  <c r="D21" i="3" l="1"/>
  <c r="F13"/>
  <c r="G197" i="9"/>
  <c r="A208"/>
  <c r="C13" i="4"/>
  <c r="F28" i="8"/>
  <c r="F48"/>
  <c r="F34" i="4"/>
  <c r="D42" i="3"/>
  <c r="F17" i="6" s="1"/>
  <c r="G17" l="1"/>
  <c r="G22" s="1"/>
  <c r="F22"/>
  <c r="D30" i="3"/>
  <c r="F30" s="1"/>
  <c r="F21"/>
  <c r="A231" i="9"/>
  <c r="G212"/>
  <c r="C14" i="4"/>
  <c r="F42" i="3"/>
  <c r="C9" i="5"/>
  <c r="C24" s="1"/>
  <c r="C38" s="1"/>
  <c r="D43" i="3"/>
  <c r="C16" i="4" l="1"/>
  <c r="A239" i="9"/>
  <c r="C17" i="4"/>
  <c r="G233" i="9"/>
  <c r="D44" i="3"/>
  <c r="F43"/>
  <c r="C18" i="4" l="1"/>
  <c r="G242" i="9"/>
  <c r="A251"/>
  <c r="F44" i="3"/>
  <c r="D45"/>
  <c r="C27" i="4" l="1"/>
  <c r="A265" i="9"/>
  <c r="G254"/>
  <c r="C26" i="4"/>
  <c r="G267" i="9" l="1"/>
  <c r="C32" i="4"/>
</calcChain>
</file>

<file path=xl/sharedStrings.xml><?xml version="1.0" encoding="utf-8"?>
<sst xmlns="http://schemas.openxmlformats.org/spreadsheetml/2006/main" count="967" uniqueCount="550">
  <si>
    <t>Adresa:</t>
  </si>
  <si>
    <t>PASQYRAT FINANCIARE INDIVIDUALE</t>
  </si>
  <si>
    <t>DHE</t>
  </si>
  <si>
    <t>SHENIMET SHPJEGUESE</t>
  </si>
  <si>
    <t>LEKE</t>
  </si>
  <si>
    <t>0.00 Leke</t>
  </si>
  <si>
    <t>Njësia ekonomike raportuese:</t>
  </si>
  <si>
    <t>Data e bilancit:</t>
  </si>
  <si>
    <t>Të dhëna idenifikuese:</t>
  </si>
  <si>
    <t xml:space="preserve">Periudha Kontabël: </t>
  </si>
  <si>
    <t xml:space="preserve">Monedha e paraqitjes: </t>
  </si>
  <si>
    <t>Shkalla e rrumbullakimit:</t>
  </si>
  <si>
    <t>Monedha: LEKE</t>
  </si>
  <si>
    <t>Viti raportues</t>
  </si>
  <si>
    <t>Viti paraardhes</t>
  </si>
  <si>
    <t>Ndryshimet +/-</t>
  </si>
  <si>
    <t>AKTIVET</t>
  </si>
  <si>
    <t>I</t>
  </si>
  <si>
    <t>Aktivet Afatshkurtra</t>
  </si>
  <si>
    <t>Mjete monetare</t>
  </si>
  <si>
    <t xml:space="preserve"> -</t>
  </si>
  <si>
    <t>Arka</t>
  </si>
  <si>
    <t>Banka</t>
  </si>
  <si>
    <t>Derivative te mbajtura per tregtim</t>
  </si>
  <si>
    <t>Derivativet</t>
  </si>
  <si>
    <t>Aktivet e mbajtura per tregtim</t>
  </si>
  <si>
    <t>Aktive te tjera afatshkurtra financiare</t>
  </si>
  <si>
    <t>Llogari/Kerkesa te arketueshme</t>
  </si>
  <si>
    <t>Llogari/Kerkesa te tjera te arketueshme</t>
  </si>
  <si>
    <t>Instrumente te tjera borxhi</t>
  </si>
  <si>
    <t>Investime te tjera financiare</t>
  </si>
  <si>
    <t>Inventari</t>
  </si>
  <si>
    <t>Lendet e para</t>
  </si>
  <si>
    <t>Prodhim ne proces</t>
  </si>
  <si>
    <t>Produkte te gatshme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</si>
  <si>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</si>
  <si>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</si>
  <si>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</si>
  <si>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</si>
  <si>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</si>
  <si>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Totali per Aktivet Afatshkurtra</t>
  </si>
  <si>
    <t>II</t>
  </si>
  <si>
    <t>Aktivet Afatgjata</t>
  </si>
  <si>
    <t>Investimet financiare afatgjata</t>
  </si>
  <si>
    <t>Aksione dhe investime te tjera ne pjesmarrje</t>
  </si>
  <si>
    <t>Aksione dhe letra te tjera me vlere</t>
  </si>
  <si>
    <t>Llogari/Kerkesa te arketueshme afatgjata</t>
  </si>
  <si>
    <t>Aktive afatgjata materiale</t>
  </si>
  <si>
    <t>Toka</t>
  </si>
  <si>
    <t>Ndertesa</t>
  </si>
  <si>
    <t>Makineri dhe pajisje</t>
  </si>
  <si>
    <t>Aktive te tjera afatgjata materiale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</si>
  <si>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</si>
  <si>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</si>
  <si>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</si>
  <si>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</si>
  <si>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</si>
  <si>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</si>
  <si>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Aktive te tjera afatgjata (ne proces)</t>
  </si>
  <si>
    <t>Totali per Aktivet Afatgjata</t>
  </si>
  <si>
    <t>Detyrimet Afatshkurtra</t>
  </si>
  <si>
    <t>Derivativet (vlera negative)</t>
  </si>
  <si>
    <t>Huamarrjet</t>
  </si>
  <si>
    <t>Huat dhe obligacionet afatshkurtra</t>
  </si>
  <si>
    <t>Kthimet/ripagesat e huave afatgjata</t>
  </si>
  <si>
    <t>Bono te konvertueshme</t>
  </si>
  <si>
    <t>Huat dhe parapagimet</t>
  </si>
  <si>
    <t>Te pagueshme ndaj furnitoreve</t>
  </si>
  <si>
    <t>Te pagueshme ndaj punonjesve</t>
  </si>
  <si>
    <t>Detyrimet tatimore</t>
  </si>
  <si>
    <t>Hua te tjera</t>
  </si>
  <si>
    <t>Parapagimet e arketuara</t>
  </si>
  <si>
    <t>Grantet dhe te ardhurat e shtyra</t>
  </si>
  <si>
    <t>Provizionet afatshkurtra</t>
  </si>
  <si>
    <t>Totali per Detyrimet Afatshkurtra</t>
  </si>
  <si>
    <t>Detyrimet Afatgjata</t>
  </si>
  <si>
    <t>Huat afatgjata</t>
  </si>
  <si>
    <t>Bonot e konvertueshme</t>
  </si>
  <si>
    <t>Huamarrje te tjera afatgjata</t>
  </si>
  <si>
    <t>Provizionet afatgjata</t>
  </si>
  <si>
    <t>Grantet dhe te ardhura te shtyra</t>
  </si>
  <si>
    <t>Totali per Detyrimet Afatgjata</t>
  </si>
  <si>
    <t>Totali i detyrimeve</t>
  </si>
  <si>
    <t>KAPITALI</t>
  </si>
  <si>
    <t>Aksionet e pakices</t>
  </si>
  <si>
    <t>Kapitali aksionareve te shoqerise meme</t>
  </si>
  <si>
    <t>Kapitali aksionar</t>
  </si>
  <si>
    <t>Primi i aksionit</t>
  </si>
  <si>
    <t>Njesite ose aksionet e thesarit</t>
  </si>
  <si>
    <t>Rezerva</t>
  </si>
  <si>
    <t>Rezerva ligjore</t>
  </si>
  <si>
    <t>Rezerva te tjera</t>
  </si>
  <si>
    <t>Rezerva statuore</t>
  </si>
  <si>
    <t>Fitimet e pashperndara</t>
  </si>
  <si>
    <t>Fitimi/Humbja e vitit financiar</t>
  </si>
  <si>
    <t>Totali per kapitalin</t>
  </si>
  <si>
    <t>PASIVET</t>
  </si>
  <si>
    <t>Aksione, pjesemarrje ne njesi te kontrolluara</t>
  </si>
  <si>
    <t>Hua, bono dhe detyrime nga leasing</t>
  </si>
  <si>
    <t>TOTALI I PASIVEVE DHE KAPITALIT</t>
  </si>
  <si>
    <t>TOTALI I AKTIVEVE</t>
  </si>
  <si>
    <t>III</t>
  </si>
  <si>
    <t>Shenime</t>
  </si>
  <si>
    <t>Nr.</t>
  </si>
  <si>
    <t>Pershkrimi</t>
  </si>
  <si>
    <t>Viti ushtrimor</t>
  </si>
  <si>
    <t>Viti parardhes</t>
  </si>
  <si>
    <t>Ndryshimi +/-</t>
  </si>
  <si>
    <t>Shitjet neto</t>
  </si>
  <si>
    <t>Te ardhura te tjera nga veprimtarite e shfrytezimit</t>
  </si>
  <si>
    <t>Ndryshimet ne inventarin e P.G dhe P.Proces</t>
  </si>
  <si>
    <t xml:space="preserve">Puna e kryer nga njesia ekonomike </t>
  </si>
  <si>
    <t>Totali te ardhurave nga veprimtaria</t>
  </si>
  <si>
    <t>Mallrat, lendet e para dhe sherbimet</t>
  </si>
  <si>
    <t>Shpenzime te tjera nga veprimtarite e shfrytezimit</t>
  </si>
  <si>
    <t>Shpenzimet e personelit</t>
  </si>
  <si>
    <t xml:space="preserve"> - </t>
  </si>
  <si>
    <t>Pagat e punonjesve</t>
  </si>
  <si>
    <t>Shpenzimet e sigurimeve shoqerore</t>
  </si>
  <si>
    <t>Renia ne vlere (zhvleresimi) dhe amortizimi</t>
  </si>
  <si>
    <t>Totali i shpenzimeve</t>
  </si>
  <si>
    <t xml:space="preserve">Te ardhurat dhe shpenzimet financiare </t>
  </si>
  <si>
    <t>Te ardhura dhe shpenzimet financiare</t>
  </si>
  <si>
    <t>Te ardhurat dhe shpenzimet nga interesi</t>
  </si>
  <si>
    <t>Fitimet (humbjet) nga kursi i kembimit</t>
  </si>
  <si>
    <t>Te ardhura dhe shpenzime te tjera financiare</t>
  </si>
  <si>
    <t>Fitimi (Humbja) para Tatimit</t>
  </si>
  <si>
    <t>Shpenzimet e tatimit mbi fitimin</t>
  </si>
  <si>
    <t>Fitimi (Humbja) neto e vitit financiar</t>
  </si>
  <si>
    <t>Administratori i shoqerise</t>
  </si>
  <si>
    <t>BILANCI KONTABEL</t>
  </si>
  <si>
    <t>PASYRA E TE ARDHURAVE DHE SHPENZIMEVE</t>
  </si>
  <si>
    <t>Fitimi(Humbja) nga veprimtarite e shfrytezimit</t>
  </si>
  <si>
    <t>Nga investime te tjera financiare afatgjata</t>
  </si>
  <si>
    <t>Te ardh. &amp; shpenzimet financiare nga pjesmarrjet</t>
  </si>
  <si>
    <t>Fitim / Humbja e vitit</t>
  </si>
  <si>
    <t>Amortizimi dhe zhvleresimi</t>
  </si>
  <si>
    <t>(Rritja) /   Ulja e shpenzimeve te parapaguara</t>
  </si>
  <si>
    <t>Fluksi i parave nga veprimtaritë e shfrytëzimit</t>
  </si>
  <si>
    <t>Rregullime për:</t>
  </si>
  <si>
    <t>Humbje nga këmbimet valutore</t>
  </si>
  <si>
    <t>Të ardhura nga investimet</t>
  </si>
  <si>
    <t>Shpenzime për interesa</t>
  </si>
  <si>
    <t>Rritje/rënie në tepricën inventarit</t>
  </si>
  <si>
    <t>Rritje/rënie në tepricën e debitoreve te tjere</t>
  </si>
  <si>
    <t>Rritje/rënie në tepricën e detyrimeve te tjera</t>
  </si>
  <si>
    <t>Paratë e përftuara nga aktivitetet</t>
  </si>
  <si>
    <t>Paraja neto nga aktivitetet e shfrytëzimit</t>
  </si>
  <si>
    <t>Fluksi i parave nga veprimtaritë investuese</t>
  </si>
  <si>
    <t>Blerja e aktiveve afatgjata materiale</t>
  </si>
  <si>
    <t>Të ardhura nga shitja e pajisjeve</t>
  </si>
  <si>
    <t>Interesi i arkëtuar</t>
  </si>
  <si>
    <t>Dividendët e arkëtuar</t>
  </si>
  <si>
    <t>Paraja neto, e përdorur në aktivitetet investuese</t>
  </si>
  <si>
    <t>Fluksi i parave nga veprimtaritë financiare</t>
  </si>
  <si>
    <t>Të ardhura nga emetimi i kapitalit aksionar</t>
  </si>
  <si>
    <t>Të ardhura nga huamarrje afatgjata</t>
  </si>
  <si>
    <t>Pagesat e detyrimeve të qirasë financiare</t>
  </si>
  <si>
    <t>Dividendët e paguar</t>
  </si>
  <si>
    <t>Paraja neto e përdorur në aktivitetet financiare</t>
  </si>
  <si>
    <t>Rritja/rënia neto e mjeteve monetare</t>
  </si>
  <si>
    <t>Blerja e shoqërisë së kontrolluar minus paratë e arkëtuara</t>
  </si>
  <si>
    <t xml:space="preserve">Mjetet monetare në fillim të periudhës </t>
  </si>
  <si>
    <t>Mjetet monetare në fund të periudhës</t>
  </si>
  <si>
    <t>Rritje/rënie e detyrimeve ndaj furnitoreve</t>
  </si>
  <si>
    <t>Rritje/rënie e detyrimeve sociale te pagueshme</t>
  </si>
  <si>
    <t xml:space="preserve">Rritje/rënie e kërkesave të arkëtueshme </t>
  </si>
  <si>
    <t>PASQYRA E FLUKSIT TE PARAVE  - Metoda indirekte</t>
  </si>
  <si>
    <t>Prime te kapitalit</t>
  </si>
  <si>
    <t>Aksione te thesarit</t>
  </si>
  <si>
    <t>Totali</t>
  </si>
  <si>
    <t>Pozicioni i rregulluar</t>
  </si>
  <si>
    <t>Fitime neto per periudhen raportuese</t>
  </si>
  <si>
    <t>Aksione thesari te riblera</t>
  </si>
  <si>
    <t>PASQYRA E GJENDJES DHE NDRYSHIMIT TE KAPITALEVE TE VETA</t>
  </si>
  <si>
    <t>Efekti i ndryshimeve ne politikat kontabel</t>
  </si>
  <si>
    <t xml:space="preserve">bere sipas kerkesave te Standarteve Kombetare te Kontabilitetit dhe Ligjit nr. 9228 date 29.04.2004, "Për </t>
  </si>
  <si>
    <t xml:space="preserve">kontabilitetin dhe pasqyrat financiare". Ato jane pergatitur ne perputhje me SKK2 mbi bazen e konceptit </t>
  </si>
  <si>
    <t xml:space="preserve">te materialitetit. </t>
  </si>
  <si>
    <t xml:space="preserve">A- </t>
  </si>
  <si>
    <t>Totali:</t>
  </si>
  <si>
    <t>Shpjegimet e zerave te Aktivit te bilancit</t>
  </si>
  <si>
    <t xml:space="preserve">shenimi </t>
  </si>
  <si>
    <t>Shtesat gjate vitit (Faturimet)</t>
  </si>
  <si>
    <t>Pakesimet gjate vitit (Arketimet)</t>
  </si>
  <si>
    <t xml:space="preserve">Inventari imet </t>
  </si>
  <si>
    <t>Emertimi</t>
  </si>
  <si>
    <t>Aktive te Trupezuara</t>
  </si>
  <si>
    <t>Amortizimi</t>
  </si>
  <si>
    <t>Vlera neto</t>
  </si>
  <si>
    <t>Muaji i blerjes</t>
  </si>
  <si>
    <t xml:space="preserve">Shtesa </t>
  </si>
  <si>
    <t>Pakesime</t>
  </si>
  <si>
    <t>Truall</t>
  </si>
  <si>
    <t>Blerje gjate vitit</t>
  </si>
  <si>
    <t>Aktivet e patrupezuara</t>
  </si>
  <si>
    <t>Makineri dhe paisje</t>
  </si>
  <si>
    <t>Mjete transporti</t>
  </si>
  <si>
    <t>Paisje informatike</t>
  </si>
  <si>
    <t>Te tjera Aktive</t>
  </si>
  <si>
    <t>ADMINISTRATORI</t>
  </si>
  <si>
    <t>Nr</t>
  </si>
  <si>
    <t>Sasia</t>
  </si>
  <si>
    <t>Gjendje</t>
  </si>
  <si>
    <t>Shtesa</t>
  </si>
  <si>
    <t>Ndertime</t>
  </si>
  <si>
    <t>Makineri,paisje</t>
  </si>
  <si>
    <t>kompjuterike</t>
  </si>
  <si>
    <t>Zyre</t>
  </si>
  <si>
    <t xml:space="preserve">             TOTALI</t>
  </si>
  <si>
    <t>Makineri,paisje,vegla</t>
  </si>
  <si>
    <t>Administratori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</si>
  <si>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</si>
  <si>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</si>
  <si>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</si>
  <si>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</si>
  <si>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</si>
  <si>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</si>
  <si>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</si>
  <si>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Shitjet gjithsej (a + b +c )</t>
  </si>
  <si>
    <t>a)</t>
  </si>
  <si>
    <t xml:space="preserve">   Te ardhura nga shitja e Produktit te vet 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</si>
  <si>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</si>
  <si>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</si>
  <si>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</si>
  <si>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</si>
  <si>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</si>
  <si>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</si>
  <si>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</si>
  <si>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</si>
  <si>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</si>
  <si>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</si>
  <si>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</si>
  <si>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</si>
  <si>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</si>
  <si>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</si>
  <si>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</si>
  <si>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</si>
  <si>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</si>
  <si>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</si>
  <si>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</si>
  <si>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</si>
  <si>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</si>
  <si>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</si>
  <si>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</si>
  <si>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</si>
  <si>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</si>
  <si>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</si>
  <si>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</si>
  <si>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</si>
  <si>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</si>
  <si>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</si>
  <si>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</si>
  <si>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</si>
  <si>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</si>
  <si>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</si>
  <si>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</si>
  <si>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</si>
  <si>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</si>
  <si>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</si>
  <si>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</si>
  <si>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</si>
  <si>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</si>
  <si>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</si>
  <si>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</si>
  <si>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</si>
  <si>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</si>
  <si>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</si>
  <si>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</si>
  <si>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</si>
  <si>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</si>
  <si>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</si>
  <si>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</si>
  <si>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</si>
  <si>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</si>
  <si>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</si>
  <si>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</si>
  <si>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</si>
  <si>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</si>
  <si>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</si>
  <si>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</si>
  <si>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</si>
  <si>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</si>
  <si>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</si>
  <si>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</si>
  <si>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</si>
  <si>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</si>
  <si>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</si>
  <si>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</si>
  <si>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</si>
  <si>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</si>
  <si>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</si>
  <si>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</si>
  <si>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</si>
  <si>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</si>
  <si>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</si>
  <si>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</si>
  <si>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</si>
  <si>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</si>
  <si>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</si>
  <si>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</si>
  <si>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</si>
  <si>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</si>
  <si>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</si>
  <si>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</si>
  <si>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</si>
  <si>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</si>
  <si>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</si>
  <si>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</si>
  <si>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</si>
  <si>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</si>
  <si>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</si>
  <si>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</si>
  <si>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</si>
  <si>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</si>
  <si>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</si>
  <si>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</si>
  <si>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</si>
  <si>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</si>
  <si>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</si>
  <si>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</si>
  <si>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</si>
  <si>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</si>
  <si>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</si>
  <si>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</si>
  <si>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</si>
  <si>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</si>
  <si>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</si>
  <si>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</si>
  <si>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</si>
  <si>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</si>
  <si>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</si>
  <si>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</si>
  <si>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</si>
  <si>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</si>
  <si>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</si>
  <si>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</si>
  <si>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</si>
  <si>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</si>
  <si>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</si>
  <si>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</si>
  <si>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</si>
  <si>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</si>
  <si>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</si>
  <si>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</si>
  <si>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</si>
  <si>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</si>
  <si>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</si>
  <si>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</si>
  <si>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</si>
  <si>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</si>
  <si>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</si>
  <si>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</si>
  <si>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</si>
  <si>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</si>
  <si>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</si>
  <si>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</si>
  <si>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</si>
  <si>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</si>
  <si>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</si>
  <si>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</si>
  <si>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</si>
  <si>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</si>
  <si>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</si>
  <si>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</si>
  <si>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</si>
  <si>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</si>
  <si>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</si>
  <si>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</si>
  <si>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r>
      <t xml:space="preserve">Shenim: </t>
    </r>
    <r>
      <rPr>
        <sz val="10"/>
        <rFont val="Arial"/>
        <family val="2"/>
      </rPr>
      <t>Kjo pasqyre plotesohet edhe on-line.</t>
    </r>
  </si>
  <si>
    <t>Fitime neto per periudhen kontabel</t>
  </si>
  <si>
    <t>Dividentet e paguar</t>
  </si>
  <si>
    <t>Rritje e rezerva ligjore &amp; te tjera</t>
  </si>
  <si>
    <t>Emetim iaksioneve te kapitalit</t>
  </si>
  <si>
    <t>Kapitali aksioner</t>
  </si>
  <si>
    <t>Rezerva ligjore &amp; statutore</t>
  </si>
  <si>
    <t>Fitimi  pashperndare</t>
  </si>
  <si>
    <t>Gjendja ne fillim te periudhes</t>
  </si>
  <si>
    <t>Hyrje</t>
  </si>
  <si>
    <t>Dalje</t>
  </si>
  <si>
    <t>Gjendja ne fund te periudhes</t>
  </si>
  <si>
    <t>Konsumi inventarit imet</t>
  </si>
  <si>
    <t xml:space="preserve">Amortizimi </t>
  </si>
  <si>
    <t>Aktivet patrupezuara</t>
  </si>
  <si>
    <t>Gjendja e klienteve gjate periudhes paraqitet si me poshte:</t>
  </si>
  <si>
    <t>Gjendja e inventarit ne fund te periudhes paraqitet:</t>
  </si>
  <si>
    <t>Shpjegimet e zerave te Pasivit te bilancit</t>
  </si>
  <si>
    <t>Hua afatshkurter</t>
  </si>
  <si>
    <t>Pagesat e huave afatgjata</t>
  </si>
  <si>
    <t>Totali i vleres neto</t>
  </si>
  <si>
    <t xml:space="preserve">Shumat e huave afatshkurtra te marra per qellime financimi, pjesa e huave afatgjata dhe detyrimeve </t>
  </si>
  <si>
    <t>te qirase financiare (leasing) qe do te paguhen brenda 12 muajve te ardhshem, paraqitet:</t>
  </si>
  <si>
    <t>Huamarrjet afatshkurtra</t>
  </si>
  <si>
    <t>Gjendja e furnitoreve gjate periudhes paraqitet si me poshte:</t>
  </si>
  <si>
    <t>Pakesimet gjate periudhes kontabel (Pagesat)</t>
  </si>
  <si>
    <t>Gjendja e detyrimeve ndaj furnitoreve ne fund te periudhes</t>
  </si>
  <si>
    <t>Shtesat gjate periudhes kontabel (Blerjet)</t>
  </si>
  <si>
    <t>Ne pasqyren e meposhtme paraqitet gjendja dhe ndryshimi AAM, amortizimi i llogaritur si dhe</t>
  </si>
  <si>
    <t>vlera neto e tyre gjate periudhes kontabel:</t>
  </si>
  <si>
    <t>Detyrimet per punonjesit gjate periudhes paraqiten si me poshte:</t>
  </si>
  <si>
    <t>Tatim mbi fitimin</t>
  </si>
  <si>
    <t>Akcize</t>
  </si>
  <si>
    <t>Sigurimet Shoqerore</t>
  </si>
  <si>
    <t>Te tjera</t>
  </si>
  <si>
    <t xml:space="preserve">TVSH </t>
  </si>
  <si>
    <t>TAP</t>
  </si>
  <si>
    <t>Detyrimet ndaj shtetit sipas llojit te tatimeve ne fund te periudhes kontabile paraqiten si me poshte:</t>
  </si>
  <si>
    <t>Detyrimet ndaj aksionereve dhe te tjera paraqiten si me poshte:</t>
  </si>
  <si>
    <t>Parapagimet e arketuara nga shoqeria ne fund te periudhes kontabile paraqiten si me poshte</t>
  </si>
  <si>
    <t>Hua afatgjate</t>
  </si>
  <si>
    <t>Bono</t>
  </si>
  <si>
    <t xml:space="preserve">Qera financiare </t>
  </si>
  <si>
    <t>Gjendja e kerkesave te tjera te arketueshme nga aksionaret e shoqerise ne fund te peridhes</t>
  </si>
  <si>
    <t>kontabel dhe te tjera paraqitet si me poshte</t>
  </si>
  <si>
    <t xml:space="preserve">B- </t>
  </si>
  <si>
    <t>Shpjegimet e te Ardhurave &amp; Shpenzimeve</t>
  </si>
  <si>
    <t xml:space="preserve">C- </t>
  </si>
  <si>
    <t>shlyhen brenda 12 muajve), te marra nga shoqeria, paraqiten si me poshte:</t>
  </si>
  <si>
    <t>Kliente per mallra, produkte e sherbime ne fillim te periudhes</t>
  </si>
  <si>
    <t>Paga e shperblime</t>
  </si>
  <si>
    <t>Furnitore per mallra, produkte e sherbime ne fillim te periudhes</t>
  </si>
  <si>
    <t xml:space="preserve">Detyrime ndaj ortakeve </t>
  </si>
  <si>
    <t>Gjendja e klienteve ne fund te periudhes</t>
  </si>
  <si>
    <t>Blerje materialesh të para (601)</t>
  </si>
  <si>
    <t>Blerje, energji, avull, uje (604)</t>
  </si>
  <si>
    <t>Blerje mallra (605)</t>
  </si>
  <si>
    <t>Qira (613)</t>
  </si>
  <si>
    <t>Mirëmbajtje dhe riparime (615)</t>
  </si>
  <si>
    <t>Prime të sigurimit (616)</t>
  </si>
  <si>
    <t>Reklame, publicitet (624)</t>
  </si>
  <si>
    <t>Transferime, udhëtim e dieta (625)</t>
  </si>
  <si>
    <t>Shpenzime postare dhe telekomunikacion (626)</t>
  </si>
  <si>
    <t>Transporte (627)</t>
  </si>
  <si>
    <t>Shërbime  bankare (628)</t>
  </si>
  <si>
    <t>Pagat e personelit (641)</t>
  </si>
  <si>
    <t>Kontributi sig.shoqërore (644)</t>
  </si>
  <si>
    <t>Shpenzime për pritje e dhurata (654)</t>
  </si>
  <si>
    <t>Humbje nga mosarketimi i kërkesave mbi të tretet (656)</t>
  </si>
  <si>
    <t>Penalitete, gjoba e dëmshpërblime (657)</t>
  </si>
  <si>
    <t xml:space="preserve">Shpenzime per shitjen e AAM (652)   </t>
  </si>
  <si>
    <t>Subvencione e ndihme të dhëna (653)</t>
  </si>
  <si>
    <t xml:space="preserve">Të tjera shpenzime financiare (668) </t>
  </si>
  <si>
    <t>Shpenzime për interesa (667)</t>
  </si>
  <si>
    <t>Shitje produkte të gatshme (701)</t>
  </si>
  <si>
    <t>Dorëzim punime dhe shërbime (704)</t>
  </si>
  <si>
    <t>Shitje mallra (705)</t>
  </si>
  <si>
    <t>Shitje materiale furniturash (707)</t>
  </si>
  <si>
    <t>Ndryshimi i gjendjeve të produkteve (714)</t>
  </si>
  <si>
    <t>Të ardhura nga shitja e AAM (752)</t>
  </si>
  <si>
    <t>Dhurata e ndihma të marra (754)</t>
  </si>
  <si>
    <t>Të ardhura nga interesat (767)</t>
  </si>
  <si>
    <t>Te ardhurat e perfituara nga shitja e produkteve, mallrave dhe sherbimeve te kryera nga shoqeria gjate</t>
  </si>
  <si>
    <t>periudhes kontabel paraqiten si me poshte:</t>
  </si>
  <si>
    <t>Te ardhurat qe perfitohen jo prej rrjedhes normale te veprimtarise ekonomike:</t>
  </si>
  <si>
    <t xml:space="preserve">Sipas SKK 2 pakesimi i gjendjes se mallrave, produkteve te gatshme dhe prodhimit ne proces njihen </t>
  </si>
  <si>
    <t>Ndryshimet ne inventarin e produkteve te gatshme, mallrave dhe prodhimit ne proces</t>
  </si>
  <si>
    <t>si shtim i shpenzimeve, ndersa rritja e tyre konsiderohet si pakesim i shpenzimeve</t>
  </si>
  <si>
    <t xml:space="preserve">Sipas SKK2 ne kete grup perfshihen kostoja e mallrave, lendeve te para dhe sherbimeve ne </t>
  </si>
  <si>
    <t>veprimtarite kryesore paresore, te cilat paraqiten si me poshte:</t>
  </si>
  <si>
    <t>drejtperdrejt me veprimtarite paresore, te cilat paraqiten si me poshte:</t>
  </si>
  <si>
    <t>Ne kete grup shpenzimesh perfshihen kostot e sherbimeve kryesore administrative qe nuk lidhen</t>
  </si>
  <si>
    <t>Shpenzimet e kryera nga shoqeria per punonjesit gjate periudhes kontabel paraqiten:</t>
  </si>
  <si>
    <t>Të tjera shpenzime rrjedhëse (648 &amp; 658)</t>
  </si>
  <si>
    <t>`</t>
  </si>
  <si>
    <t>Llogaritja e amortizimit eshte bere duke marre parasysh jeten e dobishme aktiveve. Per ndertimet</t>
  </si>
  <si>
    <t>eshte perdorur metoda lineare, ndersa grupet e tjera jane llogaritur me vleren e mbetur.</t>
  </si>
  <si>
    <t>Ndertesa (2812)</t>
  </si>
  <si>
    <t>Makineri dhe paisje (2813)</t>
  </si>
  <si>
    <t>Mjete transporti (215)</t>
  </si>
  <si>
    <t>Paisje informatike (2188)</t>
  </si>
  <si>
    <t>Te tjera Aktive (2188)</t>
  </si>
  <si>
    <t>Te ardhurat dhe shpenzimet financiare te realizuara nga shoqeria gjate periudhes kontabel pasqyrohen</t>
  </si>
  <si>
    <t>ne tabelen e meposhtme:</t>
  </si>
  <si>
    <t xml:space="preserve">Shumat e huave afatgjata (hua, bono &amp; qera financiare - leasing, pa perfshire pjesen qe do te </t>
  </si>
  <si>
    <t>Me poshte po paraqesim perllogaritjen e kryer per tatimin mbi fitimin:</t>
  </si>
  <si>
    <t>Te ardhurat dhe shpenzimet</t>
  </si>
  <si>
    <t>Tatimore</t>
  </si>
  <si>
    <t xml:space="preserve">Te ardhurat </t>
  </si>
  <si>
    <t>Shpenzimet</t>
  </si>
  <si>
    <t>Shpenzimet e pazbriteshme</t>
  </si>
  <si>
    <t>Humbje e mbartur</t>
  </si>
  <si>
    <t>Fitimi i tatueshem neto</t>
  </si>
  <si>
    <t>Tatim fitimi me shkallen tatimore standarte</t>
  </si>
  <si>
    <t>Parapagime</t>
  </si>
  <si>
    <t>Te ushtrimit</t>
  </si>
  <si>
    <t>Rezultati Fitim / Humbje</t>
  </si>
  <si>
    <t>Tatimi per t'u paguar</t>
  </si>
  <si>
    <t>HARTUESI I PASQYRAVE FINANCIARE</t>
  </si>
  <si>
    <t>Objekti i aktivitetit:</t>
  </si>
  <si>
    <t xml:space="preserve">I. </t>
  </si>
  <si>
    <t>II.</t>
  </si>
  <si>
    <t>Mjete monetare ne banke</t>
  </si>
  <si>
    <t>Mjete monetare ne arke</t>
  </si>
  <si>
    <t>dhe sipas bankave eshte si me poshte:</t>
  </si>
  <si>
    <t>Te drejta ndaj ortakeve (455)</t>
  </si>
  <si>
    <t>Tatim mbi fitimin (444)</t>
  </si>
  <si>
    <t>Blerje materialesh të tjera (602)</t>
  </si>
  <si>
    <t>Ndryshimi i gjendjeve të mallrave të blera (605)</t>
  </si>
  <si>
    <t>75-76</t>
  </si>
  <si>
    <t>618-621</t>
  </si>
  <si>
    <t>Totai I I 7</t>
  </si>
  <si>
    <t>Totali I 6</t>
  </si>
  <si>
    <t>Totali I 5</t>
  </si>
  <si>
    <t>Totali I 4</t>
  </si>
  <si>
    <t>Totali I 3</t>
  </si>
  <si>
    <t>Totali I 2</t>
  </si>
  <si>
    <t>Fitmie nga kembimet valutore (769)</t>
  </si>
  <si>
    <t>Humbje nga këmbimet valutore (669)</t>
  </si>
  <si>
    <t>Te ardhura nga komisionet (7082)</t>
  </si>
  <si>
    <t>Të ardhura te tjera (7081)</t>
  </si>
  <si>
    <t>Te ardhura nga transport per te tretet (7083)</t>
  </si>
  <si>
    <t xml:space="preserve"> Taksa dhe tarifa doganore ( 638)</t>
  </si>
  <si>
    <t>Sherbime te tjera (618)</t>
  </si>
  <si>
    <t>n)</t>
  </si>
  <si>
    <t xml:space="preserve">Te tjera </t>
  </si>
  <si>
    <t>Të ardhura financiare të tjera (768&amp; 79)</t>
  </si>
  <si>
    <t>TVSH (445)</t>
  </si>
  <si>
    <t>Personel nga jashte ndermarrjes(621&amp;623)</t>
  </si>
  <si>
    <t>601+602+604</t>
  </si>
  <si>
    <t>Pozicioni me 31 Dhjetor 2010</t>
  </si>
  <si>
    <t>Gjendje 31.12.2011</t>
  </si>
  <si>
    <t>Viti 2011</t>
  </si>
  <si>
    <t>Te tjera(486)</t>
  </si>
  <si>
    <t>Të ndryshme (757, 758 &amp;772, 778)</t>
  </si>
  <si>
    <t>Aktive te patrupezuara</t>
  </si>
  <si>
    <t>Të tjera blerje  (607,608,611)</t>
  </si>
  <si>
    <t>SHOQERIA "EKSPRES- BETON LEZHE "SHPK</t>
  </si>
  <si>
    <t>NIPT: K58515501V</t>
  </si>
  <si>
    <t>MARKATOMAJ,ZEJMEN ,LEZHE</t>
  </si>
  <si>
    <t xml:space="preserve">PRODHIM DHE TREGETI MATERIALE NDERTIMI </t>
  </si>
  <si>
    <t>Tatime e taksa te tjera (633, 632,634 &amp; 638)</t>
  </si>
  <si>
    <t>Ndertime ne proces</t>
  </si>
  <si>
    <t>701/702/707</t>
  </si>
  <si>
    <t>652,657+669</t>
  </si>
  <si>
    <t>DRITAN KOLA</t>
  </si>
  <si>
    <t>01/01/2012 - 31/12/2012</t>
  </si>
  <si>
    <t>15.03.2013</t>
  </si>
  <si>
    <t xml:space="preserve">Hartimi i Pasqyrave Financiare te shoqerise "EKSPRES -BETON LEZHE "SHPK   per vitin ushtrimor 2012 eshte </t>
  </si>
  <si>
    <t>Mjeteve monetare jane vleresuar me kursin e Bankes se Shqiperise me date 31.12.2012. Gjendja e tyre ne arke</t>
  </si>
  <si>
    <t>Pozicioni me 31 Dhjetor 2011</t>
  </si>
  <si>
    <t>Gjendja me 31 Dhjetor 2012</t>
  </si>
  <si>
    <t xml:space="preserve"> PASQYRA E GJENDJES DHE NDRYSHIMIT TE AKTIVEVE TE QENDRUESHME GJATE VITIT 2012</t>
  </si>
  <si>
    <t>Gjendje 31.12.2012</t>
  </si>
  <si>
    <t>Aktivet Afatgjata Materiale  me vlere fillestare   2012</t>
  </si>
  <si>
    <t>Amortizimi A.A.Materiale   2012</t>
  </si>
  <si>
    <t>Vlera Kontabel Neto e A.A.Materiale  2012</t>
  </si>
  <si>
    <t>Te punesuar mesatarisht per vitin 2012:</t>
  </si>
  <si>
    <t>Viti 2012</t>
  </si>
  <si>
    <t>Te tjera(467)</t>
  </si>
  <si>
    <t>Parapagime te arketuara(419)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</si>
</sst>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Yes&quot;;&quot;Yes&quot;;&quot;No&quot;"/>
    <numFmt numFmtId="167" formatCode="_-* #,##0_-;\-* #,##0_-;_-* &quot;-&quot;??_-;_-@_-"/>
  </numFmts>
  <fonts count="62">
    <font>
      <sz val="11"/>
      <color theme="1"/>
      <name val="Calibri"/>
      <family val="2"/>
      <scheme val="minor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9"/>
      <color indexed="8"/>
      <name val="Arial"/>
      <family val="2"/>
    </font>
    <font>
      <b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b/>
      <sz val="9.9499999999999993"/>
      <name val="Arial"/>
      <family val="2"/>
    </font>
    <font>
      <b/>
      <sz val="11.05"/>
      <color indexed="8"/>
      <name val="Arial"/>
      <family val="2"/>
    </font>
    <font>
      <sz val="10"/>
      <name val="Arial"/>
      <charset val="238"/>
    </font>
    <font>
      <sz val="8"/>
      <name val="Berlin Sans FB Demi"/>
      <family val="2"/>
    </font>
    <font>
      <sz val="12"/>
      <name val="Book Antiqua"/>
      <family val="1"/>
    </font>
    <font>
      <u/>
      <sz val="8"/>
      <name val="Berlin Sans FB Dem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Book Antiqua"/>
      <family val="1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2"/>
      <name val="Book Antiqua"/>
      <family val="1"/>
    </font>
    <font>
      <b/>
      <sz val="16"/>
      <name val="Book Antiqua"/>
      <family val="1"/>
    </font>
    <font>
      <sz val="16"/>
      <name val="Arial"/>
      <family val="2"/>
    </font>
    <font>
      <i/>
      <sz val="10"/>
      <name val="Berlin Sans FB Demi"/>
      <family val="2"/>
    </font>
    <font>
      <b/>
      <u/>
      <sz val="12"/>
      <name val="Book Antiqua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1"/>
      <color indexed="8"/>
      <name val="Arial"/>
      <family val="2"/>
    </font>
    <font>
      <i/>
      <sz val="9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indexed="8"/>
      <name val="Calibri"/>
      <family val="2"/>
    </font>
    <font>
      <b/>
      <sz val="12"/>
      <name val="Arial"/>
      <family val="2"/>
    </font>
    <font>
      <sz val="10"/>
      <name val="Arial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.05"/>
      <color indexed="8"/>
      <name val="Arial"/>
      <family val="2"/>
    </font>
    <font>
      <sz val="10"/>
      <name val="Book Antiqua"/>
      <family val="1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4" fontId="3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6" fillId="0" borderId="0"/>
    <xf numFmtId="0" fontId="1" fillId="0" borderId="0"/>
    <xf numFmtId="0" fontId="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1" fillId="0" borderId="0"/>
    <xf numFmtId="0" fontId="50" fillId="0" borderId="0"/>
    <xf numFmtId="0" fontId="2" fillId="0" borderId="0"/>
    <xf numFmtId="9" fontId="2" fillId="0" borderId="0" applyFont="0" applyFill="0" applyBorder="0" applyAlignment="0" applyProtection="0"/>
  </cellStyleXfs>
  <cellXfs count="444">
    <xf numFmtId="0" fontId="0" fillId="0" borderId="0" xfId="0"/>
    <xf numFmtId="0" fontId="14" fillId="0" borderId="0" xfId="22" applyFont="1" applyBorder="1"/>
    <xf numFmtId="0" fontId="12" fillId="0" borderId="0" xfId="22" applyFont="1" applyBorder="1"/>
    <xf numFmtId="0" fontId="13" fillId="0" borderId="0" xfId="22" applyFont="1" applyBorder="1" applyAlignment="1">
      <alignment horizontal="center"/>
    </xf>
    <xf numFmtId="0" fontId="38" fillId="0" borderId="0" xfId="0" applyFont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22" applyBorder="1"/>
    <xf numFmtId="0" fontId="13" fillId="0" borderId="5" xfId="22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9" xfId="36" applyFont="1" applyBorder="1" applyAlignment="1">
      <alignment horizontal="left" vertical="center"/>
    </xf>
    <xf numFmtId="0" fontId="9" fillId="0" borderId="9" xfId="36" applyFont="1" applyBorder="1" applyAlignment="1">
      <alignment horizontal="left" vertical="center"/>
    </xf>
    <xf numFmtId="0" fontId="10" fillId="0" borderId="9" xfId="36" applyFont="1" applyBorder="1" applyAlignment="1">
      <alignment horizontal="left" vertical="center"/>
    </xf>
    <xf numFmtId="164" fontId="15" fillId="0" borderId="9" xfId="15" applyFont="1" applyFill="1" applyBorder="1" applyAlignment="1" applyProtection="1"/>
    <xf numFmtId="164" fontId="16" fillId="0" borderId="9" xfId="15" applyFont="1" applyBorder="1" applyAlignment="1">
      <alignment horizontal="center" vertical="center" wrapText="1"/>
    </xf>
    <xf numFmtId="1" fontId="8" fillId="0" borderId="9" xfId="36" applyNumberFormat="1" applyFont="1" applyBorder="1" applyAlignment="1">
      <alignment horizontal="center" vertical="center"/>
    </xf>
    <xf numFmtId="1" fontId="7" fillId="0" borderId="9" xfId="36" applyNumberFormat="1" applyFont="1" applyBorder="1" applyAlignment="1">
      <alignment horizontal="center" vertical="center"/>
    </xf>
    <xf numFmtId="0" fontId="16" fillId="0" borderId="9" xfId="36" applyFont="1" applyBorder="1" applyAlignment="1">
      <alignment horizontal="left" vertical="center"/>
    </xf>
    <xf numFmtId="0" fontId="3" fillId="0" borderId="9" xfId="36" applyFont="1" applyBorder="1" applyAlignment="1">
      <alignment horizontal="left" vertical="center"/>
    </xf>
    <xf numFmtId="164" fontId="16" fillId="0" borderId="9" xfId="16" applyFont="1" applyBorder="1" applyAlignment="1">
      <alignment horizontal="center" vertical="center" wrapText="1"/>
    </xf>
    <xf numFmtId="0" fontId="16" fillId="0" borderId="9" xfId="36" applyFont="1" applyBorder="1" applyAlignment="1">
      <alignment horizontal="left" vertical="top"/>
    </xf>
    <xf numFmtId="1" fontId="16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left" vertical="center"/>
    </xf>
    <xf numFmtId="164" fontId="6" fillId="0" borderId="0" xfId="17" applyFont="1" applyBorder="1" applyAlignment="1">
      <alignment vertical="center"/>
    </xf>
    <xf numFmtId="0" fontId="19" fillId="0" borderId="9" xfId="36" applyFont="1" applyBorder="1" applyAlignment="1">
      <alignment horizontal="left" vertical="center"/>
    </xf>
    <xf numFmtId="0" fontId="18" fillId="0" borderId="9" xfId="36" applyFont="1" applyBorder="1" applyAlignment="1">
      <alignment vertical="center"/>
    </xf>
    <xf numFmtId="0" fontId="6" fillId="0" borderId="9" xfId="36" applyFont="1" applyBorder="1" applyAlignment="1">
      <alignment vertical="center"/>
    </xf>
    <xf numFmtId="164" fontId="6" fillId="0" borderId="0" xfId="18" applyFont="1" applyBorder="1" applyAlignment="1">
      <alignment vertical="center"/>
    </xf>
    <xf numFmtId="164" fontId="21" fillId="0" borderId="9" xfId="15" applyFont="1" applyFill="1" applyBorder="1" applyAlignment="1" applyProtection="1">
      <alignment horizontal="center" vertical="justify"/>
    </xf>
    <xf numFmtId="0" fontId="22" fillId="0" borderId="10" xfId="36" applyFont="1" applyBorder="1" applyAlignment="1">
      <alignment horizontal="center" vertical="center"/>
    </xf>
    <xf numFmtId="0" fontId="2" fillId="0" borderId="0" xfId="0" applyFont="1"/>
    <xf numFmtId="164" fontId="2" fillId="0" borderId="0" xfId="2" applyFont="1"/>
    <xf numFmtId="164" fontId="3" fillId="0" borderId="0" xfId="2" applyFont="1"/>
    <xf numFmtId="0" fontId="3" fillId="0" borderId="9" xfId="0" applyFont="1" applyBorder="1"/>
    <xf numFmtId="164" fontId="3" fillId="0" borderId="9" xfId="2" applyFont="1" applyBorder="1" applyAlignment="1">
      <alignment horizontal="center" vertical="center"/>
    </xf>
    <xf numFmtId="164" fontId="3" fillId="0" borderId="9" xfId="2" applyFont="1" applyBorder="1" applyAlignment="1">
      <alignment vertical="center"/>
    </xf>
    <xf numFmtId="0" fontId="2" fillId="0" borderId="9" xfId="0" applyFont="1" applyBorder="1"/>
    <xf numFmtId="0" fontId="23" fillId="0" borderId="9" xfId="0" applyFont="1" applyBorder="1"/>
    <xf numFmtId="40" fontId="24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22" applyFont="1" applyBorder="1" applyAlignment="1">
      <alignment horizontal="center"/>
    </xf>
    <xf numFmtId="0" fontId="2" fillId="0" borderId="5" xfId="22" applyFont="1" applyBorder="1" applyAlignment="1">
      <alignment horizontal="center"/>
    </xf>
    <xf numFmtId="0" fontId="2" fillId="0" borderId="0" xfId="22" applyFont="1" applyBorder="1" applyAlignment="1">
      <alignment horizontal="center"/>
    </xf>
    <xf numFmtId="0" fontId="13" fillId="0" borderId="0" xfId="22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40" fillId="0" borderId="0" xfId="0" applyFont="1" applyAlignment="1">
      <alignment horizontal="right"/>
    </xf>
    <xf numFmtId="0" fontId="40" fillId="0" borderId="0" xfId="0" applyFont="1"/>
    <xf numFmtId="0" fontId="3" fillId="0" borderId="0" xfId="0" applyFont="1" applyAlignment="1">
      <alignment horizontal="center"/>
    </xf>
    <xf numFmtId="3" fontId="25" fillId="0" borderId="9" xfId="0" applyNumberFormat="1" applyFont="1" applyBorder="1" applyAlignment="1">
      <alignment horizontal="center"/>
    </xf>
    <xf numFmtId="0" fontId="25" fillId="0" borderId="9" xfId="0" applyFont="1" applyBorder="1"/>
    <xf numFmtId="0" fontId="27" fillId="0" borderId="9" xfId="0" applyFont="1" applyBorder="1"/>
    <xf numFmtId="0" fontId="28" fillId="0" borderId="9" xfId="0" applyFont="1" applyBorder="1" applyAlignment="1">
      <alignment wrapText="1"/>
    </xf>
    <xf numFmtId="0" fontId="28" fillId="0" borderId="9" xfId="0" applyFont="1" applyBorder="1"/>
    <xf numFmtId="0" fontId="3" fillId="0" borderId="9" xfId="0" applyFont="1" applyBorder="1" applyAlignment="1"/>
    <xf numFmtId="0" fontId="22" fillId="0" borderId="9" xfId="36" applyFont="1" applyBorder="1" applyAlignment="1">
      <alignment horizontal="center" vertical="center"/>
    </xf>
    <xf numFmtId="0" fontId="25" fillId="0" borderId="9" xfId="0" applyFont="1" applyBorder="1" applyAlignment="1"/>
    <xf numFmtId="0" fontId="25" fillId="0" borderId="9" xfId="0" applyFont="1" applyBorder="1" applyAlignment="1">
      <alignment wrapText="1"/>
    </xf>
    <xf numFmtId="0" fontId="27" fillId="0" borderId="9" xfId="0" applyFont="1" applyBorder="1" applyAlignment="1"/>
    <xf numFmtId="0" fontId="2" fillId="0" borderId="9" xfId="0" applyFont="1" applyBorder="1" applyAlignment="1">
      <alignment horizontal="justify"/>
    </xf>
    <xf numFmtId="40" fontId="4" fillId="0" borderId="0" xfId="0" applyNumberFormat="1" applyFont="1"/>
    <xf numFmtId="0" fontId="29" fillId="0" borderId="0" xfId="0" applyFont="1"/>
    <xf numFmtId="40" fontId="29" fillId="0" borderId="0" xfId="0" applyNumberFormat="1" applyFont="1" applyAlignment="1"/>
    <xf numFmtId="40" fontId="4" fillId="0" borderId="0" xfId="0" applyNumberFormat="1" applyFont="1" applyAlignment="1"/>
    <xf numFmtId="40" fontId="4" fillId="0" borderId="9" xfId="0" applyNumberFormat="1" applyFont="1" applyBorder="1" applyAlignment="1"/>
    <xf numFmtId="40" fontId="30" fillId="0" borderId="9" xfId="0" applyNumberFormat="1" applyFont="1" applyBorder="1" applyAlignment="1">
      <alignment horizontal="center" vertical="center" wrapText="1"/>
    </xf>
    <xf numFmtId="0" fontId="41" fillId="0" borderId="0" xfId="0" applyFont="1"/>
    <xf numFmtId="164" fontId="41" fillId="0" borderId="0" xfId="1" applyFont="1"/>
    <xf numFmtId="164" fontId="16" fillId="0" borderId="0" xfId="18" applyFont="1" applyBorder="1" applyAlignment="1">
      <alignment vertical="center"/>
    </xf>
    <xf numFmtId="0" fontId="41" fillId="0" borderId="9" xfId="0" applyFont="1" applyBorder="1"/>
    <xf numFmtId="164" fontId="41" fillId="0" borderId="9" xfId="1" applyFont="1" applyBorder="1" applyAlignment="1">
      <alignment horizontal="center"/>
    </xf>
    <xf numFmtId="164" fontId="41" fillId="0" borderId="9" xfId="1" applyFont="1" applyBorder="1"/>
    <xf numFmtId="0" fontId="41" fillId="0" borderId="0" xfId="0" applyFont="1" applyAlignment="1">
      <alignment horizontal="center"/>
    </xf>
    <xf numFmtId="40" fontId="27" fillId="0" borderId="9" xfId="0" applyNumberFormat="1" applyFont="1" applyBorder="1" applyAlignment="1"/>
    <xf numFmtId="40" fontId="25" fillId="0" borderId="9" xfId="0" applyNumberFormat="1" applyFont="1" applyBorder="1" applyAlignment="1"/>
    <xf numFmtId="0" fontId="37" fillId="0" borderId="0" xfId="0" applyFont="1" applyBorder="1"/>
    <xf numFmtId="0" fontId="31" fillId="0" borderId="0" xfId="22" applyFont="1" applyBorder="1"/>
    <xf numFmtId="0" fontId="33" fillId="0" borderId="0" xfId="22" applyFont="1" applyBorder="1"/>
    <xf numFmtId="0" fontId="33" fillId="0" borderId="5" xfId="22" applyFont="1" applyBorder="1"/>
    <xf numFmtId="0" fontId="44" fillId="0" borderId="0" xfId="0" applyFont="1" applyBorder="1" applyAlignment="1">
      <alignment horizontal="right"/>
    </xf>
    <xf numFmtId="0" fontId="34" fillId="0" borderId="0" xfId="22" applyFont="1" applyBorder="1" applyAlignment="1">
      <alignment horizontal="right"/>
    </xf>
    <xf numFmtId="0" fontId="35" fillId="0" borderId="0" xfId="22" applyFont="1" applyFill="1" applyBorder="1"/>
    <xf numFmtId="0" fontId="35" fillId="0" borderId="0" xfId="22" applyFont="1" applyBorder="1"/>
    <xf numFmtId="0" fontId="45" fillId="0" borderId="0" xfId="44" applyFont="1"/>
    <xf numFmtId="0" fontId="2" fillId="0" borderId="0" xfId="44" applyFont="1"/>
    <xf numFmtId="14" fontId="4" fillId="0" borderId="9" xfId="20" applyNumberFormat="1" applyFont="1" applyFill="1" applyBorder="1"/>
    <xf numFmtId="38" fontId="2" fillId="0" borderId="0" xfId="44" applyNumberFormat="1" applyFont="1" applyFill="1" applyAlignment="1"/>
    <xf numFmtId="38" fontId="4" fillId="0" borderId="9" xfId="44" applyNumberFormat="1" applyFont="1" applyFill="1" applyBorder="1" applyAlignment="1">
      <alignment horizontal="center" vertical="center"/>
    </xf>
    <xf numFmtId="38" fontId="4" fillId="0" borderId="9" xfId="44" applyNumberFormat="1" applyFont="1" applyFill="1" applyBorder="1" applyAlignment="1">
      <alignment horizontal="justify"/>
    </xf>
    <xf numFmtId="38" fontId="4" fillId="2" borderId="9" xfId="44" applyNumberFormat="1" applyFont="1" applyFill="1" applyBorder="1" applyAlignment="1">
      <alignment horizontal="justify"/>
    </xf>
    <xf numFmtId="40" fontId="2" fillId="0" borderId="9" xfId="44" applyNumberFormat="1" applyFont="1" applyFill="1" applyBorder="1" applyAlignment="1">
      <alignment horizontal="left" vertical="center" wrapText="1"/>
    </xf>
    <xf numFmtId="38" fontId="4" fillId="2" borderId="9" xfId="44" applyNumberFormat="1" applyFont="1" applyFill="1" applyBorder="1" applyAlignment="1">
      <alignment horizontal="center" vertical="center"/>
    </xf>
    <xf numFmtId="40" fontId="2" fillId="2" borderId="9" xfId="44" applyNumberFormat="1" applyFont="1" applyFill="1" applyBorder="1" applyAlignment="1">
      <alignment horizontal="left" vertical="center" wrapText="1"/>
    </xf>
    <xf numFmtId="0" fontId="2" fillId="3" borderId="9" xfId="44" applyFont="1" applyFill="1" applyBorder="1" applyAlignment="1">
      <alignment horizontal="center"/>
    </xf>
    <xf numFmtId="40" fontId="3" fillId="3" borderId="9" xfId="44" applyNumberFormat="1" applyFont="1" applyFill="1" applyBorder="1" applyAlignment="1">
      <alignment horizontal="left" vertical="center" wrapText="1"/>
    </xf>
    <xf numFmtId="38" fontId="2" fillId="0" borderId="0" xfId="44" applyNumberFormat="1" applyFont="1" applyFill="1"/>
    <xf numFmtId="40" fontId="4" fillId="0" borderId="0" xfId="44" applyNumberFormat="1" applyFont="1" applyFill="1"/>
    <xf numFmtId="0" fontId="4" fillId="0" borderId="0" xfId="44" applyFont="1"/>
    <xf numFmtId="40" fontId="2" fillId="0" borderId="0" xfId="44" applyNumberFormat="1" applyFont="1" applyFill="1"/>
    <xf numFmtId="0" fontId="13" fillId="0" borderId="0" xfId="44" applyFont="1" applyBorder="1" applyAlignment="1">
      <alignment horizontal="center"/>
    </xf>
    <xf numFmtId="0" fontId="46" fillId="0" borderId="0" xfId="21"/>
    <xf numFmtId="164" fontId="24" fillId="0" borderId="0" xfId="20" applyFont="1" applyAlignment="1"/>
    <xf numFmtId="164" fontId="15" fillId="0" borderId="0" xfId="20" applyFont="1" applyFill="1" applyBorder="1" applyAlignment="1" applyProtection="1"/>
    <xf numFmtId="0" fontId="47" fillId="0" borderId="0" xfId="21" applyFont="1" applyAlignment="1">
      <alignment horizontal="left" vertical="center"/>
    </xf>
    <xf numFmtId="0" fontId="48" fillId="0" borderId="0" xfId="21" applyFont="1"/>
    <xf numFmtId="0" fontId="2" fillId="0" borderId="11" xfId="21" applyFont="1" applyBorder="1" applyAlignment="1">
      <alignment horizontal="center"/>
    </xf>
    <xf numFmtId="14" fontId="2" fillId="0" borderId="12" xfId="21" applyNumberFormat="1" applyFont="1" applyBorder="1" applyAlignment="1">
      <alignment horizontal="center"/>
    </xf>
    <xf numFmtId="0" fontId="46" fillId="0" borderId="0" xfId="21" applyBorder="1"/>
    <xf numFmtId="0" fontId="46" fillId="0" borderId="9" xfId="21" applyBorder="1" applyAlignment="1">
      <alignment horizontal="center"/>
    </xf>
    <xf numFmtId="0" fontId="4" fillId="0" borderId="0" xfId="21" applyFont="1"/>
    <xf numFmtId="3" fontId="46" fillId="0" borderId="9" xfId="19" applyNumberFormat="1" applyBorder="1"/>
    <xf numFmtId="3" fontId="4" fillId="0" borderId="0" xfId="21" applyNumberFormat="1" applyFont="1" applyBorder="1"/>
    <xf numFmtId="3" fontId="46" fillId="0" borderId="0" xfId="21" applyNumberFormat="1" applyBorder="1"/>
    <xf numFmtId="0" fontId="4" fillId="0" borderId="9" xfId="21" applyFont="1" applyBorder="1"/>
    <xf numFmtId="0" fontId="3" fillId="0" borderId="9" xfId="21" applyFont="1" applyBorder="1"/>
    <xf numFmtId="0" fontId="46" fillId="0" borderId="9" xfId="21" applyBorder="1"/>
    <xf numFmtId="0" fontId="46" fillId="0" borderId="11" xfId="21" applyBorder="1" applyAlignment="1">
      <alignment horizontal="center"/>
    </xf>
    <xf numFmtId="0" fontId="46" fillId="0" borderId="11" xfId="21" applyBorder="1"/>
    <xf numFmtId="3" fontId="46" fillId="0" borderId="11" xfId="19" applyNumberFormat="1" applyBorder="1"/>
    <xf numFmtId="0" fontId="2" fillId="0" borderId="13" xfId="21" applyFont="1" applyBorder="1" applyAlignment="1">
      <alignment vertical="center"/>
    </xf>
    <xf numFmtId="0" fontId="23" fillId="0" borderId="14" xfId="21" applyFont="1" applyBorder="1" applyAlignment="1">
      <alignment vertical="center"/>
    </xf>
    <xf numFmtId="0" fontId="23" fillId="0" borderId="14" xfId="21" applyFont="1" applyBorder="1" applyAlignment="1">
      <alignment horizontal="center" vertical="center"/>
    </xf>
    <xf numFmtId="3" fontId="23" fillId="0" borderId="14" xfId="19" applyNumberFormat="1" applyFont="1" applyBorder="1" applyAlignment="1">
      <alignment vertical="center"/>
    </xf>
    <xf numFmtId="3" fontId="23" fillId="0" borderId="15" xfId="19" applyNumberFormat="1" applyFont="1" applyBorder="1" applyAlignment="1">
      <alignment vertical="center"/>
    </xf>
    <xf numFmtId="3" fontId="46" fillId="0" borderId="0" xfId="21" applyNumberFormat="1"/>
    <xf numFmtId="1" fontId="46" fillId="0" borderId="9" xfId="21" applyNumberFormat="1" applyBorder="1"/>
    <xf numFmtId="1" fontId="46" fillId="0" borderId="0" xfId="21" applyNumberFormat="1"/>
    <xf numFmtId="0" fontId="3" fillId="0" borderId="0" xfId="21" applyFont="1" applyBorder="1"/>
    <xf numFmtId="3" fontId="46" fillId="0" borderId="0" xfId="19" applyNumberFormat="1" applyFill="1" applyBorder="1"/>
    <xf numFmtId="0" fontId="2" fillId="0" borderId="0" xfId="21" applyFont="1"/>
    <xf numFmtId="0" fontId="23" fillId="0" borderId="0" xfId="21" applyFont="1"/>
    <xf numFmtId="0" fontId="3" fillId="0" borderId="0" xfId="21" applyFont="1"/>
    <xf numFmtId="0" fontId="2" fillId="0" borderId="0" xfId="21" applyFont="1" applyBorder="1"/>
    <xf numFmtId="0" fontId="48" fillId="0" borderId="0" xfId="21" applyFont="1" applyBorder="1"/>
    <xf numFmtId="0" fontId="48" fillId="0" borderId="0" xfId="21" applyFont="1" applyBorder="1" applyAlignment="1">
      <alignment horizontal="right"/>
    </xf>
    <xf numFmtId="2" fontId="51" fillId="0" borderId="0" xfId="43" applyNumberFormat="1" applyFont="1" applyBorder="1" applyAlignment="1">
      <alignment wrapText="1"/>
    </xf>
    <xf numFmtId="0" fontId="3" fillId="0" borderId="11" xfId="43" applyFont="1" applyBorder="1" applyAlignment="1">
      <alignment horizontal="center"/>
    </xf>
    <xf numFmtId="2" fontId="52" fillId="0" borderId="16" xfId="43" applyNumberFormat="1" applyFont="1" applyBorder="1" applyAlignment="1">
      <alignment horizontal="center" wrapText="1"/>
    </xf>
    <xf numFmtId="0" fontId="30" fillId="0" borderId="17" xfId="43" applyFont="1" applyBorder="1" applyAlignment="1">
      <alignment horizontal="center" vertical="center" wrapText="1"/>
    </xf>
    <xf numFmtId="0" fontId="3" fillId="0" borderId="18" xfId="43" applyFont="1" applyBorder="1" applyAlignment="1">
      <alignment horizontal="center"/>
    </xf>
    <xf numFmtId="0" fontId="3" fillId="0" borderId="19" xfId="43" applyFont="1" applyBorder="1" applyAlignment="1">
      <alignment horizontal="left" wrapText="1"/>
    </xf>
    <xf numFmtId="0" fontId="2" fillId="0" borderId="20" xfId="43" applyFont="1" applyBorder="1" applyAlignment="1">
      <alignment horizontal="center"/>
    </xf>
    <xf numFmtId="0" fontId="4" fillId="0" borderId="9" xfId="43" applyFont="1" applyBorder="1" applyAlignment="1">
      <alignment horizontal="left"/>
    </xf>
    <xf numFmtId="0" fontId="2" fillId="0" borderId="10" xfId="43" applyFont="1" applyBorder="1" applyAlignment="1">
      <alignment horizontal="left" wrapText="1"/>
    </xf>
    <xf numFmtId="0" fontId="2" fillId="0" borderId="21" xfId="43" applyFont="1" applyBorder="1" applyAlignment="1">
      <alignment horizontal="center"/>
    </xf>
    <xf numFmtId="0" fontId="23" fillId="0" borderId="10" xfId="43" applyFont="1" applyBorder="1" applyAlignment="1">
      <alignment horizontal="left" wrapText="1"/>
    </xf>
    <xf numFmtId="0" fontId="3" fillId="0" borderId="22" xfId="43" applyFont="1" applyBorder="1" applyAlignment="1">
      <alignment horizontal="center"/>
    </xf>
    <xf numFmtId="0" fontId="3" fillId="0" borderId="10" xfId="43" applyFont="1" applyBorder="1" applyAlignment="1">
      <alignment horizontal="left" wrapText="1"/>
    </xf>
    <xf numFmtId="0" fontId="2" fillId="0" borderId="12" xfId="43" applyFont="1" applyBorder="1" applyAlignment="1">
      <alignment horizontal="left" wrapText="1"/>
    </xf>
    <xf numFmtId="0" fontId="2" fillId="0" borderId="23" xfId="43" applyFont="1" applyBorder="1" applyAlignment="1">
      <alignment horizontal="center"/>
    </xf>
    <xf numFmtId="0" fontId="2" fillId="0" borderId="24" xfId="43" applyFont="1" applyBorder="1" applyAlignment="1">
      <alignment horizontal="left" wrapText="1"/>
    </xf>
    <xf numFmtId="0" fontId="3" fillId="0" borderId="22" xfId="43" applyFont="1" applyBorder="1" applyAlignment="1">
      <alignment horizontal="center" vertical="center"/>
    </xf>
    <xf numFmtId="0" fontId="3" fillId="0" borderId="21" xfId="43" applyFont="1" applyBorder="1" applyAlignment="1">
      <alignment horizontal="center" vertical="center"/>
    </xf>
    <xf numFmtId="0" fontId="2" fillId="0" borderId="10" xfId="43" applyFont="1" applyBorder="1" applyAlignment="1">
      <alignment horizontal="center" wrapText="1"/>
    </xf>
    <xf numFmtId="0" fontId="3" fillId="0" borderId="20" xfId="43" applyFont="1" applyBorder="1" applyAlignment="1">
      <alignment horizontal="center"/>
    </xf>
    <xf numFmtId="0" fontId="48" fillId="0" borderId="9" xfId="43" applyFont="1" applyBorder="1" applyAlignment="1">
      <alignment horizontal="left" wrapText="1"/>
    </xf>
    <xf numFmtId="0" fontId="3" fillId="0" borderId="9" xfId="21" applyFont="1" applyBorder="1" applyAlignment="1">
      <alignment horizontal="left"/>
    </xf>
    <xf numFmtId="0" fontId="2" fillId="0" borderId="9" xfId="21" applyFont="1" applyBorder="1" applyAlignment="1">
      <alignment horizontal="left"/>
    </xf>
    <xf numFmtId="0" fontId="3" fillId="0" borderId="21" xfId="43" applyFont="1" applyBorder="1" applyAlignment="1">
      <alignment horizontal="center"/>
    </xf>
    <xf numFmtId="0" fontId="3" fillId="0" borderId="9" xfId="43" applyFont="1" applyBorder="1" applyAlignment="1">
      <alignment horizontal="left" wrapText="1"/>
    </xf>
    <xf numFmtId="0" fontId="3" fillId="0" borderId="23" xfId="43" applyFont="1" applyBorder="1" applyAlignment="1">
      <alignment horizontal="center"/>
    </xf>
    <xf numFmtId="0" fontId="3" fillId="0" borderId="12" xfId="43" applyFont="1" applyBorder="1" applyAlignment="1">
      <alignment horizontal="left" wrapText="1"/>
    </xf>
    <xf numFmtId="0" fontId="3" fillId="0" borderId="25" xfId="43" applyFont="1" applyBorder="1" applyAlignment="1">
      <alignment horizontal="center"/>
    </xf>
    <xf numFmtId="0" fontId="3" fillId="0" borderId="26" xfId="43" applyFont="1" applyBorder="1" applyAlignment="1">
      <alignment horizontal="left" wrapText="1"/>
    </xf>
    <xf numFmtId="0" fontId="30" fillId="0" borderId="9" xfId="43" applyFont="1" applyBorder="1" applyAlignment="1">
      <alignment horizontal="left"/>
    </xf>
    <xf numFmtId="0" fontId="3" fillId="0" borderId="0" xfId="43" applyFont="1" applyBorder="1" applyAlignment="1">
      <alignment horizontal="center"/>
    </xf>
    <xf numFmtId="0" fontId="3" fillId="0" borderId="0" xfId="43" applyFont="1" applyBorder="1" applyAlignment="1">
      <alignment horizontal="left" wrapText="1"/>
    </xf>
    <xf numFmtId="0" fontId="3" fillId="0" borderId="0" xfId="43" applyFont="1" applyBorder="1" applyAlignment="1">
      <alignment horizontal="left"/>
    </xf>
    <xf numFmtId="0" fontId="4" fillId="0" borderId="11" xfId="43" applyFont="1" applyBorder="1"/>
    <xf numFmtId="2" fontId="52" fillId="0" borderId="11" xfId="43" applyNumberFormat="1" applyFont="1" applyBorder="1" applyAlignment="1">
      <alignment horizontal="center" wrapText="1"/>
    </xf>
    <xf numFmtId="0" fontId="30" fillId="0" borderId="11" xfId="43" applyFont="1" applyBorder="1" applyAlignment="1">
      <alignment horizontal="center" vertical="center" wrapText="1"/>
    </xf>
    <xf numFmtId="0" fontId="30" fillId="0" borderId="19" xfId="43" applyFont="1" applyBorder="1" applyAlignment="1">
      <alignment horizontal="left" wrapText="1"/>
    </xf>
    <xf numFmtId="0" fontId="4" fillId="0" borderId="9" xfId="45" applyFont="1" applyFill="1" applyBorder="1" applyAlignment="1">
      <alignment horizontal="left" wrapText="1"/>
    </xf>
    <xf numFmtId="0" fontId="4" fillId="0" borderId="9" xfId="43" applyFont="1" applyBorder="1" applyAlignment="1">
      <alignment horizontal="left" wrapText="1"/>
    </xf>
    <xf numFmtId="0" fontId="30" fillId="0" borderId="9" xfId="43" applyFont="1" applyBorder="1" applyAlignment="1">
      <alignment horizontal="left" wrapText="1"/>
    </xf>
    <xf numFmtId="0" fontId="4" fillId="0" borderId="28" xfId="21" applyFont="1" applyBorder="1"/>
    <xf numFmtId="0" fontId="4" fillId="0" borderId="0" xfId="21" applyFont="1" applyBorder="1"/>
    <xf numFmtId="0" fontId="30" fillId="0" borderId="12" xfId="43" applyFont="1" applyBorder="1" applyAlignment="1">
      <alignment horizontal="center" vertical="center" wrapText="1"/>
    </xf>
    <xf numFmtId="0" fontId="30" fillId="0" borderId="26" xfId="43" applyFont="1" applyBorder="1" applyAlignment="1">
      <alignment horizontal="left"/>
    </xf>
    <xf numFmtId="0" fontId="30" fillId="0" borderId="0" xfId="43" applyFont="1" applyBorder="1" applyAlignment="1">
      <alignment horizontal="left"/>
    </xf>
    <xf numFmtId="0" fontId="45" fillId="0" borderId="0" xfId="43" applyFont="1" applyBorder="1" applyAlignment="1">
      <alignment horizontal="left"/>
    </xf>
    <xf numFmtId="0" fontId="2" fillId="0" borderId="0" xfId="43" applyFont="1"/>
    <xf numFmtId="0" fontId="2" fillId="0" borderId="9" xfId="21" applyFont="1" applyBorder="1"/>
    <xf numFmtId="0" fontId="2" fillId="0" borderId="17" xfId="21" applyFont="1" applyFill="1" applyBorder="1"/>
    <xf numFmtId="0" fontId="46" fillId="0" borderId="9" xfId="21" applyFill="1" applyBorder="1"/>
    <xf numFmtId="0" fontId="3" fillId="0" borderId="11" xfId="21" applyFont="1" applyBorder="1"/>
    <xf numFmtId="0" fontId="46" fillId="0" borderId="30" xfId="21" applyBorder="1"/>
    <xf numFmtId="0" fontId="46" fillId="0" borderId="10" xfId="21" applyBorder="1"/>
    <xf numFmtId="0" fontId="46" fillId="0" borderId="12" xfId="21" applyBorder="1"/>
    <xf numFmtId="0" fontId="2" fillId="0" borderId="11" xfId="21" applyFont="1" applyBorder="1"/>
    <xf numFmtId="0" fontId="3" fillId="0" borderId="30" xfId="21" applyFont="1" applyBorder="1"/>
    <xf numFmtId="0" fontId="3" fillId="0" borderId="10" xfId="21" applyFont="1" applyBorder="1"/>
    <xf numFmtId="165" fontId="41" fillId="0" borderId="9" xfId="1" applyNumberFormat="1" applyFont="1" applyBorder="1"/>
    <xf numFmtId="165" fontId="41" fillId="0" borderId="0" xfId="1" applyNumberFormat="1" applyFont="1"/>
    <xf numFmtId="165" fontId="42" fillId="0" borderId="0" xfId="1" applyNumberFormat="1" applyFont="1"/>
    <xf numFmtId="165" fontId="41" fillId="0" borderId="0" xfId="1" applyNumberFormat="1" applyFont="1" applyAlignment="1">
      <alignment horizontal="center"/>
    </xf>
    <xf numFmtId="165" fontId="41" fillId="0" borderId="9" xfId="1" applyNumberFormat="1" applyFont="1" applyBorder="1" applyAlignment="1">
      <alignment horizontal="center" vertical="justify"/>
    </xf>
    <xf numFmtId="165" fontId="2" fillId="0" borderId="0" xfId="1" applyNumberFormat="1" applyFont="1"/>
    <xf numFmtId="165" fontId="42" fillId="0" borderId="9" xfId="1" applyNumberFormat="1" applyFont="1" applyBorder="1"/>
    <xf numFmtId="165" fontId="41" fillId="0" borderId="30" xfId="1" applyNumberFormat="1" applyFont="1" applyBorder="1"/>
    <xf numFmtId="165" fontId="41" fillId="0" borderId="10" xfId="1" applyNumberFormat="1" applyFont="1" applyBorder="1"/>
    <xf numFmtId="165" fontId="42" fillId="0" borderId="30" xfId="1" applyNumberFormat="1" applyFont="1" applyBorder="1"/>
    <xf numFmtId="165" fontId="41" fillId="0" borderId="9" xfId="1" applyNumberFormat="1" applyFont="1" applyBorder="1" applyAlignment="1">
      <alignment horizontal="center"/>
    </xf>
    <xf numFmtId="165" fontId="15" fillId="0" borderId="30" xfId="1" applyNumberFormat="1" applyFont="1" applyBorder="1" applyAlignment="1">
      <alignment vertical="center"/>
    </xf>
    <xf numFmtId="0" fontId="41" fillId="0" borderId="0" xfId="1" applyNumberFormat="1" applyFont="1"/>
    <xf numFmtId="0" fontId="42" fillId="0" borderId="0" xfId="1" applyNumberFormat="1" applyFont="1"/>
    <xf numFmtId="0" fontId="41" fillId="0" borderId="0" xfId="1" applyNumberFormat="1" applyFont="1" applyAlignment="1">
      <alignment horizontal="center"/>
    </xf>
    <xf numFmtId="49" fontId="41" fillId="0" borderId="10" xfId="1" applyNumberFormat="1" applyFont="1" applyBorder="1" applyAlignment="1">
      <alignment horizontal="left"/>
    </xf>
    <xf numFmtId="165" fontId="15" fillId="0" borderId="31" xfId="1" applyNumberFormat="1" applyFont="1" applyBorder="1" applyAlignment="1">
      <alignment vertical="center"/>
    </xf>
    <xf numFmtId="165" fontId="41" fillId="0" borderId="11" xfId="1" applyNumberFormat="1" applyFont="1" applyBorder="1" applyAlignment="1">
      <alignment horizontal="center" vertical="justify"/>
    </xf>
    <xf numFmtId="165" fontId="41" fillId="0" borderId="11" xfId="1" applyNumberFormat="1" applyFont="1" applyBorder="1"/>
    <xf numFmtId="165" fontId="42" fillId="0" borderId="0" xfId="1" applyNumberFormat="1" applyFont="1" applyBorder="1"/>
    <xf numFmtId="165" fontId="41" fillId="0" borderId="0" xfId="1" applyNumberFormat="1" applyFont="1" applyBorder="1"/>
    <xf numFmtId="0" fontId="19" fillId="0" borderId="9" xfId="36" applyFont="1" applyBorder="1" applyAlignment="1">
      <alignment horizontal="center" vertical="center"/>
    </xf>
    <xf numFmtId="49" fontId="41" fillId="0" borderId="32" xfId="1" applyNumberFormat="1" applyFont="1" applyBorder="1" applyAlignment="1">
      <alignment horizontal="left"/>
    </xf>
    <xf numFmtId="0" fontId="2" fillId="0" borderId="33" xfId="21" applyFont="1" applyBorder="1" applyAlignment="1">
      <alignment vertical="center"/>
    </xf>
    <xf numFmtId="0" fontId="23" fillId="0" borderId="34" xfId="21" applyFont="1" applyBorder="1" applyAlignment="1">
      <alignment vertical="center"/>
    </xf>
    <xf numFmtId="0" fontId="23" fillId="0" borderId="34" xfId="21" applyFont="1" applyBorder="1" applyAlignment="1">
      <alignment horizontal="center" vertical="center"/>
    </xf>
    <xf numFmtId="3" fontId="23" fillId="0" borderId="34" xfId="19" applyNumberFormat="1" applyFont="1" applyBorder="1" applyAlignment="1">
      <alignment vertical="center"/>
    </xf>
    <xf numFmtId="3" fontId="23" fillId="0" borderId="35" xfId="19" applyNumberFormat="1" applyFont="1" applyBorder="1" applyAlignment="1">
      <alignment vertical="center"/>
    </xf>
    <xf numFmtId="165" fontId="53" fillId="0" borderId="11" xfId="1" applyNumberFormat="1" applyFont="1" applyBorder="1"/>
    <xf numFmtId="165" fontId="53" fillId="0" borderId="9" xfId="1" applyNumberFormat="1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28" fillId="0" borderId="9" xfId="0" applyFont="1" applyBorder="1" applyAlignment="1">
      <alignment horizontal="center" wrapText="1"/>
    </xf>
    <xf numFmtId="0" fontId="28" fillId="0" borderId="9" xfId="0" applyFont="1" applyBorder="1" applyAlignment="1">
      <alignment horizontal="center"/>
    </xf>
    <xf numFmtId="0" fontId="54" fillId="0" borderId="9" xfId="36" applyFont="1" applyBorder="1" applyAlignment="1">
      <alignment horizontal="center" vertical="center"/>
    </xf>
    <xf numFmtId="0" fontId="55" fillId="0" borderId="9" xfId="36" applyFont="1" applyBorder="1" applyAlignment="1">
      <alignment horizontal="center" vertical="center"/>
    </xf>
    <xf numFmtId="0" fontId="56" fillId="0" borderId="9" xfId="36" applyFont="1" applyBorder="1" applyAlignment="1">
      <alignment horizontal="center" vertical="center"/>
    </xf>
    <xf numFmtId="0" fontId="57" fillId="0" borderId="9" xfId="36" applyFont="1" applyBorder="1" applyAlignment="1">
      <alignment horizontal="center" vertical="center"/>
    </xf>
    <xf numFmtId="165" fontId="15" fillId="0" borderId="9" xfId="1" applyNumberFormat="1" applyFont="1" applyBorder="1"/>
    <xf numFmtId="164" fontId="3" fillId="0" borderId="0" xfId="1" applyFont="1"/>
    <xf numFmtId="164" fontId="41" fillId="0" borderId="36" xfId="1" applyFont="1" applyBorder="1" applyAlignment="1">
      <alignment horizontal="right"/>
    </xf>
    <xf numFmtId="164" fontId="41" fillId="0" borderId="9" xfId="1" applyFont="1" applyBorder="1" applyAlignment="1">
      <alignment horizontal="center" vertical="justify"/>
    </xf>
    <xf numFmtId="164" fontId="41" fillId="0" borderId="9" xfId="1" applyFont="1" applyBorder="1" applyAlignment="1">
      <alignment horizontal="center" vertical="center"/>
    </xf>
    <xf numFmtId="164" fontId="41" fillId="0" borderId="37" xfId="1" applyFont="1" applyBorder="1"/>
    <xf numFmtId="164" fontId="41" fillId="0" borderId="0" xfId="1" applyFont="1" applyBorder="1"/>
    <xf numFmtId="164" fontId="41" fillId="0" borderId="30" xfId="1" applyFont="1" applyBorder="1" applyAlignment="1">
      <alignment horizontal="center" vertical="center"/>
    </xf>
    <xf numFmtId="164" fontId="41" fillId="0" borderId="10" xfId="1" applyFont="1" applyBorder="1" applyAlignment="1">
      <alignment horizontal="center" vertical="center"/>
    </xf>
    <xf numFmtId="164" fontId="41" fillId="0" borderId="30" xfId="1" applyFont="1" applyBorder="1"/>
    <xf numFmtId="164" fontId="41" fillId="0" borderId="10" xfId="1" applyFont="1" applyBorder="1"/>
    <xf numFmtId="164" fontId="42" fillId="0" borderId="30" xfId="1" applyFont="1" applyBorder="1"/>
    <xf numFmtId="164" fontId="42" fillId="0" borderId="10" xfId="1" applyFont="1" applyBorder="1"/>
    <xf numFmtId="164" fontId="41" fillId="0" borderId="11" xfId="1" applyFont="1" applyBorder="1" applyAlignment="1">
      <alignment horizontal="center" vertical="justify"/>
    </xf>
    <xf numFmtId="164" fontId="41" fillId="0" borderId="11" xfId="1" applyFont="1" applyBorder="1" applyAlignment="1">
      <alignment horizontal="center" vertical="center"/>
    </xf>
    <xf numFmtId="164" fontId="60" fillId="0" borderId="0" xfId="1" applyFont="1"/>
    <xf numFmtId="164" fontId="41" fillId="0" borderId="0" xfId="1" applyFont="1" applyAlignment="1">
      <alignment horizontal="right"/>
    </xf>
    <xf numFmtId="164" fontId="42" fillId="0" borderId="10" xfId="1" applyFont="1" applyBorder="1" applyAlignment="1">
      <alignment horizontal="center" vertical="center"/>
    </xf>
    <xf numFmtId="164" fontId="42" fillId="0" borderId="37" xfId="1" applyFont="1" applyBorder="1"/>
    <xf numFmtId="164" fontId="41" fillId="0" borderId="30" xfId="1" applyFont="1" applyBorder="1" applyAlignment="1">
      <alignment horizontal="right"/>
    </xf>
    <xf numFmtId="164" fontId="53" fillId="0" borderId="9" xfId="1" applyFont="1" applyBorder="1" applyAlignment="1">
      <alignment horizontal="center"/>
    </xf>
    <xf numFmtId="164" fontId="53" fillId="0" borderId="0" xfId="1" applyFont="1" applyBorder="1"/>
    <xf numFmtId="164" fontId="41" fillId="0" borderId="0" xfId="1" applyFont="1" applyAlignment="1">
      <alignment horizontal="center"/>
    </xf>
    <xf numFmtId="164" fontId="42" fillId="0" borderId="0" xfId="1" applyFont="1" applyBorder="1"/>
    <xf numFmtId="164" fontId="53" fillId="0" borderId="9" xfId="1" applyFont="1" applyBorder="1"/>
    <xf numFmtId="0" fontId="15" fillId="0" borderId="0" xfId="1" applyNumberFormat="1" applyFont="1"/>
    <xf numFmtId="165" fontId="4" fillId="0" borderId="9" xfId="20" applyNumberFormat="1" applyFont="1" applyFill="1" applyBorder="1"/>
    <xf numFmtId="164" fontId="15" fillId="0" borderId="30" xfId="1" applyFont="1" applyBorder="1"/>
    <xf numFmtId="165" fontId="41" fillId="3" borderId="9" xfId="1" applyNumberFormat="1" applyFont="1" applyFill="1" applyBorder="1"/>
    <xf numFmtId="165" fontId="3" fillId="0" borderId="19" xfId="1" applyNumberFormat="1" applyFont="1" applyBorder="1" applyAlignment="1">
      <alignment horizontal="left"/>
    </xf>
    <xf numFmtId="165" fontId="3" fillId="0" borderId="9" xfId="1" applyNumberFormat="1" applyFont="1" applyBorder="1" applyAlignment="1">
      <alignment horizontal="left"/>
    </xf>
    <xf numFmtId="165" fontId="3" fillId="0" borderId="26" xfId="1" applyNumberFormat="1" applyFont="1" applyBorder="1" applyAlignment="1">
      <alignment horizontal="left"/>
    </xf>
    <xf numFmtId="165" fontId="2" fillId="0" borderId="9" xfId="1" applyNumberFormat="1" applyFont="1" applyBorder="1"/>
    <xf numFmtId="165" fontId="46" fillId="0" borderId="9" xfId="1" applyNumberFormat="1" applyFont="1" applyBorder="1"/>
    <xf numFmtId="165" fontId="3" fillId="0" borderId="9" xfId="1" applyNumberFormat="1" applyFont="1" applyBorder="1"/>
    <xf numFmtId="0" fontId="46" fillId="0" borderId="10" xfId="21" applyBorder="1" applyAlignment="1">
      <alignment horizontal="center"/>
    </xf>
    <xf numFmtId="0" fontId="3" fillId="0" borderId="10" xfId="21" applyFont="1" applyBorder="1" applyAlignment="1">
      <alignment horizontal="center"/>
    </xf>
    <xf numFmtId="165" fontId="3" fillId="0" borderId="9" xfId="2" applyNumberFormat="1" applyFont="1" applyBorder="1"/>
    <xf numFmtId="165" fontId="15" fillId="0" borderId="9" xfId="16" applyNumberFormat="1" applyFont="1" applyFill="1" applyBorder="1" applyAlignment="1" applyProtection="1"/>
    <xf numFmtId="165" fontId="17" fillId="0" borderId="9" xfId="16" applyNumberFormat="1" applyFont="1" applyFill="1" applyBorder="1" applyAlignment="1" applyProtection="1">
      <alignment horizontal="center"/>
    </xf>
    <xf numFmtId="165" fontId="17" fillId="0" borderId="9" xfId="16" applyNumberFormat="1" applyFont="1" applyFill="1" applyBorder="1" applyAlignment="1" applyProtection="1">
      <alignment horizontal="left"/>
    </xf>
    <xf numFmtId="165" fontId="16" fillId="0" borderId="9" xfId="16" applyNumberFormat="1" applyFont="1" applyFill="1" applyBorder="1" applyAlignment="1" applyProtection="1"/>
    <xf numFmtId="165" fontId="16" fillId="0" borderId="9" xfId="16" applyNumberFormat="1" applyFont="1" applyFill="1" applyBorder="1" applyAlignment="1" applyProtection="1">
      <alignment horizontal="center"/>
    </xf>
    <xf numFmtId="165" fontId="17" fillId="0" borderId="9" xfId="16" applyNumberFormat="1" applyFont="1" applyFill="1" applyBorder="1" applyAlignment="1" applyProtection="1"/>
    <xf numFmtId="165" fontId="15" fillId="0" borderId="9" xfId="16" applyNumberFormat="1" applyFont="1" applyFill="1" applyBorder="1" applyAlignment="1" applyProtection="1">
      <alignment horizontal="right"/>
    </xf>
    <xf numFmtId="165" fontId="17" fillId="0" borderId="9" xfId="16" applyNumberFormat="1" applyFont="1" applyFill="1" applyBorder="1" applyAlignment="1" applyProtection="1">
      <alignment horizontal="right"/>
    </xf>
    <xf numFmtId="165" fontId="16" fillId="0" borderId="9" xfId="15" applyNumberFormat="1" applyFont="1" applyFill="1" applyBorder="1" applyAlignment="1" applyProtection="1">
      <alignment horizontal="center"/>
    </xf>
    <xf numFmtId="165" fontId="15" fillId="0" borderId="9" xfId="15" applyNumberFormat="1" applyFont="1" applyFill="1" applyBorder="1" applyAlignment="1" applyProtection="1">
      <alignment horizontal="right"/>
    </xf>
    <xf numFmtId="165" fontId="2" fillId="0" borderId="9" xfId="15" applyNumberFormat="1" applyFont="1" applyBorder="1"/>
    <xf numFmtId="165" fontId="15" fillId="0" borderId="9" xfId="15" applyNumberFormat="1" applyFont="1" applyFill="1" applyBorder="1" applyAlignment="1" applyProtection="1"/>
    <xf numFmtId="165" fontId="16" fillId="0" borderId="9" xfId="15" applyNumberFormat="1" applyFont="1" applyFill="1" applyBorder="1" applyAlignment="1" applyProtection="1"/>
    <xf numFmtId="165" fontId="2" fillId="0" borderId="9" xfId="15" applyNumberFormat="1" applyFont="1" applyFill="1" applyBorder="1"/>
    <xf numFmtId="165" fontId="17" fillId="0" borderId="9" xfId="15" applyNumberFormat="1" applyFont="1" applyFill="1" applyBorder="1" applyAlignment="1" applyProtection="1">
      <alignment horizontal="center"/>
    </xf>
    <xf numFmtId="165" fontId="17" fillId="0" borderId="9" xfId="15" applyNumberFormat="1" applyFont="1" applyFill="1" applyBorder="1" applyAlignment="1" applyProtection="1">
      <alignment horizontal="left"/>
    </xf>
    <xf numFmtId="165" fontId="15" fillId="0" borderId="9" xfId="15" applyNumberFormat="1" applyFont="1" applyFill="1" applyBorder="1" applyAlignment="1" applyProtection="1">
      <alignment horizontal="center"/>
    </xf>
    <xf numFmtId="165" fontId="15" fillId="4" borderId="9" xfId="15" applyNumberFormat="1" applyFont="1" applyFill="1" applyBorder="1" applyAlignment="1" applyProtection="1"/>
    <xf numFmtId="165" fontId="2" fillId="0" borderId="9" xfId="2" applyNumberFormat="1" applyFont="1" applyBorder="1"/>
    <xf numFmtId="165" fontId="23" fillId="0" borderId="9" xfId="2" applyNumberFormat="1" applyFont="1" applyBorder="1"/>
    <xf numFmtId="165" fontId="2" fillId="0" borderId="9" xfId="2" applyNumberFormat="1" applyFont="1" applyFill="1" applyBorder="1"/>
    <xf numFmtId="165" fontId="41" fillId="0" borderId="9" xfId="0" applyNumberFormat="1" applyFont="1" applyBorder="1"/>
    <xf numFmtId="165" fontId="43" fillId="0" borderId="0" xfId="0" applyNumberFormat="1" applyFont="1"/>
    <xf numFmtId="165" fontId="4" fillId="2" borderId="9" xfId="20" applyNumberFormat="1" applyFont="1" applyFill="1" applyBorder="1"/>
    <xf numFmtId="165" fontId="4" fillId="0" borderId="9" xfId="44" applyNumberFormat="1" applyFont="1" applyFill="1" applyBorder="1" applyAlignment="1">
      <alignment horizontal="justify"/>
    </xf>
    <xf numFmtId="165" fontId="4" fillId="0" borderId="9" xfId="20" applyNumberFormat="1" applyFont="1" applyBorder="1"/>
    <xf numFmtId="165" fontId="30" fillId="3" borderId="9" xfId="20" applyNumberFormat="1" applyFont="1" applyFill="1" applyBorder="1"/>
    <xf numFmtId="167" fontId="4" fillId="0" borderId="0" xfId="44" applyNumberFormat="1" applyFont="1"/>
    <xf numFmtId="165" fontId="0" fillId="0" borderId="0" xfId="0" applyNumberFormat="1"/>
    <xf numFmtId="165" fontId="16" fillId="0" borderId="9" xfId="1" applyNumberFormat="1" applyFont="1" applyBorder="1"/>
    <xf numFmtId="165" fontId="42" fillId="0" borderId="9" xfId="1" applyNumberFormat="1" applyFont="1" applyBorder="1" applyAlignment="1">
      <alignment horizontal="center" vertical="justify"/>
    </xf>
    <xf numFmtId="164" fontId="3" fillId="0" borderId="27" xfId="1" applyFont="1" applyBorder="1" applyAlignment="1">
      <alignment horizontal="left"/>
    </xf>
    <xf numFmtId="165" fontId="30" fillId="0" borderId="9" xfId="1" applyNumberFormat="1" applyFont="1" applyBorder="1" applyAlignment="1">
      <alignment horizontal="left"/>
    </xf>
    <xf numFmtId="165" fontId="30" fillId="0" borderId="27" xfId="1" applyNumberFormat="1" applyFont="1" applyBorder="1" applyAlignment="1">
      <alignment horizontal="left"/>
    </xf>
    <xf numFmtId="165" fontId="30" fillId="0" borderId="9" xfId="1" applyNumberFormat="1" applyFont="1" applyBorder="1" applyAlignment="1">
      <alignment horizontal="left" wrapText="1"/>
    </xf>
    <xf numFmtId="165" fontId="30" fillId="0" borderId="27" xfId="1" applyNumberFormat="1" applyFont="1" applyBorder="1" applyAlignment="1">
      <alignment horizontal="left" wrapText="1"/>
    </xf>
    <xf numFmtId="165" fontId="30" fillId="0" borderId="19" xfId="43" applyNumberFormat="1" applyFont="1" applyBorder="1" applyAlignment="1">
      <alignment horizontal="left"/>
    </xf>
    <xf numFmtId="0" fontId="61" fillId="0" borderId="5" xfId="0" applyFont="1" applyBorder="1"/>
    <xf numFmtId="0" fontId="61" fillId="0" borderId="0" xfId="0" applyFont="1"/>
    <xf numFmtId="165" fontId="4" fillId="5" borderId="9" xfId="20" applyNumberFormat="1" applyFont="1" applyFill="1" applyBorder="1"/>
    <xf numFmtId="43" fontId="2" fillId="0" borderId="0" xfId="44" applyNumberFormat="1" applyFont="1"/>
    <xf numFmtId="165" fontId="2" fillId="0" borderId="0" xfId="44" applyNumberFormat="1" applyFont="1"/>
    <xf numFmtId="0" fontId="59" fillId="0" borderId="9" xfId="21" applyFont="1" applyBorder="1"/>
    <xf numFmtId="38" fontId="4" fillId="6" borderId="9" xfId="44" applyNumberFormat="1" applyFont="1" applyFill="1" applyBorder="1" applyAlignment="1">
      <alignment horizontal="center" vertical="center"/>
    </xf>
    <xf numFmtId="40" fontId="2" fillId="6" borderId="9" xfId="44" applyNumberFormat="1" applyFont="1" applyFill="1" applyBorder="1" applyAlignment="1">
      <alignment horizontal="left" vertical="center" wrapText="1"/>
    </xf>
    <xf numFmtId="165" fontId="4" fillId="6" borderId="9" xfId="20" applyNumberFormat="1" applyFont="1" applyFill="1" applyBorder="1"/>
    <xf numFmtId="0" fontId="2" fillId="6" borderId="0" xfId="44" applyFont="1" applyFill="1"/>
    <xf numFmtId="165" fontId="46" fillId="0" borderId="0" xfId="21" applyNumberFormat="1"/>
    <xf numFmtId="0" fontId="30" fillId="0" borderId="38" xfId="43" applyFont="1" applyBorder="1" applyAlignment="1">
      <alignment horizontal="center"/>
    </xf>
    <xf numFmtId="0" fontId="4" fillId="0" borderId="39" xfId="43" applyFont="1" applyBorder="1" applyAlignment="1">
      <alignment horizontal="left"/>
    </xf>
    <xf numFmtId="0" fontId="30" fillId="0" borderId="39" xfId="43" applyFont="1" applyBorder="1" applyAlignment="1">
      <alignment horizontal="center"/>
    </xf>
    <xf numFmtId="0" fontId="4" fillId="0" borderId="39" xfId="43" applyFont="1" applyBorder="1" applyAlignment="1">
      <alignment horizontal="center"/>
    </xf>
    <xf numFmtId="0" fontId="4" fillId="0" borderId="39" xfId="43" applyFont="1" applyFill="1" applyBorder="1" applyAlignment="1">
      <alignment horizontal="center"/>
    </xf>
    <xf numFmtId="0" fontId="30" fillId="0" borderId="39" xfId="43" applyFont="1" applyBorder="1"/>
    <xf numFmtId="0" fontId="4" fillId="0" borderId="39" xfId="21" applyFont="1" applyBorder="1"/>
    <xf numFmtId="0" fontId="4" fillId="0" borderId="39" xfId="43" applyFont="1" applyBorder="1"/>
    <xf numFmtId="0" fontId="4" fillId="0" borderId="40" xfId="43" applyFont="1" applyBorder="1"/>
    <xf numFmtId="165" fontId="30" fillId="0" borderId="41" xfId="43" applyNumberFormat="1" applyFont="1" applyBorder="1" applyAlignment="1">
      <alignment horizontal="left"/>
    </xf>
    <xf numFmtId="0" fontId="30" fillId="0" borderId="28" xfId="21" applyFont="1" applyBorder="1"/>
    <xf numFmtId="165" fontId="15" fillId="0" borderId="0" xfId="1" applyNumberFormat="1" applyFont="1" applyBorder="1" applyAlignment="1">
      <alignment vertical="center"/>
    </xf>
    <xf numFmtId="164" fontId="42" fillId="0" borderId="0" xfId="1" applyFont="1" applyBorder="1" applyAlignment="1">
      <alignment horizontal="center" vertical="center"/>
    </xf>
    <xf numFmtId="165" fontId="42" fillId="0" borderId="0" xfId="1" applyNumberFormat="1" applyFont="1" applyBorder="1" applyAlignment="1">
      <alignment horizontal="center" vertical="justify"/>
    </xf>
    <xf numFmtId="165" fontId="2" fillId="0" borderId="9" xfId="20" applyNumberFormat="1" applyFont="1" applyFill="1" applyBorder="1"/>
    <xf numFmtId="165" fontId="15" fillId="0" borderId="0" xfId="1" applyNumberFormat="1" applyFont="1"/>
    <xf numFmtId="0" fontId="46" fillId="0" borderId="0" xfId="21" applyAlignment="1">
      <alignment horizontal="center"/>
    </xf>
    <xf numFmtId="0" fontId="30" fillId="0" borderId="29" xfId="43" applyFont="1" applyBorder="1" applyAlignment="1">
      <alignment horizontal="right"/>
    </xf>
    <xf numFmtId="0" fontId="30" fillId="0" borderId="26" xfId="43" applyFont="1" applyBorder="1" applyAlignment="1">
      <alignment horizontal="right"/>
    </xf>
    <xf numFmtId="0" fontId="4" fillId="0" borderId="26" xfId="43" applyFont="1" applyBorder="1" applyAlignment="1">
      <alignment horizontal="right"/>
    </xf>
    <xf numFmtId="0" fontId="4" fillId="0" borderId="9" xfId="43" applyFont="1" applyBorder="1" applyAlignment="1">
      <alignment horizontal="right"/>
    </xf>
    <xf numFmtId="3" fontId="46" fillId="0" borderId="9" xfId="19" applyNumberFormat="1" applyBorder="1"/>
    <xf numFmtId="164" fontId="15" fillId="0" borderId="30" xfId="1" applyFont="1" applyBorder="1"/>
    <xf numFmtId="0" fontId="30" fillId="0" borderId="9" xfId="43" applyFont="1" applyBorder="1" applyAlignment="1">
      <alignment horizontal="right"/>
    </xf>
    <xf numFmtId="0" fontId="30" fillId="0" borderId="27" xfId="43" applyFont="1" applyBorder="1" applyAlignment="1">
      <alignment horizontal="right"/>
    </xf>
    <xf numFmtId="0" fontId="13" fillId="0" borderId="0" xfId="22" applyFont="1" applyBorder="1" applyAlignment="1">
      <alignment vertical="center"/>
    </xf>
    <xf numFmtId="0" fontId="13" fillId="0" borderId="0" xfId="22" applyFont="1" applyFill="1" applyBorder="1" applyAlignment="1">
      <alignment vertical="center"/>
    </xf>
    <xf numFmtId="0" fontId="58" fillId="0" borderId="0" xfId="22" applyFont="1" applyBorder="1" applyAlignment="1">
      <alignment vertical="center"/>
    </xf>
    <xf numFmtId="0" fontId="26" fillId="0" borderId="0" xfId="22" applyFont="1" applyBorder="1" applyAlignment="1">
      <alignment horizontal="center"/>
    </xf>
    <xf numFmtId="164" fontId="15" fillId="0" borderId="9" xfId="15" applyFont="1" applyFill="1" applyBorder="1" applyAlignment="1" applyProtection="1"/>
    <xf numFmtId="165" fontId="16" fillId="0" borderId="9" xfId="15" applyNumberFormat="1" applyFont="1" applyFill="1" applyBorder="1" applyAlignment="1" applyProtection="1">
      <alignment horizontal="center"/>
    </xf>
    <xf numFmtId="165" fontId="15" fillId="0" borderId="9" xfId="15" applyNumberFormat="1" applyFont="1" applyFill="1" applyBorder="1" applyAlignment="1" applyProtection="1">
      <alignment horizontal="right"/>
    </xf>
    <xf numFmtId="165" fontId="2" fillId="0" borderId="9" xfId="15" applyNumberFormat="1" applyFont="1" applyBorder="1"/>
    <xf numFmtId="165" fontId="15" fillId="0" borderId="9" xfId="15" applyNumberFormat="1" applyFont="1" applyFill="1" applyBorder="1" applyAlignment="1" applyProtection="1"/>
    <xf numFmtId="165" fontId="16" fillId="0" borderId="9" xfId="15" applyNumberFormat="1" applyFont="1" applyFill="1" applyBorder="1" applyAlignment="1" applyProtection="1"/>
    <xf numFmtId="165" fontId="17" fillId="0" borderId="9" xfId="15" applyNumberFormat="1" applyFont="1" applyFill="1" applyBorder="1" applyAlignment="1" applyProtection="1">
      <alignment horizontal="left"/>
    </xf>
    <xf numFmtId="165" fontId="15" fillId="4" borderId="9" xfId="15" applyNumberFormat="1" applyFont="1" applyFill="1" applyBorder="1" applyAlignment="1" applyProtection="1"/>
    <xf numFmtId="165" fontId="15" fillId="0" borderId="9" xfId="16" applyNumberFormat="1" applyFont="1" applyFill="1" applyBorder="1" applyAlignment="1" applyProtection="1"/>
    <xf numFmtId="165" fontId="17" fillId="0" borderId="9" xfId="16" applyNumberFormat="1" applyFont="1" applyFill="1" applyBorder="1" applyAlignment="1" applyProtection="1">
      <alignment horizontal="center"/>
    </xf>
    <xf numFmtId="165" fontId="17" fillId="0" borderId="9" xfId="16" applyNumberFormat="1" applyFont="1" applyFill="1" applyBorder="1" applyAlignment="1" applyProtection="1">
      <alignment horizontal="left"/>
    </xf>
    <xf numFmtId="165" fontId="16" fillId="0" borderId="9" xfId="16" applyNumberFormat="1" applyFont="1" applyFill="1" applyBorder="1" applyAlignment="1" applyProtection="1"/>
    <xf numFmtId="165" fontId="16" fillId="0" borderId="9" xfId="16" applyNumberFormat="1" applyFont="1" applyFill="1" applyBorder="1" applyAlignment="1" applyProtection="1">
      <alignment horizontal="center"/>
    </xf>
    <xf numFmtId="165" fontId="17" fillId="0" borderId="9" xfId="16" applyNumberFormat="1" applyFont="1" applyFill="1" applyBorder="1" applyAlignment="1" applyProtection="1"/>
    <xf numFmtId="165" fontId="15" fillId="0" borderId="9" xfId="16" applyNumberFormat="1" applyFont="1" applyFill="1" applyBorder="1" applyAlignment="1" applyProtection="1">
      <alignment horizontal="right"/>
    </xf>
    <xf numFmtId="165" fontId="17" fillId="0" borderId="9" xfId="16" applyNumberFormat="1" applyFont="1" applyFill="1" applyBorder="1" applyAlignment="1" applyProtection="1">
      <alignment horizontal="right"/>
    </xf>
    <xf numFmtId="165" fontId="3" fillId="0" borderId="9" xfId="2" applyNumberFormat="1" applyFont="1" applyBorder="1" applyAlignment="1"/>
    <xf numFmtId="165" fontId="2" fillId="0" borderId="9" xfId="2" applyNumberFormat="1" applyFont="1" applyBorder="1" applyAlignment="1"/>
    <xf numFmtId="165" fontId="3" fillId="0" borderId="9" xfId="2" applyNumberFormat="1" applyFont="1" applyBorder="1"/>
    <xf numFmtId="165" fontId="2" fillId="0" borderId="9" xfId="2" applyNumberFormat="1" applyFont="1" applyBorder="1"/>
    <xf numFmtId="165" fontId="23" fillId="0" borderId="9" xfId="2" applyNumberFormat="1" applyFont="1" applyBorder="1"/>
    <xf numFmtId="165" fontId="2" fillId="0" borderId="9" xfId="2" applyNumberFormat="1" applyFont="1" applyFill="1" applyBorder="1"/>
    <xf numFmtId="0" fontId="15" fillId="0" borderId="9" xfId="0" applyFont="1" applyBorder="1"/>
    <xf numFmtId="164" fontId="15" fillId="0" borderId="9" xfId="1" applyFont="1" applyBorder="1"/>
    <xf numFmtId="165" fontId="15" fillId="0" borderId="9" xfId="1" applyNumberFormat="1" applyFont="1" applyBorder="1"/>
    <xf numFmtId="165" fontId="15" fillId="0" borderId="9" xfId="0" applyNumberFormat="1" applyFont="1" applyBorder="1"/>
    <xf numFmtId="38" fontId="4" fillId="0" borderId="9" xfId="44" applyNumberFormat="1" applyFont="1" applyFill="1" applyBorder="1" applyAlignment="1">
      <alignment horizontal="center" vertical="center"/>
    </xf>
    <xf numFmtId="0" fontId="2" fillId="0" borderId="10" xfId="43" applyFont="1" applyBorder="1" applyAlignment="1">
      <alignment horizontal="left" wrapText="1"/>
    </xf>
    <xf numFmtId="0" fontId="4" fillId="0" borderId="9" xfId="43" applyFont="1" applyBorder="1" applyAlignment="1">
      <alignment horizontal="left"/>
    </xf>
    <xf numFmtId="165" fontId="0" fillId="0" borderId="0" xfId="1" applyNumberFormat="1" applyFont="1"/>
    <xf numFmtId="0" fontId="32" fillId="0" borderId="0" xfId="22" applyFont="1" applyBorder="1" applyAlignment="1">
      <alignment horizontal="center"/>
    </xf>
    <xf numFmtId="0" fontId="32" fillId="0" borderId="5" xfId="22" applyFont="1" applyBorder="1" applyAlignment="1">
      <alignment horizontal="center"/>
    </xf>
    <xf numFmtId="0" fontId="58" fillId="0" borderId="0" xfId="22" applyFont="1" applyFill="1" applyBorder="1" applyAlignment="1">
      <alignment horizontal="justify" vertical="top"/>
    </xf>
    <xf numFmtId="0" fontId="7" fillId="0" borderId="30" xfId="36" applyFont="1" applyBorder="1" applyAlignment="1">
      <alignment horizontal="center" vertical="center"/>
    </xf>
    <xf numFmtId="0" fontId="7" fillId="0" borderId="10" xfId="36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164" fontId="16" fillId="0" borderId="30" xfId="16" applyFont="1" applyBorder="1" applyAlignment="1">
      <alignment horizontal="center" vertical="center" wrapText="1"/>
    </xf>
    <xf numFmtId="164" fontId="16" fillId="0" borderId="10" xfId="16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38" fontId="45" fillId="0" borderId="0" xfId="44" applyNumberFormat="1" applyFont="1" applyFill="1" applyAlignment="1">
      <alignment horizontal="center"/>
    </xf>
    <xf numFmtId="38" fontId="4" fillId="0" borderId="9" xfId="44" applyNumberFormat="1" applyFont="1" applyFill="1" applyBorder="1" applyAlignment="1">
      <alignment horizontal="center" vertical="center"/>
    </xf>
    <xf numFmtId="38" fontId="4" fillId="0" borderId="9" xfId="44" applyNumberFormat="1" applyFont="1" applyFill="1" applyBorder="1" applyAlignment="1">
      <alignment horizontal="center"/>
    </xf>
    <xf numFmtId="40" fontId="4" fillId="0" borderId="9" xfId="44" applyNumberFormat="1" applyFont="1" applyFill="1" applyBorder="1" applyAlignment="1">
      <alignment horizontal="center"/>
    </xf>
    <xf numFmtId="0" fontId="49" fillId="0" borderId="0" xfId="21" applyFont="1" applyAlignment="1">
      <alignment horizontal="center"/>
    </xf>
    <xf numFmtId="0" fontId="2" fillId="0" borderId="11" xfId="21" applyFont="1" applyBorder="1" applyAlignment="1">
      <alignment horizontal="center" vertical="center"/>
    </xf>
    <xf numFmtId="0" fontId="2" fillId="0" borderId="12" xfId="21" applyFont="1" applyBorder="1" applyAlignment="1">
      <alignment horizontal="center" vertical="center"/>
    </xf>
    <xf numFmtId="0" fontId="24" fillId="0" borderId="11" xfId="21" applyFont="1" applyBorder="1" applyAlignment="1">
      <alignment horizontal="center" vertical="center"/>
    </xf>
    <xf numFmtId="0" fontId="24" fillId="0" borderId="12" xfId="21" applyFont="1" applyBorder="1" applyAlignment="1">
      <alignment horizontal="center" vertical="center"/>
    </xf>
    <xf numFmtId="0" fontId="45" fillId="0" borderId="0" xfId="21" applyFont="1" applyAlignment="1">
      <alignment horizontal="center"/>
    </xf>
    <xf numFmtId="0" fontId="46" fillId="0" borderId="0" xfId="21" applyAlignment="1">
      <alignment horizontal="center"/>
    </xf>
    <xf numFmtId="0" fontId="3" fillId="0" borderId="37" xfId="43" applyFont="1" applyBorder="1" applyAlignment="1">
      <alignment horizontal="left" wrapText="1"/>
    </xf>
    <xf numFmtId="0" fontId="3" fillId="0" borderId="10" xfId="43" applyFont="1" applyBorder="1" applyAlignment="1">
      <alignment horizontal="left" wrapText="1"/>
    </xf>
    <xf numFmtId="0" fontId="2" fillId="0" borderId="37" xfId="43" applyFont="1" applyBorder="1" applyAlignment="1">
      <alignment horizontal="center" wrapText="1"/>
    </xf>
    <xf numFmtId="0" fontId="2" fillId="0" borderId="10" xfId="43" applyFont="1" applyBorder="1" applyAlignment="1">
      <alignment horizontal="center" wrapText="1"/>
    </xf>
    <xf numFmtId="2" fontId="3" fillId="0" borderId="30" xfId="43" applyNumberFormat="1" applyFont="1" applyBorder="1" applyAlignment="1">
      <alignment horizontal="center" wrapText="1"/>
    </xf>
    <xf numFmtId="2" fontId="3" fillId="0" borderId="37" xfId="43" applyNumberFormat="1" applyFont="1" applyBorder="1" applyAlignment="1">
      <alignment horizontal="center" wrapText="1"/>
    </xf>
    <xf numFmtId="2" fontId="3" fillId="0" borderId="10" xfId="43" applyNumberFormat="1" applyFont="1" applyBorder="1" applyAlignment="1">
      <alignment horizontal="center" wrapText="1"/>
    </xf>
    <xf numFmtId="2" fontId="52" fillId="0" borderId="0" xfId="43" applyNumberFormat="1" applyFont="1" applyBorder="1" applyAlignment="1">
      <alignment horizontal="center" wrapText="1"/>
    </xf>
    <xf numFmtId="2" fontId="52" fillId="0" borderId="16" xfId="43" applyNumberFormat="1" applyFont="1" applyBorder="1" applyAlignment="1">
      <alignment horizontal="center" wrapText="1"/>
    </xf>
    <xf numFmtId="0" fontId="3" fillId="0" borderId="42" xfId="43" applyFont="1" applyBorder="1" applyAlignment="1">
      <alignment horizontal="left" wrapText="1"/>
    </xf>
    <xf numFmtId="0" fontId="3" fillId="0" borderId="19" xfId="43" applyFont="1" applyBorder="1" applyAlignment="1">
      <alignment horizontal="left" wrapText="1"/>
    </xf>
    <xf numFmtId="0" fontId="2" fillId="0" borderId="37" xfId="43" applyFont="1" applyBorder="1" applyAlignment="1">
      <alignment horizontal="left" wrapText="1"/>
    </xf>
    <xf numFmtId="0" fontId="2" fillId="0" borderId="10" xfId="43" applyFont="1" applyBorder="1" applyAlignment="1">
      <alignment horizontal="left" wrapText="1"/>
    </xf>
    <xf numFmtId="0" fontId="4" fillId="0" borderId="22" xfId="45" applyFont="1" applyFill="1" applyBorder="1" applyAlignment="1">
      <alignment horizontal="left" wrapText="1"/>
    </xf>
    <xf numFmtId="0" fontId="4" fillId="0" borderId="9" xfId="45" applyFont="1" applyFill="1" applyBorder="1" applyAlignment="1">
      <alignment horizontal="left" wrapText="1"/>
    </xf>
    <xf numFmtId="0" fontId="23" fillId="0" borderId="10" xfId="43" applyFont="1" applyBorder="1" applyAlignment="1">
      <alignment horizontal="left" wrapText="1"/>
    </xf>
    <xf numFmtId="0" fontId="23" fillId="0" borderId="9" xfId="43" applyFont="1" applyBorder="1" applyAlignment="1">
      <alignment horizontal="left" wrapText="1"/>
    </xf>
    <xf numFmtId="0" fontId="3" fillId="0" borderId="9" xfId="43" applyFont="1" applyBorder="1" applyAlignment="1">
      <alignment horizontal="left" wrapText="1"/>
    </xf>
    <xf numFmtId="0" fontId="3" fillId="0" borderId="26" xfId="43" applyFont="1" applyBorder="1" applyAlignment="1">
      <alignment horizontal="left" wrapText="1"/>
    </xf>
    <xf numFmtId="0" fontId="52" fillId="0" borderId="36" xfId="43" applyFont="1" applyBorder="1" applyAlignment="1">
      <alignment horizontal="center" wrapText="1"/>
    </xf>
    <xf numFmtId="0" fontId="52" fillId="0" borderId="43" xfId="43" applyFont="1" applyBorder="1" applyAlignment="1">
      <alignment horizontal="center" wrapText="1"/>
    </xf>
    <xf numFmtId="0" fontId="52" fillId="0" borderId="32" xfId="43" applyFont="1" applyBorder="1" applyAlignment="1">
      <alignment horizontal="center" wrapText="1"/>
    </xf>
    <xf numFmtId="0" fontId="30" fillId="0" borderId="44" xfId="43" applyFont="1" applyBorder="1" applyAlignment="1">
      <alignment horizontal="left" wrapText="1"/>
    </xf>
    <xf numFmtId="0" fontId="30" fillId="0" borderId="19" xfId="43" applyFont="1" applyBorder="1" applyAlignment="1">
      <alignment horizontal="left" wrapText="1"/>
    </xf>
    <xf numFmtId="0" fontId="4" fillId="0" borderId="22" xfId="43" applyFont="1" applyBorder="1" applyAlignment="1">
      <alignment horizontal="left"/>
    </xf>
    <xf numFmtId="0" fontId="4" fillId="0" borderId="9" xfId="43" applyFont="1" applyBorder="1" applyAlignment="1">
      <alignment horizontal="left"/>
    </xf>
    <xf numFmtId="0" fontId="30" fillId="0" borderId="22" xfId="45" applyFont="1" applyFill="1" applyBorder="1" applyAlignment="1">
      <alignment horizontal="left" wrapText="1"/>
    </xf>
    <xf numFmtId="0" fontId="30" fillId="0" borderId="22" xfId="43" applyFont="1" applyBorder="1" applyAlignment="1">
      <alignment horizontal="left" wrapText="1"/>
    </xf>
    <xf numFmtId="0" fontId="30" fillId="0" borderId="9" xfId="43" applyFont="1" applyBorder="1" applyAlignment="1">
      <alignment horizontal="left" wrapText="1"/>
    </xf>
    <xf numFmtId="0" fontId="4" fillId="0" borderId="9" xfId="43" applyFont="1" applyBorder="1" applyAlignment="1">
      <alignment horizontal="left" wrapText="1"/>
    </xf>
    <xf numFmtId="0" fontId="4" fillId="0" borderId="22" xfId="43" applyFont="1" applyBorder="1" applyAlignment="1">
      <alignment horizontal="left" wrapText="1"/>
    </xf>
    <xf numFmtId="0" fontId="29" fillId="0" borderId="22" xfId="45" applyFont="1" applyFill="1" applyBorder="1" applyAlignment="1">
      <alignment horizontal="left" wrapText="1"/>
    </xf>
    <xf numFmtId="0" fontId="29" fillId="0" borderId="9" xfId="45" applyFont="1" applyFill="1" applyBorder="1" applyAlignment="1">
      <alignment horizontal="left" wrapText="1"/>
    </xf>
    <xf numFmtId="0" fontId="4" fillId="0" borderId="39" xfId="45" applyFont="1" applyFill="1" applyBorder="1" applyAlignment="1">
      <alignment horizontal="left" wrapText="1"/>
    </xf>
    <xf numFmtId="0" fontId="4" fillId="0" borderId="37" xfId="45" applyFont="1" applyFill="1" applyBorder="1" applyAlignment="1">
      <alignment horizontal="left" wrapText="1"/>
    </xf>
    <xf numFmtId="0" fontId="4" fillId="0" borderId="10" xfId="45" applyFont="1" applyFill="1" applyBorder="1" applyAlignment="1">
      <alignment horizontal="left" wrapText="1"/>
    </xf>
    <xf numFmtId="0" fontId="29" fillId="0" borderId="25" xfId="43" applyFont="1" applyBorder="1" applyAlignment="1">
      <alignment horizontal="left"/>
    </xf>
    <xf numFmtId="0" fontId="29" fillId="0" borderId="26" xfId="43" applyFont="1" applyBorder="1" applyAlignment="1">
      <alignment horizontal="left"/>
    </xf>
    <xf numFmtId="0" fontId="30" fillId="0" borderId="22" xfId="43" applyFont="1" applyBorder="1" applyAlignment="1">
      <alignment horizontal="left"/>
    </xf>
    <xf numFmtId="0" fontId="30" fillId="0" borderId="9" xfId="43" applyFont="1" applyBorder="1" applyAlignment="1">
      <alignment horizontal="left"/>
    </xf>
    <xf numFmtId="0" fontId="29" fillId="0" borderId="22" xfId="43" applyFont="1" applyBorder="1" applyAlignment="1">
      <alignment horizontal="left"/>
    </xf>
    <xf numFmtId="0" fontId="29" fillId="0" borderId="9" xfId="43" applyFont="1" applyBorder="1" applyAlignment="1">
      <alignment horizontal="left"/>
    </xf>
  </cellXfs>
  <cellStyles count="48">
    <cellStyle name="Comma" xfId="1" builtinId="3"/>
    <cellStyle name="Comma 2 2" xfId="2"/>
    <cellStyle name="Comma 2 3" xfId="3"/>
    <cellStyle name="Comma 2 4" xfId="4"/>
    <cellStyle name="Comma 2 5" xfId="5"/>
    <cellStyle name="Comma 2 6" xfId="6"/>
    <cellStyle name="Comma 2 7" xfId="7"/>
    <cellStyle name="Comma 3" xfId="8"/>
    <cellStyle name="Comma 4" xfId="9"/>
    <cellStyle name="Comma 4 2" xfId="10"/>
    <cellStyle name="Comma 4 3" xfId="11"/>
    <cellStyle name="Comma 4 4" xfId="12"/>
    <cellStyle name="Comma 4 5" xfId="13"/>
    <cellStyle name="Comma 4 6" xfId="14"/>
    <cellStyle name="Comma 6" xfId="15"/>
    <cellStyle name="Comma 7" xfId="16"/>
    <cellStyle name="Comma 8" xfId="17"/>
    <cellStyle name="Comma 9" xfId="18"/>
    <cellStyle name="Comma_21.Aktivet Afatgjata Materiale  09" xfId="19"/>
    <cellStyle name="Comma_Pasqyrat Financiare 2009_Mihaj" xfId="20"/>
    <cellStyle name="Normal" xfId="0" builtinId="0"/>
    <cellStyle name="Normal 11" xfId="21"/>
    <cellStyle name="Normal 2" xfId="22"/>
    <cellStyle name="Normal 2 2" xfId="23"/>
    <cellStyle name="Normal 2 2 2" xfId="24"/>
    <cellStyle name="Normal 2 2 3" xfId="25"/>
    <cellStyle name="Normal 2 2 4" xfId="26"/>
    <cellStyle name="Normal 2 2 5" xfId="27"/>
    <cellStyle name="Normal 2 2 6" xfId="28"/>
    <cellStyle name="Normal 2 2 7" xfId="29"/>
    <cellStyle name="Normal 2 3" xfId="30"/>
    <cellStyle name="Normal 2 4" xfId="31"/>
    <cellStyle name="Normal 2 5" xfId="32"/>
    <cellStyle name="Normal 2 6" xfId="33"/>
    <cellStyle name="Normal 2 7" xfId="34"/>
    <cellStyle name="Normal 3" xfId="35"/>
    <cellStyle name="Normal 4" xfId="36"/>
    <cellStyle name="Normal 5" xfId="37"/>
    <cellStyle name="Normal 5 2" xfId="38"/>
    <cellStyle name="Normal 5 3" xfId="39"/>
    <cellStyle name="Normal 5 4" xfId="40"/>
    <cellStyle name="Normal 5 5" xfId="41"/>
    <cellStyle name="Normal 5 6" xfId="42"/>
    <cellStyle name="Normal_asn_2009 Propozimet" xfId="43"/>
    <cellStyle name="Normal_Pasqyrat Financiare 2009_Mihaj" xfId="44"/>
    <cellStyle name="Normal_Sheet2" xfId="45"/>
    <cellStyle name="Normale_BILANCIO FKT 1997" xfId="46"/>
    <cellStyle name="Percent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116205</xdr:rowOff>
    </xdr:from>
    <xdr:to>
      <xdr:col>3</xdr:col>
      <xdr:colOff>247650</xdr:colOff>
      <xdr:row>0</xdr:row>
      <xdr:rowOff>117793</xdr:rowOff>
    </xdr:to>
    <xdr:cxnSp macro="">
      <xdr:nvCxnSpPr>
        <xdr:cNvPr id="3" name="Straight Connector 2"/>
        <xdr:cNvCxnSpPr/>
      </xdr:nvCxnSpPr>
      <xdr:spPr>
        <a:xfrm>
          <a:off x="133350" y="123825"/>
          <a:ext cx="52959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49</xdr:row>
      <xdr:rowOff>66675</xdr:rowOff>
    </xdr:from>
    <xdr:to>
      <xdr:col>3</xdr:col>
      <xdr:colOff>262969</xdr:colOff>
      <xdr:row>49</xdr:row>
      <xdr:rowOff>68263</xdr:rowOff>
    </xdr:to>
    <xdr:cxnSp macro="">
      <xdr:nvCxnSpPr>
        <xdr:cNvPr id="4" name="Straight Connector 3"/>
        <xdr:cNvCxnSpPr/>
      </xdr:nvCxnSpPr>
      <xdr:spPr>
        <a:xfrm>
          <a:off x="114300" y="9391650"/>
          <a:ext cx="53149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249555</xdr:colOff>
      <xdr:row>0</xdr:row>
      <xdr:rowOff>123825</xdr:rowOff>
    </xdr:from>
    <xdr:to>
      <xdr:col>3</xdr:col>
      <xdr:colOff>249556</xdr:colOff>
      <xdr:row>49</xdr:row>
      <xdr:rowOff>66452</xdr:rowOff>
    </xdr:to>
    <xdr:cxnSp macro="">
      <xdr:nvCxnSpPr>
        <xdr:cNvPr id="8" name="Straight Connector 7"/>
        <xdr:cNvCxnSpPr/>
      </xdr:nvCxnSpPr>
      <xdr:spPr>
        <a:xfrm rot="5400000">
          <a:off x="804863" y="4757737"/>
          <a:ext cx="92678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131446</xdr:colOff>
      <xdr:row>0</xdr:row>
      <xdr:rowOff>125727</xdr:rowOff>
    </xdr:from>
    <xdr:to>
      <xdr:col>0</xdr:col>
      <xdr:colOff>136209</xdr:colOff>
      <xdr:row>49</xdr:row>
      <xdr:rowOff>66791</xdr:rowOff>
    </xdr:to>
    <xdr:cxnSp macro="">
      <xdr:nvCxnSpPr>
        <xdr:cNvPr id="11" name="Straight Connector 10"/>
        <xdr:cNvCxnSpPr/>
      </xdr:nvCxnSpPr>
      <xdr:spPr>
        <a:xfrm rot="5400000">
          <a:off x="-4500564" y="4757737"/>
          <a:ext cx="925830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249555</xdr:colOff>
      <xdr:row>0</xdr:row>
      <xdr:rowOff>28576</xdr:rowOff>
    </xdr:from>
    <xdr:to>
      <xdr:col>3</xdr:col>
      <xdr:colOff>251460</xdr:colOff>
      <xdr:row>0</xdr:row>
      <xdr:rowOff>115888</xdr:rowOff>
    </xdr:to>
    <xdr:cxnSp macro="">
      <xdr:nvCxnSpPr>
        <xdr:cNvPr id="14" name="Straight Connector 13"/>
        <xdr:cNvCxnSpPr/>
      </xdr:nvCxnSpPr>
      <xdr:spPr>
        <a:xfrm flipV="1">
          <a:off x="5438775" y="28576"/>
          <a:ext cx="123825" cy="952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49</xdr:row>
      <xdr:rowOff>57150</xdr:rowOff>
    </xdr:from>
    <xdr:to>
      <xdr:col>4</xdr:col>
      <xdr:colOff>100965</xdr:colOff>
      <xdr:row>50</xdr:row>
      <xdr:rowOff>9861</xdr:rowOff>
    </xdr:to>
    <xdr:cxnSp macro="">
      <xdr:nvCxnSpPr>
        <xdr:cNvPr id="16" name="Straight Connector 15"/>
        <xdr:cNvCxnSpPr/>
      </xdr:nvCxnSpPr>
      <xdr:spPr>
        <a:xfrm>
          <a:off x="5429250" y="9382125"/>
          <a:ext cx="161925" cy="152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11429</xdr:colOff>
      <xdr:row>0</xdr:row>
      <xdr:rowOff>9525</xdr:rowOff>
    </xdr:from>
    <xdr:to>
      <xdr:col>0</xdr:col>
      <xdr:colOff>142993</xdr:colOff>
      <xdr:row>0</xdr:row>
      <xdr:rowOff>126067</xdr:rowOff>
    </xdr:to>
    <xdr:cxnSp macro="">
      <xdr:nvCxnSpPr>
        <xdr:cNvPr id="17" name="Straight Connector 16"/>
        <xdr:cNvCxnSpPr/>
      </xdr:nvCxnSpPr>
      <xdr:spPr>
        <a:xfrm rot="16200000" flipH="1">
          <a:off x="18940" y="2014"/>
          <a:ext cx="116542" cy="13156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49</xdr:row>
      <xdr:rowOff>66675</xdr:rowOff>
    </xdr:from>
    <xdr:to>
      <xdr:col>0</xdr:col>
      <xdr:colOff>131445</xdr:colOff>
      <xdr:row>50</xdr:row>
      <xdr:rowOff>129</xdr:rowOff>
    </xdr:to>
    <xdr:cxnSp macro="">
      <xdr:nvCxnSpPr>
        <xdr:cNvPr id="18" name="Straight Connector 17"/>
        <xdr:cNvCxnSpPr/>
      </xdr:nvCxnSpPr>
      <xdr:spPr>
        <a:xfrm rot="5400000" flipH="1" flipV="1">
          <a:off x="-1" y="9620251"/>
          <a:ext cx="133352" cy="114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0"/>
  <sheetViews>
    <sheetView topLeftCell="A31" zoomScaleNormal="100" workbookViewId="0">
      <selection activeCell="C56" sqref="C56"/>
    </sheetView>
  </sheetViews>
  <sheetFormatPr defaultRowHeight="14.4"/>
  <cols>
    <col min="1" max="1" width="4.5546875" customWidth="1"/>
    <col min="2" max="2" width="27.109375" customWidth="1"/>
    <col min="3" max="3" width="37.6640625" customWidth="1"/>
    <col min="4" max="4" width="9.109375" customWidth="1"/>
  </cols>
  <sheetData>
    <row r="1" spans="1:5" ht="13.5" customHeight="1" thickTop="1">
      <c r="A1" s="6"/>
      <c r="B1" s="7"/>
      <c r="C1" s="7"/>
      <c r="D1" s="8"/>
    </row>
    <row r="2" spans="1:5" ht="13.5" customHeight="1">
      <c r="A2" s="12"/>
      <c r="B2" s="5"/>
      <c r="C2" s="5"/>
      <c r="D2" s="11"/>
    </row>
    <row r="3" spans="1:5" ht="13.5" customHeight="1">
      <c r="A3" s="12"/>
      <c r="B3" s="5"/>
      <c r="C3" s="5"/>
      <c r="D3" s="11"/>
    </row>
    <row r="4" spans="1:5" ht="19.5" customHeight="1">
      <c r="A4" s="9"/>
      <c r="B4" s="4" t="s">
        <v>6</v>
      </c>
      <c r="C4" s="349" t="s">
        <v>526</v>
      </c>
      <c r="D4" s="311"/>
      <c r="E4" s="312"/>
    </row>
    <row r="5" spans="1:5" ht="19.5" customHeight="1">
      <c r="A5" s="9"/>
      <c r="B5" s="4" t="s">
        <v>8</v>
      </c>
      <c r="C5" s="347" t="s">
        <v>527</v>
      </c>
      <c r="D5" s="11"/>
    </row>
    <row r="6" spans="1:5" ht="19.5" customHeight="1">
      <c r="A6" s="9"/>
      <c r="B6" s="4" t="s">
        <v>0</v>
      </c>
      <c r="C6" s="348" t="s">
        <v>528</v>
      </c>
      <c r="D6" s="11"/>
    </row>
    <row r="7" spans="1:5" ht="19.5" customHeight="1">
      <c r="A7" s="9"/>
      <c r="B7" s="4" t="s">
        <v>488</v>
      </c>
      <c r="C7" s="383" t="s">
        <v>529</v>
      </c>
      <c r="D7" s="10"/>
    </row>
    <row r="8" spans="1:5" ht="15.6">
      <c r="A8" s="9"/>
      <c r="B8" s="2"/>
      <c r="C8" s="383"/>
      <c r="D8" s="10"/>
    </row>
    <row r="9" spans="1:5" ht="15.6">
      <c r="A9" s="9"/>
      <c r="B9" s="2"/>
      <c r="C9" s="383"/>
      <c r="D9" s="10"/>
    </row>
    <row r="10" spans="1:5" ht="15.6">
      <c r="A10" s="9"/>
      <c r="B10" s="2"/>
      <c r="C10" s="383"/>
      <c r="D10" s="10"/>
    </row>
    <row r="11" spans="1:5" ht="15.6">
      <c r="A11" s="9"/>
      <c r="B11" s="2"/>
      <c r="C11" s="49"/>
      <c r="D11" s="10"/>
    </row>
    <row r="12" spans="1:5" ht="15.6">
      <c r="A12" s="9"/>
      <c r="B12" s="2"/>
      <c r="C12" s="2"/>
      <c r="D12" s="10"/>
    </row>
    <row r="13" spans="1:5" ht="15.6">
      <c r="A13" s="9"/>
      <c r="B13" s="2"/>
      <c r="C13" s="2"/>
      <c r="D13" s="10"/>
    </row>
    <row r="14" spans="1:5" ht="15.6">
      <c r="A14" s="9"/>
      <c r="B14" s="2"/>
      <c r="C14" s="2"/>
      <c r="D14" s="10"/>
    </row>
    <row r="15" spans="1:5" ht="15.6">
      <c r="A15" s="9"/>
      <c r="B15" s="2"/>
      <c r="C15" s="2"/>
      <c r="D15" s="10"/>
    </row>
    <row r="16" spans="1:5" ht="15.6">
      <c r="A16" s="9"/>
      <c r="B16" s="2"/>
      <c r="C16" s="2"/>
      <c r="D16" s="10"/>
    </row>
    <row r="17" spans="1:4" ht="15.6">
      <c r="A17" s="9"/>
      <c r="B17" s="2"/>
      <c r="C17" s="2"/>
      <c r="D17" s="10"/>
    </row>
    <row r="18" spans="1:4" ht="15.6">
      <c r="A18" s="9"/>
      <c r="B18" s="2"/>
      <c r="C18" s="2"/>
      <c r="D18" s="10"/>
    </row>
    <row r="19" spans="1:4" ht="15.6">
      <c r="A19" s="9"/>
      <c r="B19" s="2"/>
      <c r="C19" s="2"/>
      <c r="D19" s="10"/>
    </row>
    <row r="20" spans="1:4" ht="21">
      <c r="A20" s="9"/>
      <c r="B20" s="381" t="s">
        <v>1</v>
      </c>
      <c r="C20" s="381"/>
      <c r="D20" s="382"/>
    </row>
    <row r="21" spans="1:4" ht="20.399999999999999">
      <c r="A21" s="9"/>
      <c r="B21" s="82"/>
      <c r="C21" s="82"/>
      <c r="D21" s="83"/>
    </row>
    <row r="22" spans="1:4" ht="21">
      <c r="A22" s="9"/>
      <c r="B22" s="381" t="s">
        <v>2</v>
      </c>
      <c r="C22" s="381"/>
      <c r="D22" s="382"/>
    </row>
    <row r="23" spans="1:4" ht="20.399999999999999">
      <c r="A23" s="9"/>
      <c r="B23" s="82"/>
      <c r="C23" s="82"/>
      <c r="D23" s="83"/>
    </row>
    <row r="24" spans="1:4" ht="21">
      <c r="A24" s="9"/>
      <c r="B24" s="381" t="s">
        <v>3</v>
      </c>
      <c r="C24" s="381"/>
      <c r="D24" s="382"/>
    </row>
    <row r="25" spans="1:4" ht="15.6">
      <c r="A25" s="9"/>
      <c r="B25" s="2"/>
      <c r="C25" s="2"/>
      <c r="D25" s="10"/>
    </row>
    <row r="26" spans="1:4" ht="15.6">
      <c r="A26" s="9"/>
      <c r="B26" s="2"/>
      <c r="C26" s="2"/>
      <c r="D26" s="10"/>
    </row>
    <row r="27" spans="1:4" ht="15.6">
      <c r="A27" s="9"/>
      <c r="B27" s="2"/>
      <c r="C27" s="2"/>
      <c r="D27" s="10"/>
    </row>
    <row r="28" spans="1:4" ht="15.6">
      <c r="A28" s="9"/>
      <c r="B28" s="2"/>
      <c r="C28" s="2"/>
      <c r="D28" s="10"/>
    </row>
    <row r="29" spans="1:4" ht="15.6">
      <c r="A29" s="9"/>
      <c r="B29" s="2"/>
      <c r="C29" s="2"/>
      <c r="D29" s="10"/>
    </row>
    <row r="30" spans="1:4" ht="15.6">
      <c r="A30" s="9"/>
      <c r="B30" s="2"/>
      <c r="C30" s="2"/>
      <c r="D30" s="10"/>
    </row>
    <row r="31" spans="1:4" ht="15.6">
      <c r="A31" s="9"/>
      <c r="B31" s="2"/>
      <c r="C31" s="2"/>
      <c r="D31" s="10"/>
    </row>
    <row r="32" spans="1:4" ht="15.6">
      <c r="A32" s="9"/>
      <c r="B32" s="84" t="s">
        <v>9</v>
      </c>
      <c r="C32" s="86" t="s">
        <v>535</v>
      </c>
      <c r="D32" s="11"/>
    </row>
    <row r="33" spans="1:4">
      <c r="A33" s="9"/>
      <c r="B33" s="84"/>
      <c r="C33" s="80"/>
      <c r="D33" s="11"/>
    </row>
    <row r="34" spans="1:4" ht="15.6">
      <c r="A34" s="9"/>
      <c r="B34" s="84" t="s">
        <v>10</v>
      </c>
      <c r="C34" s="87" t="s">
        <v>4</v>
      </c>
      <c r="D34" s="11"/>
    </row>
    <row r="35" spans="1:4">
      <c r="A35" s="9"/>
      <c r="B35" s="84"/>
      <c r="C35" s="80"/>
      <c r="D35" s="11"/>
    </row>
    <row r="36" spans="1:4" ht="15.6">
      <c r="A36" s="9"/>
      <c r="B36" s="84" t="s">
        <v>11</v>
      </c>
      <c r="C36" s="87" t="s">
        <v>5</v>
      </c>
      <c r="D36" s="11"/>
    </row>
    <row r="37" spans="1:4" ht="15.6">
      <c r="A37" s="9"/>
      <c r="B37" s="85"/>
      <c r="C37" s="81"/>
      <c r="D37" s="11"/>
    </row>
    <row r="38" spans="1:4" ht="15.6">
      <c r="A38" s="9"/>
      <c r="B38" s="84" t="s">
        <v>7</v>
      </c>
      <c r="C38" s="87" t="s">
        <v>536</v>
      </c>
      <c r="D38" s="11"/>
    </row>
    <row r="39" spans="1:4" ht="15.6">
      <c r="A39" s="9"/>
      <c r="B39" s="3"/>
      <c r="C39" s="3"/>
      <c r="D39" s="11"/>
    </row>
    <row r="40" spans="1:4" ht="15.6">
      <c r="A40" s="9"/>
      <c r="B40" s="3"/>
      <c r="C40" s="3"/>
      <c r="D40" s="11"/>
    </row>
    <row r="41" spans="1:4">
      <c r="A41" s="9"/>
      <c r="B41" s="1"/>
      <c r="D41" s="11"/>
    </row>
    <row r="42" spans="1:4">
      <c r="A42" s="9"/>
      <c r="B42" s="2"/>
      <c r="D42" s="11"/>
    </row>
    <row r="43" spans="1:4">
      <c r="A43" s="12"/>
      <c r="B43" s="5"/>
      <c r="C43" s="46" t="s">
        <v>129</v>
      </c>
      <c r="D43" s="11"/>
    </row>
    <row r="44" spans="1:4">
      <c r="A44" s="12"/>
      <c r="B44" s="5"/>
      <c r="C44" s="46"/>
      <c r="D44" s="11"/>
    </row>
    <row r="45" spans="1:4">
      <c r="A45" s="12"/>
      <c r="B45" s="5"/>
      <c r="C45" s="350" t="s">
        <v>534</v>
      </c>
      <c r="D45" s="11"/>
    </row>
    <row r="46" spans="1:4">
      <c r="A46" s="12"/>
      <c r="B46" s="5"/>
      <c r="C46" s="5"/>
      <c r="D46" s="11"/>
    </row>
    <row r="47" spans="1:4">
      <c r="A47" s="12"/>
      <c r="B47" s="5"/>
      <c r="C47" s="5"/>
      <c r="D47" s="11"/>
    </row>
    <row r="48" spans="1:4">
      <c r="A48" s="12"/>
      <c r="B48" s="5"/>
      <c r="C48" s="5"/>
      <c r="D48" s="11"/>
    </row>
    <row r="49" spans="1:4">
      <c r="A49" s="12"/>
      <c r="B49" s="5"/>
      <c r="C49" s="5"/>
      <c r="D49" s="11"/>
    </row>
    <row r="50" spans="1:4" ht="15" thickBot="1">
      <c r="A50" s="13"/>
      <c r="B50" s="14"/>
      <c r="C50" s="14"/>
      <c r="D50" s="15"/>
    </row>
    <row r="51" spans="1:4" ht="15" thickTop="1">
      <c r="A51" s="5"/>
      <c r="B51" s="5"/>
      <c r="C51" s="5"/>
      <c r="D51" s="5"/>
    </row>
    <row r="52" spans="1:4">
      <c r="A52" s="5"/>
      <c r="B52" s="5"/>
      <c r="C52" s="5"/>
      <c r="D52" s="5"/>
    </row>
    <row r="53" spans="1:4">
      <c r="A53" s="5"/>
      <c r="B53" s="5"/>
      <c r="C53" s="5"/>
      <c r="D53" s="5"/>
    </row>
    <row r="54" spans="1:4">
      <c r="A54" s="5"/>
      <c r="B54" s="5"/>
      <c r="C54" s="5"/>
      <c r="D54" s="5"/>
    </row>
    <row r="55" spans="1:4">
      <c r="A55" s="5"/>
      <c r="B55" s="5"/>
      <c r="C55" s="5"/>
      <c r="D55" s="5"/>
    </row>
    <row r="56" spans="1:4">
      <c r="A56" s="5"/>
      <c r="B56" s="5"/>
      <c r="C56" s="5"/>
      <c r="D56" s="5"/>
    </row>
    <row r="57" spans="1:4">
      <c r="A57" s="5"/>
      <c r="B57" s="5"/>
      <c r="C57" s="5"/>
      <c r="D57" s="5"/>
    </row>
    <row r="58" spans="1:4">
      <c r="A58" s="5"/>
      <c r="B58" s="5"/>
      <c r="C58" s="5"/>
      <c r="D58" s="5"/>
    </row>
    <row r="59" spans="1:4">
      <c r="A59" s="5"/>
      <c r="B59" s="5"/>
      <c r="C59" s="5"/>
      <c r="D59" s="5"/>
    </row>
    <row r="60" spans="1:4">
      <c r="A60" s="5"/>
      <c r="B60" s="5"/>
      <c r="C60" s="5"/>
      <c r="D60" s="5"/>
    </row>
    <row r="61" spans="1:4">
      <c r="A61" s="5"/>
      <c r="B61" s="5"/>
      <c r="C61" s="5"/>
      <c r="D61" s="5"/>
    </row>
    <row r="62" spans="1:4">
      <c r="A62" s="5"/>
      <c r="B62" s="5"/>
      <c r="C62" s="5"/>
      <c r="D62" s="5"/>
    </row>
    <row r="63" spans="1:4">
      <c r="A63" s="5"/>
      <c r="B63" s="5"/>
      <c r="C63" s="5"/>
      <c r="D63" s="5"/>
    </row>
    <row r="64" spans="1:4">
      <c r="A64" s="5"/>
      <c r="B64" s="5"/>
      <c r="C64" s="5"/>
      <c r="D64" s="5"/>
    </row>
    <row r="65" spans="1:4">
      <c r="A65" s="5"/>
      <c r="B65" s="5"/>
      <c r="C65" s="5"/>
      <c r="D65" s="5"/>
    </row>
    <row r="66" spans="1:4">
      <c r="A66" s="5"/>
      <c r="B66" s="5"/>
      <c r="C66" s="5"/>
      <c r="D66" s="5"/>
    </row>
    <row r="67" spans="1:4">
      <c r="A67" s="5"/>
      <c r="B67" s="5"/>
      <c r="C67" s="5"/>
      <c r="D67" s="5"/>
    </row>
    <row r="68" spans="1:4">
      <c r="A68" s="5"/>
      <c r="B68" s="5"/>
      <c r="C68" s="5"/>
      <c r="D68" s="5"/>
    </row>
    <row r="69" spans="1:4">
      <c r="A69" s="5"/>
      <c r="B69" s="5"/>
      <c r="C69" s="5"/>
      <c r="D69" s="5"/>
    </row>
    <row r="70" spans="1:4">
      <c r="A70" s="5"/>
      <c r="B70" s="5"/>
      <c r="C70" s="5"/>
      <c r="D70" s="5"/>
    </row>
    <row r="71" spans="1:4">
      <c r="A71" s="5"/>
      <c r="B71" s="5"/>
      <c r="C71" s="5"/>
      <c r="D71" s="5"/>
    </row>
    <row r="72" spans="1:4">
      <c r="A72" s="5"/>
      <c r="B72" s="5"/>
      <c r="C72" s="5"/>
      <c r="D72" s="5"/>
    </row>
    <row r="73" spans="1:4">
      <c r="A73" s="5"/>
      <c r="B73" s="5"/>
      <c r="C73" s="5"/>
      <c r="D73" s="5"/>
    </row>
    <row r="74" spans="1:4">
      <c r="A74" s="5"/>
      <c r="B74" s="5"/>
      <c r="C74" s="5"/>
      <c r="D74" s="5"/>
    </row>
    <row r="75" spans="1:4">
      <c r="A75" s="5"/>
      <c r="B75" s="5"/>
      <c r="C75" s="5"/>
      <c r="D75" s="5"/>
    </row>
    <row r="76" spans="1:4">
      <c r="A76" s="5"/>
      <c r="B76" s="5"/>
      <c r="C76" s="5"/>
      <c r="D76" s="5"/>
    </row>
    <row r="77" spans="1:4">
      <c r="A77" s="5"/>
      <c r="B77" s="5"/>
      <c r="C77" s="5"/>
      <c r="D77" s="5"/>
    </row>
    <row r="78" spans="1:4">
      <c r="A78" s="5"/>
      <c r="B78" s="5"/>
      <c r="C78" s="5"/>
      <c r="D78" s="5"/>
    </row>
    <row r="79" spans="1:4">
      <c r="A79" s="5"/>
      <c r="B79" s="5"/>
      <c r="C79" s="5"/>
      <c r="D79" s="5"/>
    </row>
    <row r="80" spans="1:4">
      <c r="A80" s="5"/>
      <c r="B80" s="5"/>
      <c r="C80" s="5"/>
      <c r="D80" s="5"/>
    </row>
    <row r="81" spans="1:4">
      <c r="A81" s="5"/>
      <c r="B81" s="5"/>
      <c r="C81" s="5"/>
      <c r="D81" s="5"/>
    </row>
    <row r="82" spans="1:4">
      <c r="A82" s="5"/>
      <c r="B82" s="5"/>
      <c r="C82" s="5"/>
      <c r="D82" s="5"/>
    </row>
    <row r="83" spans="1:4">
      <c r="A83" s="5"/>
      <c r="B83" s="5"/>
      <c r="C83" s="5"/>
      <c r="D83" s="5"/>
    </row>
    <row r="84" spans="1:4">
      <c r="A84" s="5"/>
      <c r="B84" s="5"/>
      <c r="C84" s="5"/>
      <c r="D84" s="5"/>
    </row>
    <row r="85" spans="1:4">
      <c r="A85" s="5"/>
      <c r="B85" s="5"/>
      <c r="C85" s="5"/>
      <c r="D85" s="5"/>
    </row>
    <row r="86" spans="1:4">
      <c r="A86" s="5"/>
      <c r="B86" s="5"/>
      <c r="C86" s="5"/>
      <c r="D86" s="5"/>
    </row>
    <row r="87" spans="1:4">
      <c r="A87" s="5"/>
      <c r="B87" s="5"/>
      <c r="C87" s="5"/>
      <c r="D87" s="5"/>
    </row>
    <row r="88" spans="1:4">
      <c r="A88" s="5"/>
      <c r="B88" s="5"/>
      <c r="C88" s="5"/>
      <c r="D88" s="5"/>
    </row>
    <row r="89" spans="1:4">
      <c r="A89" s="5"/>
      <c r="B89" s="5"/>
      <c r="C89" s="5"/>
      <c r="D89" s="5"/>
    </row>
    <row r="90" spans="1:4">
      <c r="A90" s="5"/>
      <c r="B90" s="5"/>
      <c r="C90" s="5"/>
      <c r="D90" s="5"/>
    </row>
    <row r="91" spans="1:4">
      <c r="A91" s="5"/>
      <c r="B91" s="5"/>
      <c r="C91" s="5"/>
      <c r="D91" s="5"/>
    </row>
    <row r="92" spans="1:4">
      <c r="A92" s="5"/>
      <c r="B92" s="5"/>
      <c r="C92" s="5"/>
      <c r="D92" s="5"/>
    </row>
    <row r="93" spans="1:4">
      <c r="A93" s="5"/>
      <c r="B93" s="5"/>
      <c r="C93" s="5"/>
      <c r="D93" s="5"/>
    </row>
    <row r="94" spans="1:4">
      <c r="A94" s="5"/>
      <c r="B94" s="5"/>
      <c r="C94" s="5"/>
      <c r="D94" s="5"/>
    </row>
    <row r="95" spans="1:4">
      <c r="A95" s="5"/>
      <c r="B95" s="5"/>
      <c r="C95" s="5"/>
      <c r="D95" s="5"/>
    </row>
    <row r="96" spans="1:4">
      <c r="A96" s="5"/>
      <c r="B96" s="5"/>
      <c r="C96" s="5"/>
      <c r="D96" s="5"/>
    </row>
    <row r="97" spans="1:4">
      <c r="A97" s="5"/>
      <c r="B97" s="5"/>
      <c r="C97" s="5"/>
      <c r="D97" s="5"/>
    </row>
    <row r="98" spans="1:4">
      <c r="A98" s="5"/>
      <c r="B98" s="5"/>
      <c r="C98" s="5"/>
      <c r="D98" s="5"/>
    </row>
    <row r="99" spans="1:4">
      <c r="A99" s="5"/>
      <c r="B99" s="5"/>
      <c r="C99" s="5"/>
      <c r="D99" s="5"/>
    </row>
    <row r="100" spans="1:4">
      <c r="A100" s="5"/>
      <c r="B100" s="5"/>
      <c r="C100" s="5"/>
      <c r="D100" s="5"/>
    </row>
  </sheetData>
  <mergeCells count="4">
    <mergeCell ref="B20:D20"/>
    <mergeCell ref="B22:D22"/>
    <mergeCell ref="B24:D24"/>
    <mergeCell ref="C7:C10"/>
  </mergeCells>
  <phoneticPr fontId="0" type="noConversion"/>
  <pageMargins left="0.9055118110236221" right="0.47244094488188981" top="0.82677165354330717" bottom="0.43307086614173229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90"/>
  <sheetViews>
    <sheetView topLeftCell="A88" zoomScaleNormal="100" workbookViewId="0">
      <selection activeCell="J65" sqref="J65"/>
    </sheetView>
  </sheetViews>
  <sheetFormatPr defaultColWidth="9.109375" defaultRowHeight="13.2"/>
  <cols>
    <col min="1" max="1" width="6.109375" style="105" customWidth="1"/>
    <col min="2" max="2" width="9.109375" style="105" customWidth="1"/>
    <col min="3" max="3" width="11.21875" style="105" customWidth="1"/>
    <col min="4" max="4" width="14.77734375" style="105" customWidth="1"/>
    <col min="5" max="5" width="12.77734375" style="105" customWidth="1"/>
    <col min="6" max="6" width="12.33203125" style="105" customWidth="1"/>
    <col min="7" max="7" width="10.88671875" style="105" customWidth="1"/>
    <col min="8" max="8" width="10" style="105" customWidth="1"/>
    <col min="9" max="9" width="13.6640625" style="105" customWidth="1"/>
    <col min="10" max="10" width="14.44140625" style="105" customWidth="1"/>
    <col min="11" max="11" width="4.77734375" style="105" customWidth="1"/>
    <col min="12" max="12" width="12.44140625" style="105" customWidth="1"/>
    <col min="13" max="15" width="9.109375" style="105" customWidth="1"/>
    <col min="16" max="16" width="53.33203125" style="105" customWidth="1"/>
    <col min="17" max="16384" width="9.109375" style="105"/>
  </cols>
  <sheetData>
    <row r="1" spans="1:16">
      <c r="A1" s="134"/>
      <c r="B1" s="109" t="str">
        <f>Kopertina!C4</f>
        <v>SHOQERIA "EKSPRES- BETON LEZHE "SHPK</v>
      </c>
      <c r="C1" s="135"/>
      <c r="D1" s="135"/>
      <c r="E1" s="134"/>
      <c r="F1" s="134"/>
      <c r="G1" s="134"/>
      <c r="H1" s="134"/>
      <c r="I1" s="134"/>
      <c r="J1" s="134"/>
    </row>
    <row r="2" spans="1:16">
      <c r="A2" s="134"/>
      <c r="B2" s="109" t="str">
        <f>Kopertina!C5</f>
        <v>NIPT: K58515501V</v>
      </c>
      <c r="C2" s="135"/>
      <c r="D2" s="135"/>
      <c r="E2" s="134"/>
      <c r="F2" s="134"/>
      <c r="G2" s="134"/>
      <c r="H2" s="134"/>
      <c r="I2" s="134"/>
      <c r="J2" s="134"/>
    </row>
    <row r="3" spans="1:16">
      <c r="A3" s="134"/>
      <c r="B3" s="136"/>
      <c r="C3" s="134"/>
      <c r="D3" s="134"/>
      <c r="E3" s="134"/>
      <c r="F3" s="134"/>
      <c r="G3" s="134"/>
      <c r="H3" s="134"/>
      <c r="I3" s="136" t="s">
        <v>212</v>
      </c>
      <c r="J3" s="134"/>
    </row>
    <row r="4" spans="1:16">
      <c r="A4" s="134"/>
      <c r="B4" s="136"/>
      <c r="C4" s="134"/>
      <c r="D4" s="134"/>
      <c r="E4" s="134"/>
      <c r="F4" s="134"/>
      <c r="G4" s="134"/>
      <c r="H4" s="134"/>
      <c r="I4" s="134"/>
      <c r="J4" s="134"/>
    </row>
    <row r="5" spans="1:16">
      <c r="A5" s="137"/>
      <c r="B5" s="137"/>
      <c r="C5" s="137"/>
      <c r="D5" s="137"/>
      <c r="E5" s="137"/>
      <c r="F5" s="137"/>
      <c r="G5" s="137"/>
      <c r="H5" s="137"/>
      <c r="I5" s="138"/>
      <c r="J5" s="139" t="s">
        <v>213</v>
      </c>
      <c r="K5" s="112"/>
      <c r="L5" s="112"/>
      <c r="M5" s="112"/>
      <c r="N5" s="112"/>
      <c r="O5" s="112"/>
      <c r="P5" s="112"/>
    </row>
    <row r="6" spans="1:16" ht="15.75" customHeight="1">
      <c r="A6" s="406" t="s">
        <v>214</v>
      </c>
      <c r="B6" s="407"/>
      <c r="C6" s="407"/>
      <c r="D6" s="407"/>
      <c r="E6" s="407"/>
      <c r="F6" s="407"/>
      <c r="G6" s="407"/>
      <c r="H6" s="407"/>
      <c r="I6" s="407"/>
      <c r="J6" s="408"/>
      <c r="K6" s="140"/>
      <c r="L6" s="140"/>
      <c r="M6" s="140"/>
      <c r="N6" s="140"/>
      <c r="O6" s="140"/>
      <c r="P6" s="140"/>
    </row>
    <row r="7" spans="1:16" ht="26.25" customHeight="1" thickBot="1">
      <c r="A7" s="141"/>
      <c r="B7" s="409" t="s">
        <v>215</v>
      </c>
      <c r="C7" s="409"/>
      <c r="D7" s="409"/>
      <c r="E7" s="409"/>
      <c r="F7" s="410"/>
      <c r="G7" s="142" t="s">
        <v>216</v>
      </c>
      <c r="H7" s="142" t="s">
        <v>217</v>
      </c>
      <c r="I7" s="143" t="s">
        <v>521</v>
      </c>
      <c r="J7" s="143" t="s">
        <v>218</v>
      </c>
    </row>
    <row r="8" spans="1:16" ht="16.5" customHeight="1">
      <c r="A8" s="144">
        <v>1</v>
      </c>
      <c r="B8" s="411" t="s">
        <v>219</v>
      </c>
      <c r="C8" s="412"/>
      <c r="D8" s="412"/>
      <c r="E8" s="412"/>
      <c r="F8" s="412"/>
      <c r="G8" s="145">
        <v>70</v>
      </c>
      <c r="H8" s="145">
        <v>11100</v>
      </c>
      <c r="I8" s="265">
        <f>I9+I10+I11</f>
        <v>178986736</v>
      </c>
      <c r="J8" s="265">
        <f>J9+J10+J11</f>
        <v>106872837</v>
      </c>
    </row>
    <row r="9" spans="1:16" ht="16.5" customHeight="1">
      <c r="A9" s="146" t="s">
        <v>220</v>
      </c>
      <c r="B9" s="413" t="s">
        <v>221</v>
      </c>
      <c r="C9" s="413"/>
      <c r="D9" s="413"/>
      <c r="E9" s="413"/>
      <c r="F9" s="414"/>
      <c r="G9" s="378" t="s">
        <v>532</v>
      </c>
      <c r="H9" s="148">
        <v>11101</v>
      </c>
      <c r="I9" s="266">
        <f>'Shenimet shpjeguese'!G165+'Shenimet shpjeguese'!G168</f>
        <v>81530320</v>
      </c>
      <c r="J9" s="266">
        <f>'Shenimet shpjeguese'!H165+'Shenimet shpjeguese'!H168</f>
        <v>0</v>
      </c>
    </row>
    <row r="10" spans="1:16" ht="16.5" customHeight="1">
      <c r="A10" s="149" t="s">
        <v>222</v>
      </c>
      <c r="B10" s="413" t="s">
        <v>223</v>
      </c>
      <c r="C10" s="413"/>
      <c r="D10" s="413"/>
      <c r="E10" s="413"/>
      <c r="F10" s="414"/>
      <c r="G10" s="148">
        <v>704</v>
      </c>
      <c r="H10" s="148">
        <v>11102</v>
      </c>
      <c r="I10" s="266">
        <f>'Shenimet shpjeguese'!G166</f>
        <v>97282666</v>
      </c>
      <c r="J10" s="266">
        <f>'Shenimet shpjeguese'!H166</f>
        <v>0</v>
      </c>
    </row>
    <row r="11" spans="1:16" ht="16.5" customHeight="1">
      <c r="A11" s="149" t="s">
        <v>224</v>
      </c>
      <c r="B11" s="413" t="s">
        <v>225</v>
      </c>
      <c r="C11" s="413"/>
      <c r="D11" s="413"/>
      <c r="E11" s="413"/>
      <c r="F11" s="414"/>
      <c r="G11" s="150">
        <v>705</v>
      </c>
      <c r="H11" s="148">
        <v>11103</v>
      </c>
      <c r="I11" s="266">
        <f>'Shenimet shpjeguese'!G167</f>
        <v>173750</v>
      </c>
      <c r="J11" s="266">
        <f>'Ardhura-Shpenzime'!E7</f>
        <v>106872837</v>
      </c>
    </row>
    <row r="12" spans="1:16" ht="16.5" customHeight="1">
      <c r="A12" s="151">
        <v>2</v>
      </c>
      <c r="B12" s="402" t="s">
        <v>226</v>
      </c>
      <c r="C12" s="402"/>
      <c r="D12" s="402"/>
      <c r="E12" s="402"/>
      <c r="F12" s="403"/>
      <c r="G12" s="152">
        <v>708</v>
      </c>
      <c r="H12" s="153">
        <v>11104</v>
      </c>
      <c r="I12" s="266">
        <f>I13+I14+I15</f>
        <v>0</v>
      </c>
      <c r="J12" s="266">
        <f>J13+J14+J15</f>
        <v>0</v>
      </c>
    </row>
    <row r="13" spans="1:16" ht="16.5" customHeight="1">
      <c r="A13" s="154" t="s">
        <v>220</v>
      </c>
      <c r="B13" s="413" t="s">
        <v>227</v>
      </c>
      <c r="C13" s="413"/>
      <c r="D13" s="413"/>
      <c r="E13" s="413"/>
      <c r="F13" s="414"/>
      <c r="G13" s="148">
        <v>7081</v>
      </c>
      <c r="H13" s="155">
        <v>111041</v>
      </c>
      <c r="I13" s="266">
        <f>'Shenimet shpjeguese'!G169</f>
        <v>0</v>
      </c>
      <c r="J13" s="305"/>
    </row>
    <row r="14" spans="1:16" ht="16.5" customHeight="1">
      <c r="A14" s="154" t="s">
        <v>228</v>
      </c>
      <c r="B14" s="413" t="s">
        <v>229</v>
      </c>
      <c r="C14" s="413"/>
      <c r="D14" s="413"/>
      <c r="E14" s="413"/>
      <c r="F14" s="414"/>
      <c r="G14" s="148">
        <v>7082</v>
      </c>
      <c r="H14" s="155">
        <v>111042</v>
      </c>
      <c r="I14" s="266">
        <f>'Shenimet shpjeguese'!G170</f>
        <v>0</v>
      </c>
      <c r="J14" s="305"/>
    </row>
    <row r="15" spans="1:16" ht="16.5" customHeight="1">
      <c r="A15" s="154" t="s">
        <v>230</v>
      </c>
      <c r="B15" s="413" t="s">
        <v>231</v>
      </c>
      <c r="C15" s="413"/>
      <c r="D15" s="413"/>
      <c r="E15" s="413"/>
      <c r="F15" s="414"/>
      <c r="G15" s="148">
        <v>7083</v>
      </c>
      <c r="H15" s="155">
        <v>111043</v>
      </c>
      <c r="I15" s="266">
        <f>'Shenimet shpjeguese'!G171</f>
        <v>0</v>
      </c>
      <c r="J15" s="266">
        <f>'aktivitet per BM'!L31</f>
        <v>0</v>
      </c>
      <c r="L15" s="321"/>
    </row>
    <row r="16" spans="1:16" ht="29.25" customHeight="1">
      <c r="A16" s="156">
        <v>3</v>
      </c>
      <c r="B16" s="402" t="s">
        <v>232</v>
      </c>
      <c r="C16" s="402"/>
      <c r="D16" s="402"/>
      <c r="E16" s="402"/>
      <c r="F16" s="403"/>
      <c r="G16" s="152">
        <v>71</v>
      </c>
      <c r="H16" s="153">
        <v>11201</v>
      </c>
      <c r="I16" s="266">
        <f>I17+I18</f>
        <v>0</v>
      </c>
      <c r="J16" s="305"/>
    </row>
    <row r="17" spans="1:12" ht="16.5" customHeight="1">
      <c r="A17" s="157"/>
      <c r="B17" s="404" t="s">
        <v>233</v>
      </c>
      <c r="C17" s="404"/>
      <c r="D17" s="404"/>
      <c r="E17" s="404"/>
      <c r="F17" s="405"/>
      <c r="G17" s="158"/>
      <c r="H17" s="148">
        <v>112011</v>
      </c>
      <c r="I17" s="266">
        <v>0</v>
      </c>
      <c r="J17" s="305"/>
    </row>
    <row r="18" spans="1:12" ht="16.5" customHeight="1">
      <c r="A18" s="157"/>
      <c r="B18" s="404" t="s">
        <v>234</v>
      </c>
      <c r="C18" s="404"/>
      <c r="D18" s="404"/>
      <c r="E18" s="404"/>
      <c r="F18" s="405"/>
      <c r="G18" s="158"/>
      <c r="H18" s="148">
        <v>112012</v>
      </c>
      <c r="I18" s="266">
        <f>'Shenimet shpjeguese'!G192</f>
        <v>0</v>
      </c>
      <c r="J18" s="305"/>
    </row>
    <row r="19" spans="1:12" ht="16.5" customHeight="1">
      <c r="A19" s="159">
        <v>4</v>
      </c>
      <c r="B19" s="402" t="s">
        <v>235</v>
      </c>
      <c r="C19" s="402"/>
      <c r="D19" s="402"/>
      <c r="E19" s="402"/>
      <c r="F19" s="403"/>
      <c r="G19" s="160">
        <v>72</v>
      </c>
      <c r="H19" s="161">
        <v>11300</v>
      </c>
      <c r="I19" s="266">
        <f>I20</f>
        <v>0</v>
      </c>
      <c r="J19" s="305"/>
    </row>
    <row r="20" spans="1:12" ht="16.5" customHeight="1">
      <c r="A20" s="149"/>
      <c r="B20" s="417" t="s">
        <v>236</v>
      </c>
      <c r="C20" s="418"/>
      <c r="D20" s="418"/>
      <c r="E20" s="418"/>
      <c r="F20" s="418"/>
      <c r="G20" s="119"/>
      <c r="H20" s="162">
        <v>11301</v>
      </c>
      <c r="I20" s="266">
        <f>'Shenimet shpjeguese'!G181</f>
        <v>0</v>
      </c>
      <c r="J20" s="305"/>
    </row>
    <row r="21" spans="1:12" ht="16.5" customHeight="1">
      <c r="A21" s="163">
        <v>5</v>
      </c>
      <c r="B21" s="403" t="s">
        <v>237</v>
      </c>
      <c r="C21" s="419"/>
      <c r="D21" s="419"/>
      <c r="E21" s="419"/>
      <c r="F21" s="419"/>
      <c r="G21" s="164">
        <v>73</v>
      </c>
      <c r="H21" s="164">
        <v>11400</v>
      </c>
      <c r="I21" s="266">
        <f>'Shenimet shpjeguese'!G180</f>
        <v>0</v>
      </c>
      <c r="J21" s="305"/>
    </row>
    <row r="22" spans="1:12" ht="16.5" customHeight="1">
      <c r="A22" s="165">
        <v>6</v>
      </c>
      <c r="B22" s="403" t="s">
        <v>238</v>
      </c>
      <c r="C22" s="419"/>
      <c r="D22" s="419"/>
      <c r="E22" s="419"/>
      <c r="F22" s="419"/>
      <c r="G22" s="164" t="s">
        <v>498</v>
      </c>
      <c r="H22" s="166">
        <v>11500</v>
      </c>
      <c r="I22" s="266">
        <f>'aktivitet per BM'!K43</f>
        <v>161651</v>
      </c>
      <c r="J22" s="266">
        <f>'aktivitet per BM'!L43</f>
        <v>0</v>
      </c>
    </row>
    <row r="23" spans="1:12" ht="16.5" customHeight="1">
      <c r="A23" s="163">
        <v>7</v>
      </c>
      <c r="B23" s="402" t="s">
        <v>239</v>
      </c>
      <c r="C23" s="402"/>
      <c r="D23" s="402"/>
      <c r="E23" s="402"/>
      <c r="F23" s="403"/>
      <c r="G23" s="152">
        <v>77</v>
      </c>
      <c r="H23" s="152">
        <v>11600</v>
      </c>
      <c r="I23" s="266">
        <f>'Shenimet shpjeguese'!G179</f>
        <v>0</v>
      </c>
      <c r="J23" s="266">
        <f>'Shenimet shpjeguese'!H179</f>
        <v>0</v>
      </c>
    </row>
    <row r="24" spans="1:12" ht="16.5" customHeight="1" thickBot="1">
      <c r="A24" s="167" t="s">
        <v>240</v>
      </c>
      <c r="B24" s="420" t="s">
        <v>241</v>
      </c>
      <c r="C24" s="420"/>
      <c r="D24" s="420"/>
      <c r="E24" s="420"/>
      <c r="F24" s="420"/>
      <c r="G24" s="168"/>
      <c r="H24" s="168">
        <v>11800</v>
      </c>
      <c r="I24" s="267">
        <f>I8+I12+-I16+I19+I21+I22+I23</f>
        <v>179148387</v>
      </c>
      <c r="J24" s="267">
        <f>J8+J12+-J16+J19+J21+J22+J23</f>
        <v>106872837</v>
      </c>
      <c r="L24" s="321"/>
    </row>
    <row r="25" spans="1:12" ht="16.5" customHeight="1">
      <c r="A25" s="170"/>
      <c r="B25" s="171"/>
      <c r="C25" s="171"/>
      <c r="D25" s="171"/>
      <c r="E25" s="171"/>
      <c r="F25" s="171"/>
      <c r="G25" s="171"/>
      <c r="H25" s="171"/>
      <c r="I25" s="172"/>
      <c r="J25" s="172"/>
    </row>
    <row r="26" spans="1:12" ht="16.5" customHeight="1">
      <c r="A26" s="170"/>
      <c r="B26" s="171"/>
      <c r="C26" s="171"/>
      <c r="D26" s="171"/>
      <c r="E26" s="171"/>
      <c r="F26" s="171"/>
      <c r="G26" s="171"/>
      <c r="H26" s="171"/>
      <c r="I26" s="172"/>
      <c r="J26" s="172"/>
    </row>
    <row r="27" spans="1:12" ht="16.5" customHeight="1">
      <c r="A27" s="170"/>
      <c r="B27" s="171"/>
      <c r="C27" s="171"/>
      <c r="D27" s="171"/>
      <c r="E27" s="171"/>
      <c r="F27" s="171"/>
      <c r="G27" s="171"/>
      <c r="H27" s="171"/>
      <c r="I27" s="172"/>
      <c r="J27" s="172"/>
    </row>
    <row r="28" spans="1:12" ht="16.5" customHeight="1">
      <c r="A28" s="170"/>
      <c r="B28" s="171"/>
      <c r="C28" s="171"/>
      <c r="D28" s="171"/>
      <c r="E28" s="171"/>
      <c r="F28" s="171"/>
      <c r="G28" s="171"/>
      <c r="H28" s="171"/>
      <c r="I28" s="172" t="s">
        <v>211</v>
      </c>
      <c r="J28" s="172"/>
    </row>
    <row r="29" spans="1:12" ht="16.5" customHeight="1">
      <c r="A29" s="170"/>
      <c r="B29" s="171"/>
      <c r="C29" s="171"/>
      <c r="D29" s="171"/>
      <c r="E29" s="171"/>
      <c r="F29" s="171"/>
      <c r="G29" s="171"/>
      <c r="H29" s="171"/>
      <c r="I29" s="172" t="str">
        <f>Kopertina!C45</f>
        <v>DRITAN KOLA</v>
      </c>
      <c r="J29" s="172"/>
    </row>
    <row r="30" spans="1:12" ht="16.5" customHeight="1">
      <c r="A30" s="170"/>
      <c r="B30" s="171"/>
      <c r="C30" s="171"/>
      <c r="D30" s="171"/>
      <c r="E30" s="171"/>
      <c r="F30" s="171"/>
      <c r="G30" s="171"/>
      <c r="H30" s="171"/>
      <c r="I30" s="172"/>
      <c r="J30" s="172"/>
    </row>
    <row r="31" spans="1:12" ht="16.5" customHeight="1">
      <c r="A31" s="170"/>
      <c r="B31" s="171"/>
      <c r="C31" s="171"/>
      <c r="D31" s="171"/>
      <c r="E31" s="171"/>
      <c r="F31" s="171"/>
      <c r="G31" s="171"/>
      <c r="H31" s="171"/>
      <c r="I31" s="172"/>
      <c r="J31" s="172"/>
    </row>
    <row r="32" spans="1:12" ht="16.5" customHeight="1">
      <c r="A32" s="170"/>
      <c r="B32" s="171"/>
      <c r="C32" s="171"/>
      <c r="D32" s="171"/>
      <c r="E32" s="171"/>
      <c r="F32" s="171"/>
      <c r="G32" s="171"/>
      <c r="H32" s="171"/>
      <c r="I32" s="172"/>
      <c r="J32" s="172"/>
    </row>
    <row r="33" spans="1:10" ht="16.5" customHeight="1">
      <c r="A33" s="170"/>
      <c r="B33" s="171"/>
      <c r="C33" s="171"/>
      <c r="D33" s="171"/>
      <c r="E33" s="171"/>
      <c r="F33" s="171"/>
      <c r="G33" s="171"/>
      <c r="H33" s="171"/>
      <c r="I33" s="172"/>
      <c r="J33" s="172"/>
    </row>
    <row r="34" spans="1:10" ht="16.5" customHeight="1">
      <c r="A34" s="170"/>
      <c r="B34" s="171"/>
      <c r="C34" s="171"/>
      <c r="D34" s="171"/>
      <c r="E34" s="171"/>
      <c r="F34" s="171"/>
      <c r="G34" s="171"/>
      <c r="H34" s="171"/>
      <c r="I34" s="172"/>
      <c r="J34" s="172"/>
    </row>
    <row r="35" spans="1:10" ht="16.5" customHeight="1">
      <c r="A35" s="170"/>
      <c r="B35" s="171"/>
      <c r="C35" s="171"/>
      <c r="D35" s="171"/>
      <c r="E35" s="171"/>
      <c r="F35" s="171"/>
      <c r="G35" s="171"/>
      <c r="H35" s="171"/>
      <c r="I35" s="172"/>
      <c r="J35" s="172"/>
    </row>
    <row r="36" spans="1:10" ht="16.5" customHeight="1">
      <c r="A36" s="170"/>
      <c r="B36" s="171"/>
      <c r="C36" s="171"/>
      <c r="D36" s="171"/>
      <c r="E36" s="171"/>
      <c r="F36" s="171"/>
      <c r="G36" s="171"/>
      <c r="H36" s="171"/>
      <c r="I36" s="172"/>
      <c r="J36" s="172"/>
    </row>
    <row r="37" spans="1:10" ht="16.5" customHeight="1">
      <c r="A37" s="170"/>
      <c r="B37" s="171"/>
      <c r="C37" s="171"/>
      <c r="D37" s="171"/>
      <c r="E37" s="171"/>
      <c r="F37" s="171"/>
      <c r="G37" s="171"/>
      <c r="H37" s="171"/>
      <c r="I37" s="172"/>
      <c r="J37" s="172"/>
    </row>
    <row r="38" spans="1:10" ht="16.5" customHeight="1">
      <c r="A38" s="170"/>
      <c r="B38" s="171"/>
      <c r="C38" s="171"/>
      <c r="D38" s="171"/>
      <c r="E38" s="171"/>
      <c r="F38" s="171"/>
      <c r="G38" s="171"/>
      <c r="H38" s="171"/>
      <c r="I38" s="172"/>
      <c r="J38" s="172"/>
    </row>
    <row r="39" spans="1:10" ht="16.5" customHeight="1">
      <c r="A39" s="170"/>
      <c r="B39" s="171"/>
      <c r="C39" s="171"/>
      <c r="D39" s="171"/>
      <c r="E39" s="171"/>
      <c r="F39" s="171"/>
      <c r="G39" s="171"/>
      <c r="H39" s="171"/>
      <c r="I39" s="172"/>
      <c r="J39" s="172"/>
    </row>
    <row r="40" spans="1:10" ht="16.5" customHeight="1">
      <c r="A40" s="170"/>
      <c r="B40" s="171"/>
      <c r="C40" s="171"/>
      <c r="D40" s="171"/>
      <c r="E40" s="171"/>
      <c r="F40" s="171"/>
      <c r="G40" s="171"/>
      <c r="H40" s="171"/>
      <c r="I40" s="172"/>
      <c r="J40" s="172"/>
    </row>
    <row r="41" spans="1:10" ht="16.5" customHeight="1">
      <c r="A41" s="170"/>
      <c r="B41" s="171"/>
      <c r="C41" s="171"/>
      <c r="D41" s="171"/>
      <c r="E41" s="171"/>
      <c r="F41" s="171"/>
      <c r="G41" s="171"/>
      <c r="H41" s="171"/>
      <c r="I41" s="172"/>
      <c r="J41" s="172"/>
    </row>
    <row r="42" spans="1:10" ht="16.5" customHeight="1">
      <c r="A42" s="170"/>
      <c r="B42" s="171"/>
      <c r="C42" s="171"/>
      <c r="D42" s="171"/>
      <c r="E42" s="171"/>
      <c r="F42" s="171"/>
      <c r="G42" s="171"/>
      <c r="H42" s="171"/>
      <c r="I42" s="172"/>
      <c r="J42" s="172"/>
    </row>
    <row r="43" spans="1:10" ht="16.5" customHeight="1">
      <c r="A43" s="170"/>
      <c r="B43" s="171"/>
      <c r="C43" s="171"/>
      <c r="D43" s="171"/>
      <c r="E43" s="171"/>
      <c r="F43" s="171"/>
      <c r="G43" s="171"/>
      <c r="H43" s="171"/>
      <c r="I43" s="172"/>
      <c r="J43" s="172"/>
    </row>
    <row r="44" spans="1:10" ht="16.5" customHeight="1">
      <c r="A44" s="170"/>
      <c r="B44" s="171"/>
      <c r="C44" s="171"/>
      <c r="D44" s="171"/>
      <c r="E44" s="171"/>
      <c r="F44" s="171"/>
      <c r="G44" s="171"/>
      <c r="H44" s="171"/>
      <c r="I44" s="172"/>
      <c r="J44" s="172"/>
    </row>
    <row r="45" spans="1:10" ht="16.5" customHeight="1">
      <c r="A45" s="170"/>
      <c r="B45" s="171"/>
      <c r="C45" s="171"/>
      <c r="D45" s="171"/>
      <c r="E45" s="171"/>
      <c r="F45" s="171"/>
      <c r="G45" s="171"/>
      <c r="H45" s="171"/>
      <c r="I45" s="172"/>
      <c r="J45" s="172"/>
    </row>
    <row r="46" spans="1:10" ht="16.5" customHeight="1">
      <c r="A46" s="170"/>
      <c r="B46" s="171"/>
      <c r="C46" s="171"/>
      <c r="D46" s="171"/>
      <c r="E46" s="171"/>
      <c r="F46" s="171"/>
      <c r="G46" s="171"/>
      <c r="H46" s="171"/>
      <c r="I46" s="172"/>
      <c r="J46" s="172"/>
    </row>
    <row r="47" spans="1:10" ht="16.5" customHeight="1">
      <c r="A47" s="170"/>
      <c r="B47" s="171"/>
      <c r="C47" s="171"/>
      <c r="D47" s="171"/>
      <c r="E47" s="171"/>
      <c r="F47" s="171"/>
      <c r="G47" s="171"/>
      <c r="H47" s="171"/>
      <c r="I47" s="172"/>
      <c r="J47" s="172"/>
    </row>
    <row r="48" spans="1:10" ht="16.5" customHeight="1">
      <c r="A48" s="170"/>
      <c r="B48" s="171"/>
      <c r="C48" s="171"/>
      <c r="D48" s="171"/>
      <c r="E48" s="171"/>
      <c r="F48" s="171"/>
      <c r="G48" s="171"/>
      <c r="H48" s="171"/>
      <c r="I48" s="172"/>
      <c r="J48" s="172"/>
    </row>
    <row r="49" spans="1:16" ht="16.5" customHeight="1">
      <c r="A49" s="170"/>
      <c r="B49" s="171"/>
      <c r="C49" s="171"/>
      <c r="D49" s="171"/>
      <c r="E49" s="171"/>
      <c r="F49" s="171"/>
      <c r="G49" s="171"/>
      <c r="H49" s="171"/>
      <c r="I49" s="172"/>
      <c r="J49" s="172"/>
    </row>
    <row r="50" spans="1:16" ht="16.5" customHeight="1">
      <c r="A50" s="170"/>
      <c r="B50" s="171"/>
      <c r="C50" s="171"/>
      <c r="D50" s="171"/>
      <c r="E50" s="171"/>
      <c r="F50" s="171"/>
      <c r="G50" s="171"/>
      <c r="H50" s="171"/>
      <c r="I50" s="172"/>
      <c r="J50" s="172"/>
    </row>
    <row r="51" spans="1:16" ht="16.5" customHeight="1">
      <c r="A51" s="170"/>
      <c r="B51" s="171"/>
      <c r="C51" s="171"/>
      <c r="D51" s="171"/>
      <c r="E51" s="171"/>
      <c r="F51" s="171"/>
      <c r="G51" s="171"/>
      <c r="H51" s="171"/>
      <c r="I51" s="172"/>
      <c r="J51" s="172"/>
    </row>
    <row r="52" spans="1:16">
      <c r="A52" s="134"/>
      <c r="B52" s="109" t="str">
        <f>'AMORTIZIMI AAM'!B1</f>
        <v>SHOQERIA "EKSPRES- BETON LEZHE "SHPK</v>
      </c>
      <c r="C52" s="135"/>
      <c r="D52" s="135"/>
      <c r="E52" s="134"/>
      <c r="F52" s="134"/>
      <c r="G52" s="134"/>
      <c r="H52" s="134"/>
      <c r="I52" s="134"/>
      <c r="J52" s="134"/>
    </row>
    <row r="53" spans="1:16">
      <c r="A53" s="134"/>
      <c r="B53" s="109" t="str">
        <f>'AMORTIZIMI AAM'!B2</f>
        <v>NIPT: K58515501V</v>
      </c>
      <c r="C53" s="135"/>
      <c r="D53" s="135"/>
      <c r="E53" s="134"/>
      <c r="F53" s="134"/>
      <c r="G53" s="134"/>
      <c r="H53" s="134"/>
      <c r="I53" s="134"/>
      <c r="J53" s="134"/>
    </row>
    <row r="54" spans="1:16">
      <c r="A54" s="134"/>
      <c r="B54" s="136"/>
      <c r="C54" s="134"/>
      <c r="D54" s="134"/>
      <c r="E54" s="134"/>
      <c r="F54" s="134"/>
      <c r="G54" s="134"/>
      <c r="H54" s="134"/>
      <c r="I54" s="136" t="s">
        <v>242</v>
      </c>
      <c r="J54" s="134"/>
    </row>
    <row r="55" spans="1:16" ht="12.75" customHeight="1">
      <c r="A55" s="137"/>
      <c r="B55" s="137"/>
      <c r="C55" s="137"/>
      <c r="D55" s="137"/>
      <c r="E55" s="137"/>
      <c r="F55" s="137"/>
      <c r="G55" s="137"/>
      <c r="H55" s="137"/>
      <c r="I55" s="138"/>
      <c r="J55" s="139" t="s">
        <v>213</v>
      </c>
      <c r="K55" s="112"/>
      <c r="L55" s="112"/>
      <c r="M55" s="112"/>
      <c r="N55" s="112"/>
      <c r="O55" s="112"/>
      <c r="P55" s="112"/>
    </row>
    <row r="56" spans="1:16">
      <c r="A56" s="406" t="s">
        <v>214</v>
      </c>
      <c r="B56" s="407"/>
      <c r="C56" s="407"/>
      <c r="D56" s="407"/>
      <c r="E56" s="407"/>
      <c r="F56" s="407"/>
      <c r="G56" s="407"/>
      <c r="H56" s="407"/>
      <c r="I56" s="407"/>
      <c r="J56" s="408"/>
    </row>
    <row r="57" spans="1:16" ht="24.75" customHeight="1" thickBot="1">
      <c r="A57" s="173"/>
      <c r="B57" s="421" t="s">
        <v>243</v>
      </c>
      <c r="C57" s="422"/>
      <c r="D57" s="422"/>
      <c r="E57" s="422"/>
      <c r="F57" s="423"/>
      <c r="G57" s="174" t="s">
        <v>216</v>
      </c>
      <c r="H57" s="174" t="s">
        <v>217</v>
      </c>
      <c r="I57" s="175" t="s">
        <v>547</v>
      </c>
      <c r="J57" s="175" t="s">
        <v>521</v>
      </c>
    </row>
    <row r="58" spans="1:16" ht="16.5" customHeight="1">
      <c r="A58" s="322">
        <v>1</v>
      </c>
      <c r="B58" s="424" t="s">
        <v>244</v>
      </c>
      <c r="C58" s="425"/>
      <c r="D58" s="425"/>
      <c r="E58" s="425"/>
      <c r="F58" s="425"/>
      <c r="G58" s="176">
        <v>60</v>
      </c>
      <c r="H58" s="176">
        <v>12100</v>
      </c>
      <c r="I58" s="310">
        <f>I59+I60+I61+I62+I63</f>
        <v>113297304</v>
      </c>
      <c r="J58" s="331">
        <f>J59+J60+J61+J62+J63</f>
        <v>83598380</v>
      </c>
    </row>
    <row r="59" spans="1:16" ht="16.5" customHeight="1">
      <c r="A59" s="323" t="s">
        <v>245</v>
      </c>
      <c r="B59" s="415" t="s">
        <v>246</v>
      </c>
      <c r="C59" s="416" t="s">
        <v>247</v>
      </c>
      <c r="D59" s="416"/>
      <c r="E59" s="416"/>
      <c r="F59" s="416"/>
      <c r="G59" s="177" t="s">
        <v>518</v>
      </c>
      <c r="H59" s="177">
        <v>12101</v>
      </c>
      <c r="I59" s="306">
        <f>'Shenimet shpjeguese'!G199+'Shenimet shpjeguese'!G200+'Shenimet shpjeguese'!G201</f>
        <v>108280747</v>
      </c>
      <c r="J59" s="307">
        <f>'Ardhura-Shpenzime'!E13</f>
        <v>83598380</v>
      </c>
    </row>
    <row r="60" spans="1:16" ht="12" customHeight="1">
      <c r="A60" s="323" t="s">
        <v>222</v>
      </c>
      <c r="B60" s="415" t="s">
        <v>248</v>
      </c>
      <c r="C60" s="416" t="s">
        <v>247</v>
      </c>
      <c r="D60" s="416"/>
      <c r="E60" s="416"/>
      <c r="F60" s="416"/>
      <c r="G60" s="177"/>
      <c r="H60" s="178">
        <v>12102</v>
      </c>
      <c r="I60" s="306"/>
      <c r="J60" s="306"/>
    </row>
    <row r="61" spans="1:16" ht="16.5" customHeight="1">
      <c r="A61" s="323" t="s">
        <v>224</v>
      </c>
      <c r="B61" s="415" t="s">
        <v>249</v>
      </c>
      <c r="C61" s="416" t="s">
        <v>247</v>
      </c>
      <c r="D61" s="416"/>
      <c r="E61" s="416"/>
      <c r="F61" s="416"/>
      <c r="G61" s="177" t="s">
        <v>250</v>
      </c>
      <c r="H61" s="177">
        <v>12103</v>
      </c>
      <c r="I61" s="306">
        <f>'Shenimet shpjeguese'!G202</f>
        <v>616238</v>
      </c>
      <c r="J61" s="306">
        <f>'Shenimet shpjeguese'!H202</f>
        <v>0</v>
      </c>
    </row>
    <row r="62" spans="1:16" ht="16.5" customHeight="1">
      <c r="A62" s="323" t="s">
        <v>251</v>
      </c>
      <c r="B62" s="428" t="s">
        <v>252</v>
      </c>
      <c r="C62" s="416" t="s">
        <v>247</v>
      </c>
      <c r="D62" s="416"/>
      <c r="E62" s="416"/>
      <c r="F62" s="416"/>
      <c r="G62" s="177"/>
      <c r="H62" s="178">
        <v>12104</v>
      </c>
      <c r="I62" s="306"/>
      <c r="J62" s="307"/>
    </row>
    <row r="63" spans="1:16" ht="16.5" customHeight="1">
      <c r="A63" s="323" t="s">
        <v>253</v>
      </c>
      <c r="B63" s="415" t="s">
        <v>254</v>
      </c>
      <c r="C63" s="416" t="s">
        <v>247</v>
      </c>
      <c r="D63" s="416"/>
      <c r="E63" s="416"/>
      <c r="F63" s="416"/>
      <c r="G63" s="177" t="s">
        <v>255</v>
      </c>
      <c r="H63" s="178">
        <v>12105</v>
      </c>
      <c r="I63" s="306">
        <f>'Shenimet shpjeguese'!G204</f>
        <v>4400319</v>
      </c>
      <c r="J63" s="306">
        <f>'Shenimet shpjeguese'!H204</f>
        <v>0</v>
      </c>
    </row>
    <row r="64" spans="1:16" ht="16.5" customHeight="1">
      <c r="A64" s="324">
        <v>2</v>
      </c>
      <c r="B64" s="429" t="s">
        <v>256</v>
      </c>
      <c r="C64" s="430"/>
      <c r="D64" s="430"/>
      <c r="E64" s="430"/>
      <c r="F64" s="430"/>
      <c r="G64" s="179">
        <v>64</v>
      </c>
      <c r="H64" s="179">
        <v>12200</v>
      </c>
      <c r="I64" s="306">
        <f>'Ardhura-Shpenzime'!D15</f>
        <v>3426208</v>
      </c>
      <c r="J64" s="307">
        <f>'Ardhura-Shpenzime'!E15</f>
        <v>2714448</v>
      </c>
    </row>
    <row r="65" spans="1:10" ht="16.5" customHeight="1">
      <c r="A65" s="325" t="s">
        <v>257</v>
      </c>
      <c r="B65" s="429" t="s">
        <v>258</v>
      </c>
      <c r="C65" s="431"/>
      <c r="D65" s="431"/>
      <c r="E65" s="431"/>
      <c r="F65" s="431"/>
      <c r="G65" s="178">
        <v>641</v>
      </c>
      <c r="H65" s="178">
        <v>12201</v>
      </c>
      <c r="I65" s="306">
        <f>'Ardhura-Shpenzime'!D16</f>
        <v>2936190</v>
      </c>
      <c r="J65" s="307">
        <f>'Ardhura-Shpenzime'!E16</f>
        <v>2326150</v>
      </c>
    </row>
    <row r="66" spans="1:10" ht="16.5" customHeight="1">
      <c r="A66" s="325" t="s">
        <v>259</v>
      </c>
      <c r="B66" s="432" t="s">
        <v>260</v>
      </c>
      <c r="C66" s="431"/>
      <c r="D66" s="431"/>
      <c r="E66" s="431"/>
      <c r="F66" s="431"/>
      <c r="G66" s="178">
        <v>644</v>
      </c>
      <c r="H66" s="178">
        <v>12202</v>
      </c>
      <c r="I66" s="306">
        <f>'Ardhura-Shpenzime'!D17</f>
        <v>490018</v>
      </c>
      <c r="J66" s="307">
        <f>'Ardhura-Shpenzime'!E17</f>
        <v>388298</v>
      </c>
    </row>
    <row r="67" spans="1:10" ht="16.5" customHeight="1">
      <c r="A67" s="324">
        <v>3</v>
      </c>
      <c r="B67" s="429" t="s">
        <v>261</v>
      </c>
      <c r="C67" s="430"/>
      <c r="D67" s="430"/>
      <c r="E67" s="430"/>
      <c r="F67" s="430"/>
      <c r="G67" s="179">
        <v>68</v>
      </c>
      <c r="H67" s="179">
        <v>12300</v>
      </c>
      <c r="I67" s="306">
        <f>'Ardhura-Shpenzime'!D18</f>
        <v>11041291.983333332</v>
      </c>
      <c r="J67" s="306">
        <f>'Ardhura-Shpenzime'!E18</f>
        <v>11393168</v>
      </c>
    </row>
    <row r="68" spans="1:10" ht="16.5" customHeight="1">
      <c r="A68" s="324">
        <v>4</v>
      </c>
      <c r="B68" s="429" t="s">
        <v>262</v>
      </c>
      <c r="C68" s="430"/>
      <c r="D68" s="430"/>
      <c r="E68" s="430"/>
      <c r="F68" s="430"/>
      <c r="G68" s="179">
        <v>61</v>
      </c>
      <c r="H68" s="179">
        <v>12400</v>
      </c>
      <c r="I68" s="306">
        <f>I69+I70+I71+I72+I73+I74+I75+I76+I77+I78+I79+I80+I81+I82+I83+I84</f>
        <v>8151277</v>
      </c>
      <c r="J68" s="306">
        <f>J69+J70+J71+J72+J73+J74+J75+J76+J77+J78+J79+J80+J81+J82+J83+J84</f>
        <v>968854</v>
      </c>
    </row>
    <row r="69" spans="1:10" ht="16.5" customHeight="1">
      <c r="A69" s="325" t="s">
        <v>220</v>
      </c>
      <c r="B69" s="426" t="s">
        <v>263</v>
      </c>
      <c r="C69" s="427"/>
      <c r="D69" s="427"/>
      <c r="E69" s="427"/>
      <c r="F69" s="427"/>
      <c r="G69" s="177"/>
      <c r="H69" s="177">
        <v>12401</v>
      </c>
      <c r="I69" s="306">
        <v>0</v>
      </c>
      <c r="J69" s="307"/>
    </row>
    <row r="70" spans="1:10" ht="16.5" customHeight="1">
      <c r="A70" s="325" t="s">
        <v>228</v>
      </c>
      <c r="B70" s="426" t="s">
        <v>264</v>
      </c>
      <c r="C70" s="427"/>
      <c r="D70" s="427"/>
      <c r="E70" s="427"/>
      <c r="F70" s="427"/>
      <c r="G70" s="147">
        <v>611</v>
      </c>
      <c r="H70" s="177">
        <v>12402</v>
      </c>
      <c r="I70" s="306"/>
      <c r="J70" s="307"/>
    </row>
    <row r="71" spans="1:10" ht="16.5" customHeight="1">
      <c r="A71" s="325" t="s">
        <v>230</v>
      </c>
      <c r="B71" s="426" t="s">
        <v>265</v>
      </c>
      <c r="C71" s="427"/>
      <c r="D71" s="427"/>
      <c r="E71" s="427"/>
      <c r="F71" s="427"/>
      <c r="G71" s="177">
        <v>613</v>
      </c>
      <c r="H71" s="177">
        <v>12403</v>
      </c>
      <c r="I71" s="306">
        <f>'Shenimet shpjeguese'!G215</f>
        <v>0</v>
      </c>
      <c r="J71" s="307">
        <v>0</v>
      </c>
    </row>
    <row r="72" spans="1:10" ht="16.5" customHeight="1">
      <c r="A72" s="325" t="s">
        <v>266</v>
      </c>
      <c r="B72" s="426" t="s">
        <v>267</v>
      </c>
      <c r="C72" s="427"/>
      <c r="D72" s="427"/>
      <c r="E72" s="427"/>
      <c r="F72" s="427"/>
      <c r="G72" s="147">
        <v>615</v>
      </c>
      <c r="H72" s="177">
        <v>12404</v>
      </c>
      <c r="I72" s="308">
        <f>'Shenimet shpjeguese'!G216</f>
        <v>9334</v>
      </c>
      <c r="J72" s="309">
        <v>0</v>
      </c>
    </row>
    <row r="73" spans="1:10" ht="16.5" customHeight="1">
      <c r="A73" s="325" t="s">
        <v>268</v>
      </c>
      <c r="B73" s="426" t="s">
        <v>269</v>
      </c>
      <c r="C73" s="427"/>
      <c r="D73" s="427"/>
      <c r="E73" s="427"/>
      <c r="F73" s="427"/>
      <c r="G73" s="147">
        <v>616</v>
      </c>
      <c r="H73" s="177">
        <v>12405</v>
      </c>
      <c r="I73" s="306">
        <f>'Shenimet shpjeguese'!G217</f>
        <v>121766</v>
      </c>
      <c r="J73" s="306">
        <f>'Shenimet shpjeguese'!H217</f>
        <v>0</v>
      </c>
    </row>
    <row r="74" spans="1:10" ht="16.5" customHeight="1">
      <c r="A74" s="325" t="s">
        <v>270</v>
      </c>
      <c r="B74" s="426" t="s">
        <v>271</v>
      </c>
      <c r="C74" s="427"/>
      <c r="D74" s="427"/>
      <c r="E74" s="427"/>
      <c r="F74" s="427"/>
      <c r="G74" s="147">
        <v>617</v>
      </c>
      <c r="H74" s="177">
        <v>12406</v>
      </c>
      <c r="I74" s="306"/>
      <c r="J74" s="307">
        <v>0</v>
      </c>
    </row>
    <row r="75" spans="1:10" ht="16.5" customHeight="1">
      <c r="A75" s="325" t="s">
        <v>272</v>
      </c>
      <c r="B75" s="415" t="s">
        <v>273</v>
      </c>
      <c r="C75" s="416" t="s">
        <v>247</v>
      </c>
      <c r="D75" s="416"/>
      <c r="E75" s="416"/>
      <c r="F75" s="416"/>
      <c r="G75" s="147" t="s">
        <v>499</v>
      </c>
      <c r="H75" s="177">
        <v>12407</v>
      </c>
      <c r="I75" s="306">
        <f>'Shenimet shpjeguese'!G203+'Shenimet shpjeguese'!G218</f>
        <v>255880</v>
      </c>
      <c r="J75" s="306">
        <f>'Ardhura-Shpenzime'!E14</f>
        <v>968854</v>
      </c>
    </row>
    <row r="76" spans="1:10" ht="16.5" customHeight="1">
      <c r="A76" s="325" t="s">
        <v>274</v>
      </c>
      <c r="B76" s="415" t="s">
        <v>275</v>
      </c>
      <c r="C76" s="416"/>
      <c r="D76" s="416"/>
      <c r="E76" s="416"/>
      <c r="F76" s="416"/>
      <c r="G76" s="147">
        <v>623</v>
      </c>
      <c r="H76" s="177">
        <v>12408</v>
      </c>
      <c r="I76" s="306"/>
      <c r="J76" s="307"/>
    </row>
    <row r="77" spans="1:10" ht="16.5" customHeight="1">
      <c r="A77" s="325" t="s">
        <v>276</v>
      </c>
      <c r="B77" s="415" t="s">
        <v>277</v>
      </c>
      <c r="C77" s="416"/>
      <c r="D77" s="416"/>
      <c r="E77" s="416"/>
      <c r="F77" s="416"/>
      <c r="G77" s="147">
        <v>624</v>
      </c>
      <c r="H77" s="177">
        <v>12409</v>
      </c>
      <c r="I77" s="306">
        <f>'Shenimet shpjeguese'!G219</f>
        <v>0</v>
      </c>
      <c r="J77" s="307">
        <v>0</v>
      </c>
    </row>
    <row r="78" spans="1:10" ht="16.5" customHeight="1">
      <c r="A78" s="325" t="s">
        <v>278</v>
      </c>
      <c r="B78" s="415" t="s">
        <v>279</v>
      </c>
      <c r="C78" s="416"/>
      <c r="D78" s="416"/>
      <c r="E78" s="416"/>
      <c r="F78" s="416"/>
      <c r="G78" s="147">
        <v>625</v>
      </c>
      <c r="H78" s="177">
        <v>12410</v>
      </c>
      <c r="I78" s="306"/>
      <c r="J78" s="307"/>
    </row>
    <row r="79" spans="1:10" ht="16.5" customHeight="1">
      <c r="A79" s="325" t="s">
        <v>280</v>
      </c>
      <c r="B79" s="415" t="s">
        <v>281</v>
      </c>
      <c r="C79" s="416"/>
      <c r="D79" s="416"/>
      <c r="E79" s="416"/>
      <c r="F79" s="416"/>
      <c r="G79" s="147">
        <v>626</v>
      </c>
      <c r="H79" s="177">
        <v>12411</v>
      </c>
      <c r="I79" s="306">
        <f>'Shenimet shpjeguese'!G214</f>
        <v>0</v>
      </c>
      <c r="J79" s="306">
        <f>'Shenimet shpjeguese'!H214</f>
        <v>0</v>
      </c>
    </row>
    <row r="80" spans="1:10" ht="16.5" customHeight="1">
      <c r="A80" s="326" t="s">
        <v>282</v>
      </c>
      <c r="B80" s="415" t="s">
        <v>283</v>
      </c>
      <c r="C80" s="416"/>
      <c r="D80" s="416"/>
      <c r="E80" s="416"/>
      <c r="F80" s="416"/>
      <c r="G80" s="147">
        <v>627</v>
      </c>
      <c r="H80" s="177">
        <v>12412</v>
      </c>
      <c r="I80" s="306"/>
      <c r="J80" s="307"/>
    </row>
    <row r="81" spans="1:12" ht="16.5" customHeight="1">
      <c r="A81" s="325"/>
      <c r="B81" s="433" t="s">
        <v>284</v>
      </c>
      <c r="C81" s="434"/>
      <c r="D81" s="434"/>
      <c r="E81" s="434"/>
      <c r="F81" s="434"/>
      <c r="G81" s="147">
        <v>6271</v>
      </c>
      <c r="H81" s="147">
        <v>124121</v>
      </c>
      <c r="I81" s="306">
        <f>'Shenimet shpjeguese'!G205</f>
        <v>1160258</v>
      </c>
      <c r="J81" s="307">
        <v>0</v>
      </c>
    </row>
    <row r="82" spans="1:12" ht="16.5" customHeight="1">
      <c r="A82" s="325"/>
      <c r="B82" s="433" t="s">
        <v>285</v>
      </c>
      <c r="C82" s="434"/>
      <c r="D82" s="434"/>
      <c r="E82" s="434"/>
      <c r="F82" s="434"/>
      <c r="G82" s="147">
        <v>6272</v>
      </c>
      <c r="H82" s="147">
        <v>124122</v>
      </c>
      <c r="I82" s="306"/>
      <c r="J82" s="307"/>
    </row>
    <row r="83" spans="1:12" ht="16.5" customHeight="1">
      <c r="A83" s="325" t="s">
        <v>286</v>
      </c>
      <c r="B83" s="415" t="s">
        <v>287</v>
      </c>
      <c r="C83" s="416"/>
      <c r="D83" s="416"/>
      <c r="E83" s="416"/>
      <c r="F83" s="416"/>
      <c r="G83" s="147">
        <v>628</v>
      </c>
      <c r="H83" s="147">
        <v>12413</v>
      </c>
      <c r="I83" s="306">
        <f>'Shenimet shpjeguese'!G259</f>
        <v>66291</v>
      </c>
      <c r="J83" s="306">
        <f>'Shenimet shpjeguese'!H259</f>
        <v>0</v>
      </c>
    </row>
    <row r="84" spans="1:12" ht="16.5" customHeight="1">
      <c r="A84" s="325" t="s">
        <v>513</v>
      </c>
      <c r="B84" s="435" t="s">
        <v>514</v>
      </c>
      <c r="C84" s="436"/>
      <c r="D84" s="436"/>
      <c r="E84" s="436"/>
      <c r="F84" s="437"/>
      <c r="G84" s="379" t="s">
        <v>533</v>
      </c>
      <c r="H84" s="147"/>
      <c r="I84" s="306">
        <f>'Shenimet shpjeguese'!G225+'Shenimet shpjeguese'!G260+'Shenimet shpjeguese'!G262+'Shenimet shpjeguese'!G220</f>
        <v>6537748</v>
      </c>
      <c r="J84" s="306">
        <f>'Shenimet shpjeguese'!H225+'Shenimet shpjeguese'!H260+'Shenimet shpjeguese'!H262+'Shenimet shpjeguese'!H220</f>
        <v>0</v>
      </c>
    </row>
    <row r="85" spans="1:12" ht="16.5" customHeight="1">
      <c r="A85" s="324">
        <v>5</v>
      </c>
      <c r="B85" s="428" t="s">
        <v>288</v>
      </c>
      <c r="C85" s="416"/>
      <c r="D85" s="416"/>
      <c r="E85" s="416"/>
      <c r="F85" s="416"/>
      <c r="G85" s="169">
        <v>63</v>
      </c>
      <c r="H85" s="169">
        <v>12500</v>
      </c>
      <c r="I85" s="306">
        <f>I86+I87+I88+I89</f>
        <v>1032407</v>
      </c>
      <c r="J85" s="306">
        <f>J86+J87+J88+J89</f>
        <v>0</v>
      </c>
    </row>
    <row r="86" spans="1:12" ht="16.5" customHeight="1">
      <c r="A86" s="325" t="s">
        <v>220</v>
      </c>
      <c r="B86" s="415" t="s">
        <v>289</v>
      </c>
      <c r="C86" s="416"/>
      <c r="D86" s="416"/>
      <c r="E86" s="416"/>
      <c r="F86" s="416"/>
      <c r="G86" s="147">
        <v>632</v>
      </c>
      <c r="H86" s="147">
        <v>12501</v>
      </c>
      <c r="I86" s="306">
        <f>'Shenimet shpjeguese'!G227</f>
        <v>805835</v>
      </c>
      <c r="J86" s="307"/>
    </row>
    <row r="87" spans="1:12" ht="16.5" customHeight="1">
      <c r="A87" s="325" t="s">
        <v>228</v>
      </c>
      <c r="B87" s="415" t="s">
        <v>290</v>
      </c>
      <c r="C87" s="416"/>
      <c r="D87" s="416"/>
      <c r="E87" s="416"/>
      <c r="F87" s="416"/>
      <c r="G87" s="147">
        <v>633</v>
      </c>
      <c r="H87" s="147">
        <v>12502</v>
      </c>
      <c r="I87" s="306"/>
      <c r="J87" s="307"/>
    </row>
    <row r="88" spans="1:12" ht="16.5" customHeight="1">
      <c r="A88" s="325" t="s">
        <v>230</v>
      </c>
      <c r="B88" s="415" t="s">
        <v>291</v>
      </c>
      <c r="C88" s="416"/>
      <c r="D88" s="416"/>
      <c r="E88" s="416"/>
      <c r="F88" s="416"/>
      <c r="G88" s="147">
        <v>634</v>
      </c>
      <c r="H88" s="147">
        <v>12503</v>
      </c>
      <c r="I88" s="306">
        <f>'Shenimet shpjeguese'!G226</f>
        <v>221993</v>
      </c>
      <c r="J88" s="307">
        <v>0</v>
      </c>
    </row>
    <row r="89" spans="1:12" ht="16.5" customHeight="1">
      <c r="A89" s="325" t="s">
        <v>266</v>
      </c>
      <c r="B89" s="415" t="s">
        <v>292</v>
      </c>
      <c r="C89" s="416"/>
      <c r="D89" s="416"/>
      <c r="E89" s="416"/>
      <c r="F89" s="416"/>
      <c r="G89" s="147">
        <v>635</v>
      </c>
      <c r="H89" s="147">
        <v>12504</v>
      </c>
      <c r="I89" s="306">
        <f>'Shenimet shpjeguese'!G228</f>
        <v>4579</v>
      </c>
      <c r="J89" s="307"/>
    </row>
    <row r="90" spans="1:12" ht="12.75" customHeight="1">
      <c r="A90" s="324" t="s">
        <v>293</v>
      </c>
      <c r="B90" s="429" t="s">
        <v>294</v>
      </c>
      <c r="C90" s="430"/>
      <c r="D90" s="430"/>
      <c r="E90" s="430"/>
      <c r="F90" s="430"/>
      <c r="G90" s="147"/>
      <c r="H90" s="147">
        <v>12600</v>
      </c>
      <c r="I90" s="306">
        <f>I58+I64+I67+I68+I85</f>
        <v>136948487.98333335</v>
      </c>
      <c r="J90" s="307">
        <f>J58+J64+J67+J68+J85</f>
        <v>98674850</v>
      </c>
      <c r="L90" s="321">
        <v>0</v>
      </c>
    </row>
    <row r="91" spans="1:12" ht="16.5" customHeight="1">
      <c r="A91" s="180"/>
      <c r="B91" s="332" t="s">
        <v>295</v>
      </c>
      <c r="C91" s="181"/>
      <c r="D91" s="181"/>
      <c r="E91" s="181"/>
      <c r="F91" s="181"/>
      <c r="G91" s="181"/>
      <c r="H91" s="181"/>
      <c r="I91" s="182" t="str">
        <f>I57</f>
        <v>Viti 2012</v>
      </c>
      <c r="J91" s="182" t="str">
        <f>J57</f>
        <v>Viti 2011</v>
      </c>
      <c r="L91" s="321"/>
    </row>
    <row r="92" spans="1:12" ht="16.5" customHeight="1">
      <c r="A92" s="327">
        <v>1</v>
      </c>
      <c r="B92" s="440" t="s">
        <v>296</v>
      </c>
      <c r="C92" s="441"/>
      <c r="D92" s="441"/>
      <c r="E92" s="441"/>
      <c r="F92" s="441"/>
      <c r="G92" s="169"/>
      <c r="H92" s="345">
        <v>14000</v>
      </c>
      <c r="I92" s="345">
        <v>9</v>
      </c>
      <c r="J92" s="346">
        <v>6</v>
      </c>
    </row>
    <row r="93" spans="1:12" ht="16.5" customHeight="1">
      <c r="A93" s="327">
        <v>2</v>
      </c>
      <c r="B93" s="440" t="s">
        <v>297</v>
      </c>
      <c r="C93" s="441"/>
      <c r="D93" s="441"/>
      <c r="E93" s="441"/>
      <c r="F93" s="441"/>
      <c r="G93" s="169"/>
      <c r="H93" s="345">
        <v>15000</v>
      </c>
      <c r="I93" s="345">
        <v>2</v>
      </c>
      <c r="J93" s="346">
        <v>3</v>
      </c>
    </row>
    <row r="94" spans="1:12" ht="16.5" customHeight="1">
      <c r="A94" s="328" t="s">
        <v>220</v>
      </c>
      <c r="B94" s="426" t="s">
        <v>298</v>
      </c>
      <c r="C94" s="427"/>
      <c r="D94" s="427"/>
      <c r="E94" s="427"/>
      <c r="F94" s="427"/>
      <c r="G94" s="169"/>
      <c r="H94" s="342">
        <v>15001</v>
      </c>
      <c r="I94" s="345">
        <v>2</v>
      </c>
      <c r="J94" s="346">
        <v>3</v>
      </c>
    </row>
    <row r="95" spans="1:12" ht="16.5" customHeight="1">
      <c r="A95" s="328"/>
      <c r="B95" s="442" t="s">
        <v>299</v>
      </c>
      <c r="C95" s="443"/>
      <c r="D95" s="443"/>
      <c r="E95" s="443"/>
      <c r="F95" s="443"/>
      <c r="G95" s="169"/>
      <c r="H95" s="342">
        <v>150011</v>
      </c>
      <c r="I95" s="345">
        <v>2</v>
      </c>
      <c r="J95" s="346">
        <v>3</v>
      </c>
    </row>
    <row r="96" spans="1:12" ht="16.5" customHeight="1">
      <c r="A96" s="329" t="s">
        <v>228</v>
      </c>
      <c r="B96" s="426" t="s">
        <v>300</v>
      </c>
      <c r="C96" s="427"/>
      <c r="D96" s="427"/>
      <c r="E96" s="427"/>
      <c r="F96" s="427"/>
      <c r="G96" s="169"/>
      <c r="H96" s="342">
        <v>15002</v>
      </c>
      <c r="I96" s="345">
        <v>0</v>
      </c>
      <c r="J96" s="346">
        <v>2</v>
      </c>
    </row>
    <row r="97" spans="1:10" ht="13.8" thickBot="1">
      <c r="A97" s="330"/>
      <c r="B97" s="438" t="s">
        <v>301</v>
      </c>
      <c r="C97" s="439"/>
      <c r="D97" s="439"/>
      <c r="E97" s="439"/>
      <c r="F97" s="439"/>
      <c r="G97" s="183"/>
      <c r="H97" s="341">
        <v>150021</v>
      </c>
      <c r="I97" s="340">
        <v>0</v>
      </c>
      <c r="J97" s="339">
        <v>2</v>
      </c>
    </row>
    <row r="98" spans="1:10">
      <c r="A98" s="114"/>
      <c r="B98" s="114"/>
      <c r="C98" s="114"/>
      <c r="D98" s="114"/>
      <c r="E98" s="114"/>
      <c r="F98" s="114"/>
      <c r="G98" s="114"/>
      <c r="H98" s="114"/>
      <c r="I98" s="184" t="s">
        <v>211</v>
      </c>
      <c r="J98" s="184"/>
    </row>
    <row r="99" spans="1:10" ht="15.6">
      <c r="A99" s="134"/>
      <c r="B99" s="134"/>
      <c r="C99" s="134"/>
      <c r="D99" s="134"/>
      <c r="E99" s="134"/>
      <c r="F99" s="134"/>
      <c r="G99" s="134"/>
      <c r="H99" s="134"/>
      <c r="I99" s="185" t="str">
        <f>Kopertina!C45</f>
        <v>DRITAN KOLA</v>
      </c>
      <c r="J99" s="185"/>
    </row>
    <row r="100" spans="1:10" ht="15.6">
      <c r="A100" s="134"/>
      <c r="B100" s="134"/>
      <c r="C100" s="134"/>
      <c r="D100" s="134"/>
      <c r="E100" s="134"/>
      <c r="F100" s="134"/>
      <c r="G100" s="134"/>
      <c r="H100" s="134"/>
      <c r="I100" s="134"/>
      <c r="J100" s="185"/>
    </row>
    <row r="101" spans="1:10" ht="15.6">
      <c r="A101" s="134"/>
      <c r="B101" s="134"/>
      <c r="C101" s="134"/>
      <c r="D101" s="134"/>
      <c r="E101" s="134"/>
      <c r="F101" s="134"/>
      <c r="G101" s="134"/>
      <c r="H101" s="134"/>
      <c r="I101" s="134"/>
      <c r="J101" s="185"/>
    </row>
    <row r="102" spans="1:10" ht="15.6">
      <c r="A102" s="134"/>
      <c r="B102" s="134"/>
      <c r="C102" s="134"/>
      <c r="D102" s="134"/>
      <c r="E102" s="134"/>
      <c r="F102" s="134"/>
      <c r="G102" s="134"/>
      <c r="H102" s="134"/>
      <c r="I102" s="134"/>
      <c r="J102" s="185"/>
    </row>
    <row r="103" spans="1:10" ht="15.6">
      <c r="A103" s="134"/>
      <c r="B103" s="186"/>
      <c r="C103" s="134"/>
      <c r="D103" s="134"/>
      <c r="E103" s="134"/>
      <c r="F103" s="134"/>
      <c r="G103" s="134"/>
      <c r="H103" s="134"/>
      <c r="I103" s="134"/>
      <c r="J103" s="185"/>
    </row>
    <row r="104" spans="1:10">
      <c r="A104" s="134"/>
      <c r="B104" s="186"/>
      <c r="C104" s="134"/>
      <c r="D104" s="134"/>
      <c r="E104" s="134"/>
      <c r="F104" s="134"/>
      <c r="G104" s="134"/>
      <c r="H104" s="134"/>
      <c r="I104" s="134"/>
      <c r="J104" s="134"/>
    </row>
    <row r="105" spans="1:10">
      <c r="A105" s="134"/>
      <c r="B105" s="186"/>
      <c r="C105" s="134"/>
      <c r="D105" s="134"/>
      <c r="E105" s="134"/>
      <c r="F105" s="134"/>
      <c r="G105" s="134"/>
      <c r="H105" s="134"/>
      <c r="I105" s="134"/>
      <c r="J105" s="134"/>
    </row>
    <row r="106" spans="1:10">
      <c r="A106" s="134"/>
      <c r="B106" s="186"/>
      <c r="C106" s="134"/>
      <c r="D106" s="134"/>
      <c r="E106" s="134"/>
      <c r="F106" s="134"/>
      <c r="G106" s="134"/>
      <c r="H106" s="134"/>
      <c r="I106" s="134"/>
      <c r="J106" s="134"/>
    </row>
    <row r="107" spans="1:10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</row>
    <row r="108" spans="1:10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</row>
    <row r="109" spans="1:10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</row>
    <row r="110" spans="1:10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</row>
    <row r="111" spans="1:10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</row>
    <row r="112" spans="1:10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</row>
    <row r="113" spans="1:10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</row>
    <row r="114" spans="1:10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</row>
    <row r="115" spans="1:10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</row>
    <row r="116" spans="1:10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</row>
    <row r="117" spans="1:10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</row>
    <row r="118" spans="1:10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</row>
    <row r="119" spans="1:10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</row>
    <row r="120" spans="1:10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</row>
    <row r="121" spans="1:10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</row>
    <row r="122" spans="1:10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</row>
    <row r="123" spans="1:10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</row>
    <row r="124" spans="1:10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</row>
    <row r="125" spans="1:10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</row>
    <row r="126" spans="1:10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</row>
    <row r="127" spans="1:10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</row>
    <row r="128" spans="1:10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</row>
    <row r="129" spans="1:10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</row>
    <row r="130" spans="1:10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</row>
    <row r="131" spans="1:10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</row>
    <row r="132" spans="1:10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</row>
    <row r="133" spans="1:10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</row>
    <row r="134" spans="1:10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</row>
    <row r="135" spans="1:10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</row>
    <row r="136" spans="1:10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</row>
    <row r="137" spans="1:10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</row>
    <row r="138" spans="1:10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</row>
    <row r="139" spans="1:10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</row>
    <row r="140" spans="1:10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</row>
    <row r="141" spans="1:10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</row>
    <row r="142" spans="1:10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</row>
    <row r="143" spans="1:10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</row>
    <row r="144" spans="1:10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</row>
    <row r="145" spans="1:10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</row>
    <row r="146" spans="1:10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</row>
    <row r="147" spans="1:10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</row>
    <row r="148" spans="1:10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</row>
    <row r="149" spans="1:10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</row>
    <row r="150" spans="1:10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</row>
    <row r="151" spans="1:10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</row>
    <row r="152" spans="1:10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</row>
    <row r="153" spans="1:10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</row>
    <row r="154" spans="1:10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</row>
    <row r="155" spans="1:10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</row>
    <row r="156" spans="1:10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</row>
    <row r="157" spans="1:10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</row>
    <row r="158" spans="1:10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</row>
    <row r="159" spans="1:10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</row>
    <row r="160" spans="1:10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</row>
    <row r="161" spans="1:10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</row>
    <row r="162" spans="1:10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</row>
    <row r="163" spans="1:10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</row>
    <row r="164" spans="1:10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</row>
    <row r="165" spans="1:10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</row>
    <row r="166" spans="1:10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</row>
    <row r="167" spans="1:10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</row>
    <row r="168" spans="1:10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</row>
    <row r="169" spans="1:10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</row>
    <row r="170" spans="1:10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</row>
    <row r="171" spans="1:10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</row>
    <row r="172" spans="1:10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</row>
    <row r="173" spans="1:10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</row>
    <row r="174" spans="1:10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</row>
    <row r="175" spans="1:10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</row>
    <row r="176" spans="1:10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</row>
    <row r="177" spans="1:10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</row>
    <row r="178" spans="1:10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</row>
    <row r="179" spans="1:10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</row>
    <row r="180" spans="1:10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</row>
    <row r="181" spans="1:10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</row>
    <row r="182" spans="1:10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</row>
    <row r="183" spans="1:10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</row>
    <row r="184" spans="1:10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</row>
    <row r="185" spans="1:10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</row>
    <row r="186" spans="1:10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</row>
    <row r="187" spans="1:10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</row>
    <row r="188" spans="1:10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</row>
    <row r="189" spans="1:10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</row>
    <row r="190" spans="1:10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</row>
  </sheetData>
  <mergeCells count="60">
    <mergeCell ref="B96:F96"/>
    <mergeCell ref="B83:F83"/>
    <mergeCell ref="B85:F85"/>
    <mergeCell ref="B84:F84"/>
    <mergeCell ref="B97:F97"/>
    <mergeCell ref="B86:F86"/>
    <mergeCell ref="B87:F87"/>
    <mergeCell ref="B88:F88"/>
    <mergeCell ref="B89:F89"/>
    <mergeCell ref="B90:F90"/>
    <mergeCell ref="B92:F92"/>
    <mergeCell ref="B93:F93"/>
    <mergeCell ref="B94:F94"/>
    <mergeCell ref="B95:F95"/>
    <mergeCell ref="B78:F78"/>
    <mergeCell ref="B79:F79"/>
    <mergeCell ref="B80:F80"/>
    <mergeCell ref="B81:F81"/>
    <mergeCell ref="B82:F82"/>
    <mergeCell ref="B73:F73"/>
    <mergeCell ref="B74:F74"/>
    <mergeCell ref="B75:F75"/>
    <mergeCell ref="B76:F76"/>
    <mergeCell ref="B77:F77"/>
    <mergeCell ref="B71:F71"/>
    <mergeCell ref="B72:F72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59:F59"/>
    <mergeCell ref="B60:F60"/>
    <mergeCell ref="B18:F18"/>
    <mergeCell ref="B19:F19"/>
    <mergeCell ref="B20:F20"/>
    <mergeCell ref="B21:F21"/>
    <mergeCell ref="B22:F22"/>
    <mergeCell ref="B23:F23"/>
    <mergeCell ref="B24:F24"/>
    <mergeCell ref="A56:J56"/>
    <mergeCell ref="B57:F57"/>
    <mergeCell ref="B58:F58"/>
    <mergeCell ref="B16:F16"/>
    <mergeCell ref="B17:F17"/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</mergeCells>
  <phoneticPr fontId="0" type="noConversion"/>
  <pageMargins left="0.15" right="0.16" top="0.22" bottom="0.39" header="0.24" footer="0.14000000000000001"/>
  <pageSetup scale="89" orientation="portrait" r:id="rId1"/>
  <headerFooter alignWithMargins="0"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62"/>
  <sheetViews>
    <sheetView tabSelected="1" topLeftCell="H34" workbookViewId="0">
      <selection activeCell="K51" sqref="K51"/>
    </sheetView>
  </sheetViews>
  <sheetFormatPr defaultColWidth="9.109375" defaultRowHeight="13.2"/>
  <cols>
    <col min="1" max="1" width="0" style="105" hidden="1" customWidth="1"/>
    <col min="2" max="2" width="32.6640625" style="105" hidden="1" customWidth="1"/>
    <col min="3" max="3" width="17" style="105" hidden="1" customWidth="1"/>
    <col min="4" max="6" width="0" style="105" hidden="1" customWidth="1"/>
    <col min="7" max="7" width="0.109375" style="105" customWidth="1"/>
    <col min="8" max="8" width="3.77734375" style="105" customWidth="1"/>
    <col min="9" max="9" width="10.88671875" style="105" customWidth="1"/>
    <col min="10" max="10" width="33.88671875" style="105" customWidth="1"/>
    <col min="11" max="11" width="28.33203125" style="105" customWidth="1"/>
    <col min="12" max="16384" width="9.109375" style="105"/>
  </cols>
  <sheetData>
    <row r="1" spans="1:11">
      <c r="A1" s="136" t="s">
        <v>302</v>
      </c>
      <c r="B1" s="136" t="s">
        <v>303</v>
      </c>
      <c r="C1" s="136" t="s">
        <v>304</v>
      </c>
      <c r="I1" s="109" t="str">
        <f>Kopertina!C4</f>
        <v>SHOQERIA "EKSPRES- BETON LEZHE "SHPK</v>
      </c>
    </row>
    <row r="2" spans="1:11">
      <c r="B2" s="136" t="s">
        <v>305</v>
      </c>
      <c r="C2" s="136" t="s">
        <v>305</v>
      </c>
      <c r="I2" s="109" t="str">
        <f>Kopertina!C5</f>
        <v>NIPT: K58515501V</v>
      </c>
    </row>
    <row r="3" spans="1:11">
      <c r="B3" s="136"/>
      <c r="C3" s="136"/>
      <c r="I3" s="109"/>
      <c r="K3" s="136" t="s">
        <v>306</v>
      </c>
    </row>
    <row r="4" spans="1:11">
      <c r="B4" s="134" t="s">
        <v>307</v>
      </c>
      <c r="C4" s="134" t="s">
        <v>307</v>
      </c>
      <c r="H4" s="120"/>
      <c r="I4" s="120"/>
      <c r="J4" s="119" t="s">
        <v>308</v>
      </c>
      <c r="K4" s="119" t="s">
        <v>309</v>
      </c>
    </row>
    <row r="5" spans="1:11">
      <c r="B5" s="134" t="s">
        <v>310</v>
      </c>
      <c r="C5" s="134" t="s">
        <v>310</v>
      </c>
      <c r="H5" s="120">
        <v>1</v>
      </c>
      <c r="I5" s="119" t="s">
        <v>305</v>
      </c>
      <c r="J5" s="187" t="s">
        <v>307</v>
      </c>
      <c r="K5" s="268"/>
    </row>
    <row r="6" spans="1:11">
      <c r="B6" s="134" t="s">
        <v>311</v>
      </c>
      <c r="C6" s="134" t="s">
        <v>311</v>
      </c>
      <c r="H6" s="120">
        <v>2</v>
      </c>
      <c r="I6" s="119" t="s">
        <v>305</v>
      </c>
      <c r="J6" s="187" t="s">
        <v>312</v>
      </c>
      <c r="K6" s="269"/>
    </row>
    <row r="7" spans="1:11">
      <c r="B7" s="134" t="s">
        <v>313</v>
      </c>
      <c r="C7" s="134" t="s">
        <v>313</v>
      </c>
      <c r="H7" s="120">
        <v>3</v>
      </c>
      <c r="I7" s="119" t="s">
        <v>305</v>
      </c>
      <c r="J7" s="187" t="s">
        <v>314</v>
      </c>
      <c r="K7" s="269">
        <f>'Shenimet shpjeguese'!G168</f>
        <v>0</v>
      </c>
    </row>
    <row r="8" spans="1:11">
      <c r="B8" s="134" t="s">
        <v>315</v>
      </c>
      <c r="C8" s="134" t="s">
        <v>315</v>
      </c>
      <c r="H8" s="120">
        <v>4</v>
      </c>
      <c r="I8" s="119" t="s">
        <v>305</v>
      </c>
      <c r="J8" s="187" t="s">
        <v>313</v>
      </c>
      <c r="K8" s="269"/>
    </row>
    <row r="9" spans="1:11">
      <c r="B9" s="134" t="s">
        <v>316</v>
      </c>
      <c r="C9" s="134" t="s">
        <v>316</v>
      </c>
      <c r="H9" s="120">
        <v>5</v>
      </c>
      <c r="I9" s="119" t="s">
        <v>305</v>
      </c>
      <c r="J9" s="187" t="s">
        <v>315</v>
      </c>
      <c r="K9" s="269"/>
    </row>
    <row r="10" spans="1:11">
      <c r="B10" s="134" t="s">
        <v>317</v>
      </c>
      <c r="C10" s="134" t="s">
        <v>317</v>
      </c>
      <c r="H10" s="120">
        <v>6</v>
      </c>
      <c r="I10" s="119" t="s">
        <v>305</v>
      </c>
      <c r="J10" s="187" t="s">
        <v>316</v>
      </c>
      <c r="K10" s="269"/>
    </row>
    <row r="11" spans="1:11">
      <c r="B11" s="134" t="s">
        <v>318</v>
      </c>
      <c r="C11" s="134" t="s">
        <v>318</v>
      </c>
      <c r="H11" s="120">
        <v>7</v>
      </c>
      <c r="I11" s="119" t="s">
        <v>305</v>
      </c>
      <c r="J11" s="187" t="s">
        <v>319</v>
      </c>
      <c r="K11" s="269"/>
    </row>
    <row r="12" spans="1:11">
      <c r="B12" s="136" t="s">
        <v>320</v>
      </c>
      <c r="C12" s="136" t="s">
        <v>320</v>
      </c>
      <c r="H12" s="120">
        <v>8</v>
      </c>
      <c r="I12" s="119" t="s">
        <v>305</v>
      </c>
      <c r="J12" s="187" t="s">
        <v>318</v>
      </c>
      <c r="K12" s="269">
        <f>'Shenimet shpjeguese'!G167+'Shenimet shpjeguese'!G182</f>
        <v>173750</v>
      </c>
    </row>
    <row r="13" spans="1:11">
      <c r="B13" s="136"/>
      <c r="C13" s="136"/>
      <c r="H13" s="119" t="s">
        <v>17</v>
      </c>
      <c r="I13" s="119"/>
      <c r="J13" s="119" t="s">
        <v>321</v>
      </c>
      <c r="K13" s="270">
        <f>K5+K6+K7+K8+K9+K10+K11+K12</f>
        <v>173750</v>
      </c>
    </row>
    <row r="14" spans="1:11">
      <c r="B14" s="134" t="s">
        <v>322</v>
      </c>
      <c r="C14" s="134" t="s">
        <v>322</v>
      </c>
      <c r="H14" s="120">
        <v>9</v>
      </c>
      <c r="I14" s="119" t="s">
        <v>320</v>
      </c>
      <c r="J14" s="187" t="s">
        <v>323</v>
      </c>
      <c r="K14" s="269"/>
    </row>
    <row r="15" spans="1:11">
      <c r="B15" s="134" t="s">
        <v>324</v>
      </c>
      <c r="C15" s="134" t="s">
        <v>324</v>
      </c>
      <c r="H15" s="120">
        <v>10</v>
      </c>
      <c r="I15" s="119" t="s">
        <v>320</v>
      </c>
      <c r="J15" s="187" t="s">
        <v>324</v>
      </c>
      <c r="K15" s="268"/>
    </row>
    <row r="16" spans="1:11">
      <c r="B16" s="134" t="s">
        <v>325</v>
      </c>
      <c r="C16" s="134" t="s">
        <v>325</v>
      </c>
      <c r="H16" s="120">
        <v>11</v>
      </c>
      <c r="I16" s="119" t="s">
        <v>320</v>
      </c>
      <c r="J16" s="187" t="s">
        <v>325</v>
      </c>
      <c r="K16" s="269">
        <f>'Shenimet shpjeguese'!G166</f>
        <v>97282666</v>
      </c>
    </row>
    <row r="17" spans="2:11">
      <c r="B17" s="134"/>
      <c r="C17" s="134"/>
      <c r="H17" s="119" t="s">
        <v>41</v>
      </c>
      <c r="I17" s="119"/>
      <c r="J17" s="119" t="s">
        <v>326</v>
      </c>
      <c r="K17" s="270">
        <f>K14+K15+K16</f>
        <v>97282666</v>
      </c>
    </row>
    <row r="18" spans="2:11">
      <c r="B18" s="136" t="s">
        <v>327</v>
      </c>
      <c r="C18" s="136" t="s">
        <v>327</v>
      </c>
      <c r="H18" s="120">
        <v>12</v>
      </c>
      <c r="I18" s="119" t="s">
        <v>327</v>
      </c>
      <c r="J18" s="187" t="s">
        <v>328</v>
      </c>
      <c r="K18" s="269"/>
    </row>
    <row r="19" spans="2:11">
      <c r="B19" s="134" t="s">
        <v>317</v>
      </c>
      <c r="C19" s="134" t="s">
        <v>317</v>
      </c>
      <c r="H19" s="120">
        <v>13</v>
      </c>
      <c r="I19" s="119" t="s">
        <v>327</v>
      </c>
      <c r="J19" s="119" t="s">
        <v>329</v>
      </c>
      <c r="K19" s="269"/>
    </row>
    <row r="20" spans="2:11">
      <c r="B20" s="134" t="s">
        <v>330</v>
      </c>
      <c r="C20" s="134" t="s">
        <v>330</v>
      </c>
      <c r="H20" s="120">
        <v>14</v>
      </c>
      <c r="I20" s="119" t="s">
        <v>327</v>
      </c>
      <c r="J20" s="187" t="s">
        <v>331</v>
      </c>
      <c r="K20" s="269">
        <f>'Shenimet shpjeguese'!G165</f>
        <v>81530320</v>
      </c>
    </row>
    <row r="21" spans="2:11">
      <c r="B21" s="134" t="s">
        <v>331</v>
      </c>
      <c r="C21" s="134" t="s">
        <v>331</v>
      </c>
      <c r="H21" s="120">
        <v>15</v>
      </c>
      <c r="I21" s="119" t="s">
        <v>327</v>
      </c>
      <c r="J21" s="187" t="s">
        <v>332</v>
      </c>
      <c r="K21" s="269"/>
    </row>
    <row r="22" spans="2:11">
      <c r="B22" s="134" t="s">
        <v>332</v>
      </c>
      <c r="C22" s="134" t="s">
        <v>332</v>
      </c>
      <c r="H22" s="120">
        <v>16</v>
      </c>
      <c r="I22" s="119" t="s">
        <v>327</v>
      </c>
      <c r="J22" s="187" t="s">
        <v>333</v>
      </c>
      <c r="K22" s="269"/>
    </row>
    <row r="23" spans="2:11">
      <c r="B23" s="134" t="s">
        <v>334</v>
      </c>
      <c r="C23" s="134" t="s">
        <v>334</v>
      </c>
      <c r="H23" s="120">
        <v>17</v>
      </c>
      <c r="I23" s="119" t="s">
        <v>327</v>
      </c>
      <c r="J23" s="187" t="s">
        <v>335</v>
      </c>
      <c r="K23" s="269"/>
    </row>
    <row r="24" spans="2:11">
      <c r="B24" s="134" t="s">
        <v>335</v>
      </c>
      <c r="C24" s="134" t="s">
        <v>335</v>
      </c>
      <c r="H24" s="120">
        <v>18</v>
      </c>
      <c r="I24" s="119" t="s">
        <v>327</v>
      </c>
      <c r="J24" s="187" t="s">
        <v>336</v>
      </c>
      <c r="K24" s="269"/>
    </row>
    <row r="25" spans="2:11">
      <c r="B25" s="134" t="s">
        <v>337</v>
      </c>
      <c r="C25" s="134" t="s">
        <v>337</v>
      </c>
      <c r="H25" s="120">
        <v>19</v>
      </c>
      <c r="I25" s="119" t="s">
        <v>327</v>
      </c>
      <c r="J25" s="187" t="s">
        <v>338</v>
      </c>
      <c r="K25" s="269"/>
    </row>
    <row r="26" spans="2:11">
      <c r="B26" s="134"/>
      <c r="C26" s="134"/>
      <c r="H26" s="119" t="s">
        <v>101</v>
      </c>
      <c r="I26" s="119"/>
      <c r="J26" s="119" t="s">
        <v>339</v>
      </c>
      <c r="K26" s="269">
        <f>K18+K19+K20+K21+K22+K23+K24+K25</f>
        <v>81530320</v>
      </c>
    </row>
    <row r="27" spans="2:11">
      <c r="B27" s="134" t="s">
        <v>338</v>
      </c>
      <c r="C27" s="134" t="s">
        <v>338</v>
      </c>
      <c r="H27" s="120">
        <v>20</v>
      </c>
      <c r="I27" s="119" t="s">
        <v>340</v>
      </c>
      <c r="J27" s="187" t="s">
        <v>341</v>
      </c>
      <c r="K27" s="269">
        <f>'Shenimet shpjeguese'!G171</f>
        <v>0</v>
      </c>
    </row>
    <row r="28" spans="2:11">
      <c r="B28" s="136" t="s">
        <v>340</v>
      </c>
      <c r="C28" s="136" t="s">
        <v>340</v>
      </c>
      <c r="H28" s="120">
        <v>21</v>
      </c>
      <c r="I28" s="119" t="s">
        <v>340</v>
      </c>
      <c r="J28" s="187" t="s">
        <v>342</v>
      </c>
      <c r="K28" s="268"/>
    </row>
    <row r="29" spans="2:11">
      <c r="B29" s="134" t="s">
        <v>343</v>
      </c>
      <c r="C29" s="134" t="s">
        <v>343</v>
      </c>
      <c r="H29" s="120">
        <v>22</v>
      </c>
      <c r="I29" s="119" t="s">
        <v>340</v>
      </c>
      <c r="J29" s="187" t="s">
        <v>344</v>
      </c>
      <c r="K29" s="268"/>
    </row>
    <row r="30" spans="2:11">
      <c r="B30" s="134" t="s">
        <v>342</v>
      </c>
      <c r="C30" s="134" t="s">
        <v>342</v>
      </c>
      <c r="H30" s="120">
        <v>23</v>
      </c>
      <c r="I30" s="119" t="s">
        <v>340</v>
      </c>
      <c r="J30" s="187" t="s">
        <v>345</v>
      </c>
      <c r="K30" s="269"/>
    </row>
    <row r="31" spans="2:11">
      <c r="B31" s="134"/>
      <c r="C31" s="134"/>
      <c r="H31" s="119" t="s">
        <v>346</v>
      </c>
      <c r="I31" s="119"/>
      <c r="J31" s="119" t="s">
        <v>347</v>
      </c>
      <c r="K31" s="269">
        <f>K27+K28+K29+K30</f>
        <v>0</v>
      </c>
    </row>
    <row r="32" spans="2:11">
      <c r="B32" s="134" t="s">
        <v>344</v>
      </c>
      <c r="C32" s="134" t="s">
        <v>344</v>
      </c>
      <c r="H32" s="120">
        <v>24</v>
      </c>
      <c r="I32" s="119" t="s">
        <v>348</v>
      </c>
      <c r="J32" s="187" t="s">
        <v>349</v>
      </c>
      <c r="K32" s="269">
        <f>'Shenimet shpjeguese'!G256+'Shenimet shpjeguese'!G258+'Shenimet shpjeguese'!G169+'Shenimet shpjeguese'!G170+'Shenimet shpjeguese'!G181</f>
        <v>161651</v>
      </c>
    </row>
    <row r="33" spans="2:11">
      <c r="B33" s="134" t="s">
        <v>345</v>
      </c>
      <c r="C33" s="134" t="s">
        <v>345</v>
      </c>
      <c r="H33" s="120">
        <v>25</v>
      </c>
      <c r="I33" s="119" t="s">
        <v>348</v>
      </c>
      <c r="J33" s="187" t="s">
        <v>350</v>
      </c>
      <c r="K33" s="269"/>
    </row>
    <row r="34" spans="2:11">
      <c r="H34" s="120">
        <v>26</v>
      </c>
      <c r="I34" s="119" t="s">
        <v>348</v>
      </c>
      <c r="J34" s="187" t="s">
        <v>351</v>
      </c>
      <c r="K34" s="269"/>
    </row>
    <row r="35" spans="2:11">
      <c r="B35" s="136" t="s">
        <v>348</v>
      </c>
      <c r="C35" s="136" t="s">
        <v>348</v>
      </c>
      <c r="H35" s="120">
        <v>27</v>
      </c>
      <c r="I35" s="119" t="s">
        <v>348</v>
      </c>
      <c r="J35" s="187" t="s">
        <v>352</v>
      </c>
      <c r="K35" s="269"/>
    </row>
    <row r="36" spans="2:11">
      <c r="B36" s="134" t="s">
        <v>349</v>
      </c>
      <c r="C36" s="134" t="s">
        <v>349</v>
      </c>
      <c r="H36" s="120">
        <v>28</v>
      </c>
      <c r="I36" s="119" t="s">
        <v>348</v>
      </c>
      <c r="J36" s="187" t="s">
        <v>353</v>
      </c>
      <c r="K36" s="268"/>
    </row>
    <row r="37" spans="2:11">
      <c r="B37" s="134" t="s">
        <v>350</v>
      </c>
      <c r="C37" s="134" t="s">
        <v>350</v>
      </c>
      <c r="H37" s="120">
        <v>29</v>
      </c>
      <c r="I37" s="119" t="s">
        <v>348</v>
      </c>
      <c r="J37" s="188" t="s">
        <v>354</v>
      </c>
      <c r="K37" s="269"/>
    </row>
    <row r="38" spans="2:11">
      <c r="B38" s="134" t="s">
        <v>351</v>
      </c>
      <c r="C38" s="134" t="s">
        <v>351</v>
      </c>
      <c r="H38" s="120">
        <v>30</v>
      </c>
      <c r="I38" s="119" t="s">
        <v>348</v>
      </c>
      <c r="J38" s="187" t="s">
        <v>355</v>
      </c>
      <c r="K38" s="269"/>
    </row>
    <row r="39" spans="2:11">
      <c r="B39" s="134" t="s">
        <v>352</v>
      </c>
      <c r="C39" s="134" t="s">
        <v>352</v>
      </c>
      <c r="H39" s="120">
        <v>31</v>
      </c>
      <c r="I39" s="119" t="s">
        <v>348</v>
      </c>
      <c r="J39" s="187" t="s">
        <v>356</v>
      </c>
      <c r="K39" s="269"/>
    </row>
    <row r="40" spans="2:11">
      <c r="B40" s="134"/>
      <c r="C40" s="134"/>
      <c r="H40" s="120">
        <v>32</v>
      </c>
      <c r="I40" s="119" t="s">
        <v>348</v>
      </c>
      <c r="J40" s="187" t="s">
        <v>357</v>
      </c>
      <c r="K40" s="269"/>
    </row>
    <row r="41" spans="2:11">
      <c r="B41" s="134" t="s">
        <v>353</v>
      </c>
      <c r="C41" s="134" t="s">
        <v>353</v>
      </c>
      <c r="H41" s="120">
        <v>33</v>
      </c>
      <c r="I41" s="119" t="s">
        <v>348</v>
      </c>
      <c r="J41" s="187" t="s">
        <v>358</v>
      </c>
      <c r="K41" s="269"/>
    </row>
    <row r="42" spans="2:11">
      <c r="B42" s="134" t="s">
        <v>354</v>
      </c>
      <c r="C42" s="134" t="s">
        <v>354</v>
      </c>
      <c r="H42" s="189">
        <v>34</v>
      </c>
      <c r="I42" s="119" t="s">
        <v>348</v>
      </c>
      <c r="J42" s="187" t="s">
        <v>359</v>
      </c>
      <c r="K42" s="269">
        <v>0</v>
      </c>
    </row>
    <row r="43" spans="2:11">
      <c r="B43" s="134" t="s">
        <v>355</v>
      </c>
      <c r="C43" s="134" t="s">
        <v>355</v>
      </c>
      <c r="H43" s="119" t="s">
        <v>360</v>
      </c>
      <c r="I43" s="120"/>
      <c r="J43" s="119" t="s">
        <v>361</v>
      </c>
      <c r="K43" s="270">
        <f>K32+K33+K34+K35+K36+K37+K38+K39+K40+K41+K42</f>
        <v>161651</v>
      </c>
    </row>
    <row r="44" spans="2:11">
      <c r="B44" s="134" t="s">
        <v>356</v>
      </c>
      <c r="C44" s="134" t="s">
        <v>356</v>
      </c>
      <c r="H44" s="120"/>
      <c r="I44" s="120"/>
      <c r="J44" s="119" t="s">
        <v>362</v>
      </c>
      <c r="K44" s="270">
        <f>K13+K17+K26+K31+K43</f>
        <v>179148387</v>
      </c>
    </row>
    <row r="45" spans="2:11">
      <c r="I45" s="190" t="s">
        <v>546</v>
      </c>
      <c r="J45" s="122"/>
      <c r="K45" s="119" t="s">
        <v>363</v>
      </c>
    </row>
    <row r="46" spans="2:11">
      <c r="I46" s="191"/>
      <c r="J46" s="192"/>
      <c r="K46" s="271"/>
    </row>
    <row r="47" spans="2:11">
      <c r="I47" s="193" t="s">
        <v>364</v>
      </c>
      <c r="J47" s="193"/>
      <c r="K47" s="113">
        <v>0</v>
      </c>
    </row>
    <row r="48" spans="2:11">
      <c r="I48" s="120" t="s">
        <v>365</v>
      </c>
      <c r="J48" s="120"/>
      <c r="K48" s="113">
        <v>5</v>
      </c>
    </row>
    <row r="49" spans="8:15">
      <c r="I49" s="120" t="s">
        <v>366</v>
      </c>
      <c r="J49" s="120"/>
      <c r="K49" s="113">
        <v>3</v>
      </c>
    </row>
    <row r="50" spans="8:15">
      <c r="I50" s="120" t="s">
        <v>367</v>
      </c>
      <c r="J50" s="120"/>
      <c r="K50" s="113">
        <v>1</v>
      </c>
    </row>
    <row r="51" spans="8:15">
      <c r="I51" s="194" t="s">
        <v>368</v>
      </c>
      <c r="J51" s="122"/>
      <c r="K51" s="113">
        <v>0</v>
      </c>
    </row>
    <row r="52" spans="8:15">
      <c r="I52" s="195"/>
      <c r="J52" s="196" t="s">
        <v>170</v>
      </c>
      <c r="K52" s="272">
        <f>K47+K48+K49+K50+K51</f>
        <v>9</v>
      </c>
    </row>
    <row r="53" spans="8:15">
      <c r="K53" s="136" t="s">
        <v>211</v>
      </c>
    </row>
    <row r="54" spans="8:15">
      <c r="K54" s="105" t="str">
        <f>Kopertina!C45</f>
        <v>DRITAN KOLA</v>
      </c>
    </row>
    <row r="55" spans="8:15">
      <c r="I55" s="136" t="s">
        <v>369</v>
      </c>
    </row>
    <row r="57" spans="8:15">
      <c r="I57" s="136"/>
    </row>
    <row r="58" spans="8:15">
      <c r="H58" s="136"/>
      <c r="I58" s="136"/>
      <c r="J58" s="136"/>
      <c r="K58" s="136"/>
      <c r="L58" s="136"/>
      <c r="M58" s="136"/>
      <c r="N58" s="136"/>
      <c r="O58" s="136"/>
    </row>
    <row r="59" spans="8:15">
      <c r="H59" s="136"/>
      <c r="I59" s="136"/>
      <c r="J59" s="136"/>
      <c r="K59" s="136"/>
      <c r="L59" s="136"/>
      <c r="M59" s="136"/>
      <c r="N59" s="136"/>
      <c r="O59" s="136"/>
    </row>
    <row r="60" spans="8:15">
      <c r="I60" s="136"/>
      <c r="J60" s="136"/>
      <c r="K60" s="136"/>
      <c r="L60" s="136"/>
      <c r="M60" s="136"/>
      <c r="N60" s="136"/>
      <c r="O60" s="136"/>
    </row>
    <row r="61" spans="8:15">
      <c r="I61" s="136"/>
      <c r="J61" s="136"/>
      <c r="K61" s="136"/>
      <c r="L61" s="136"/>
      <c r="M61" s="136"/>
      <c r="N61" s="136"/>
      <c r="O61" s="136"/>
    </row>
    <row r="62" spans="8:15">
      <c r="H62" s="136"/>
      <c r="I62" s="136"/>
    </row>
  </sheetData>
  <phoneticPr fontId="0" type="noConversion"/>
  <pageMargins left="0.75" right="0.75" top="0.15" bottom="0.14000000000000001" header="0.14000000000000001" footer="0.14000000000000001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1"/>
  <sheetViews>
    <sheetView topLeftCell="A28" workbookViewId="0">
      <selection activeCell="D39" sqref="D39"/>
    </sheetView>
  </sheetViews>
  <sheetFormatPr defaultRowHeight="14.4"/>
  <cols>
    <col min="1" max="1" width="2.77734375" customWidth="1"/>
    <col min="2" max="2" width="36.88671875" bestFit="1" customWidth="1"/>
    <col min="3" max="3" width="7.77734375" bestFit="1" customWidth="1"/>
    <col min="4" max="5" width="14.6640625" customWidth="1"/>
    <col min="6" max="6" width="17.77734375" customWidth="1"/>
  </cols>
  <sheetData>
    <row r="1" spans="1:6">
      <c r="B1" t="str">
        <f>Kopertina!C4</f>
        <v>SHOQERIA "EKSPRES- BETON LEZHE "SHPK</v>
      </c>
    </row>
    <row r="2" spans="1:6">
      <c r="B2" t="str">
        <f>Kopertina!C5</f>
        <v>NIPT: K58515501V</v>
      </c>
    </row>
    <row r="3" spans="1:6">
      <c r="B3" s="386" t="s">
        <v>130</v>
      </c>
      <c r="C3" s="386"/>
      <c r="D3" s="386"/>
      <c r="E3" s="386"/>
    </row>
    <row r="4" spans="1:6">
      <c r="B4" s="51" t="str">
        <f>Kopertina!B32</f>
        <v xml:space="preserve">Periudha Kontabël: </v>
      </c>
      <c r="C4" s="52" t="str">
        <f>Kopertina!C32</f>
        <v>01/01/2012 - 31/12/2012</v>
      </c>
      <c r="D4" s="52"/>
    </row>
    <row r="5" spans="1:6">
      <c r="E5" s="29" t="s">
        <v>12</v>
      </c>
    </row>
    <row r="6" spans="1:6" ht="25.5" customHeight="1">
      <c r="A6" s="384" t="s">
        <v>16</v>
      </c>
      <c r="B6" s="385"/>
      <c r="C6" s="35" t="s">
        <v>102</v>
      </c>
      <c r="D6" s="20" t="s">
        <v>13</v>
      </c>
      <c r="E6" s="20" t="s">
        <v>14</v>
      </c>
      <c r="F6" s="34" t="s">
        <v>15</v>
      </c>
    </row>
    <row r="7" spans="1:6">
      <c r="A7" s="16" t="s">
        <v>17</v>
      </c>
      <c r="B7" s="32" t="s">
        <v>18</v>
      </c>
      <c r="C7" s="232"/>
      <c r="D7" s="19"/>
      <c r="E7" s="351"/>
      <c r="F7" s="19"/>
    </row>
    <row r="8" spans="1:6">
      <c r="A8" s="22">
        <v>1</v>
      </c>
      <c r="B8" s="32" t="s">
        <v>19</v>
      </c>
      <c r="C8" s="232"/>
      <c r="D8" s="282">
        <f>SUM(D9:D10)</f>
        <v>286835</v>
      </c>
      <c r="E8" s="352">
        <f>SUM(E9:E10)</f>
        <v>540931</v>
      </c>
      <c r="F8" s="282">
        <f>D8-E8</f>
        <v>-254096</v>
      </c>
    </row>
    <row r="9" spans="1:6">
      <c r="A9" s="21" t="s">
        <v>20</v>
      </c>
      <c r="B9" s="31" t="s">
        <v>21</v>
      </c>
      <c r="C9" s="233">
        <f>'Shenimet shpjeguese'!A9</f>
        <v>1</v>
      </c>
      <c r="D9" s="283">
        <f>'Shenimet shpjeguese'!G24</f>
        <v>808</v>
      </c>
      <c r="E9" s="353">
        <v>40725</v>
      </c>
      <c r="F9" s="284">
        <f t="shared" ref="F9:F48" si="0">D9-E9</f>
        <v>-39917</v>
      </c>
    </row>
    <row r="10" spans="1:6">
      <c r="A10" s="21" t="s">
        <v>20</v>
      </c>
      <c r="B10" s="31" t="s">
        <v>22</v>
      </c>
      <c r="C10" s="233">
        <f>'Shenimet shpjeguese'!A9</f>
        <v>1</v>
      </c>
      <c r="D10" s="283">
        <f>'Shenimet shpjeguese'!G14</f>
        <v>286027</v>
      </c>
      <c r="E10" s="353">
        <v>500206</v>
      </c>
      <c r="F10" s="284">
        <f t="shared" si="0"/>
        <v>-214179</v>
      </c>
    </row>
    <row r="11" spans="1:6">
      <c r="A11" s="22">
        <v>2</v>
      </c>
      <c r="B11" s="32" t="s">
        <v>23</v>
      </c>
      <c r="C11" s="232"/>
      <c r="D11" s="282">
        <f>SUM(D12:D13)</f>
        <v>0</v>
      </c>
      <c r="E11" s="352">
        <v>0</v>
      </c>
      <c r="F11" s="282">
        <f t="shared" si="0"/>
        <v>0</v>
      </c>
    </row>
    <row r="12" spans="1:6">
      <c r="A12" s="21" t="s">
        <v>20</v>
      </c>
      <c r="B12" s="31" t="s">
        <v>24</v>
      </c>
      <c r="C12" s="233"/>
      <c r="D12" s="285"/>
      <c r="E12" s="355"/>
      <c r="F12" s="285">
        <f t="shared" si="0"/>
        <v>0</v>
      </c>
    </row>
    <row r="13" spans="1:6">
      <c r="A13" s="21" t="s">
        <v>20</v>
      </c>
      <c r="B13" s="31" t="s">
        <v>25</v>
      </c>
      <c r="C13" s="233"/>
      <c r="D13" s="285"/>
      <c r="E13" s="355"/>
      <c r="F13" s="285">
        <f t="shared" si="0"/>
        <v>0</v>
      </c>
    </row>
    <row r="14" spans="1:6">
      <c r="A14" s="22">
        <v>3</v>
      </c>
      <c r="B14" s="32" t="s">
        <v>26</v>
      </c>
      <c r="C14" s="232"/>
      <c r="D14" s="286">
        <f>SUM(D15:D18)</f>
        <v>201314121</v>
      </c>
      <c r="E14" s="356">
        <f>SUM(E15:E18)</f>
        <v>92774631</v>
      </c>
      <c r="F14" s="282">
        <f t="shared" si="0"/>
        <v>108539490</v>
      </c>
    </row>
    <row r="15" spans="1:6">
      <c r="A15" s="21" t="s">
        <v>20</v>
      </c>
      <c r="B15" s="31" t="s">
        <v>27</v>
      </c>
      <c r="C15" s="233">
        <f>'Shenimet shpjeguese'!A27</f>
        <v>2</v>
      </c>
      <c r="D15" s="284">
        <f>'Shenimet shpjeguese'!G33</f>
        <v>201314121</v>
      </c>
      <c r="E15" s="354">
        <v>92774631</v>
      </c>
      <c r="F15" s="287">
        <f t="shared" si="0"/>
        <v>108539490</v>
      </c>
    </row>
    <row r="16" spans="1:6">
      <c r="A16" s="21" t="s">
        <v>20</v>
      </c>
      <c r="B16" s="31" t="s">
        <v>28</v>
      </c>
      <c r="C16" s="233"/>
      <c r="D16" s="284">
        <f>'Shenimet shpjeguese'!G45</f>
        <v>0</v>
      </c>
      <c r="E16" s="354">
        <v>0</v>
      </c>
      <c r="F16" s="287">
        <f t="shared" si="0"/>
        <v>0</v>
      </c>
    </row>
    <row r="17" spans="1:6">
      <c r="A17" s="21" t="s">
        <v>20</v>
      </c>
      <c r="B17" s="31" t="s">
        <v>29</v>
      </c>
      <c r="C17" s="233">
        <f>'Shenimet shpjeguese'!A36</f>
        <v>3</v>
      </c>
      <c r="D17" s="285">
        <f>'Shenimet shpjeguese'!G98</f>
        <v>0</v>
      </c>
      <c r="E17" s="355">
        <v>0</v>
      </c>
      <c r="F17" s="285">
        <f t="shared" si="0"/>
        <v>0</v>
      </c>
    </row>
    <row r="18" spans="1:6">
      <c r="A18" s="21" t="s">
        <v>20</v>
      </c>
      <c r="B18" s="31" t="s">
        <v>30</v>
      </c>
      <c r="C18" s="233">
        <f>'Shenimet shpjeguese'!A36</f>
        <v>3</v>
      </c>
      <c r="D18" s="285">
        <v>0</v>
      </c>
      <c r="E18" s="355">
        <v>0</v>
      </c>
      <c r="F18" s="285">
        <f t="shared" si="0"/>
        <v>0</v>
      </c>
    </row>
    <row r="19" spans="1:6">
      <c r="A19" s="22">
        <v>4</v>
      </c>
      <c r="B19" s="32" t="s">
        <v>31</v>
      </c>
      <c r="C19" s="232"/>
      <c r="D19" s="286">
        <f>SUM(D20:D24)</f>
        <v>54678069</v>
      </c>
      <c r="E19" s="356">
        <f>SUM(E20:E24)</f>
        <v>83403171</v>
      </c>
      <c r="F19" s="282">
        <f t="shared" si="0"/>
        <v>-28725102</v>
      </c>
    </row>
    <row r="20" spans="1:6">
      <c r="A20" s="21" t="s">
        <v>20</v>
      </c>
      <c r="B20" s="31" t="s">
        <v>32</v>
      </c>
      <c r="C20" s="233">
        <f>'Shenimet shpjeguese'!A47</f>
        <v>4</v>
      </c>
      <c r="D20" s="285">
        <f>'Shenimet shpjeguese'!G50+'Shenimet shpjeguese'!G51+'Shenimet shpjeguese'!G52</f>
        <v>50288069</v>
      </c>
      <c r="E20" s="355">
        <v>83403171</v>
      </c>
      <c r="F20" s="285">
        <f t="shared" si="0"/>
        <v>-33115102</v>
      </c>
    </row>
    <row r="21" spans="1:6">
      <c r="A21" s="21" t="s">
        <v>20</v>
      </c>
      <c r="B21" s="31" t="s">
        <v>33</v>
      </c>
      <c r="C21" s="233">
        <f>'Shenimet shpjeguese'!A47</f>
        <v>4</v>
      </c>
      <c r="D21" s="285">
        <f>'Shenimet shpjeguese'!G53</f>
        <v>0</v>
      </c>
      <c r="E21" s="355">
        <v>0</v>
      </c>
      <c r="F21" s="285">
        <f t="shared" si="0"/>
        <v>0</v>
      </c>
    </row>
    <row r="22" spans="1:6">
      <c r="A22" s="21" t="s">
        <v>20</v>
      </c>
      <c r="B22" s="31" t="s">
        <v>34</v>
      </c>
      <c r="C22" s="233">
        <f>'Shenimet shpjeguese'!A47</f>
        <v>4</v>
      </c>
      <c r="D22" s="285">
        <f>'Shenimet shpjeguese'!G54</f>
        <v>0</v>
      </c>
      <c r="E22" s="355">
        <v>0</v>
      </c>
      <c r="F22" s="285">
        <f t="shared" si="0"/>
        <v>0</v>
      </c>
    </row>
    <row r="23" spans="1:6">
      <c r="A23" s="21" t="s">
        <v>20</v>
      </c>
      <c r="B23" s="31" t="s">
        <v>35</v>
      </c>
      <c r="C23" s="233">
        <f>'Shenimet shpjeguese'!A47</f>
        <v>4</v>
      </c>
      <c r="D23" s="284">
        <f>'Shenimet shpjeguese'!G55</f>
        <v>0</v>
      </c>
      <c r="E23" s="354">
        <v>0</v>
      </c>
      <c r="F23" s="284">
        <f t="shared" si="0"/>
        <v>0</v>
      </c>
    </row>
    <row r="24" spans="1:6">
      <c r="A24" s="21" t="s">
        <v>20</v>
      </c>
      <c r="B24" s="31" t="s">
        <v>36</v>
      </c>
      <c r="C24" s="233">
        <f>'Shenimet shpjeguese'!A47</f>
        <v>4</v>
      </c>
      <c r="D24" s="285">
        <f>'Shenimet shpjeguese'!G56</f>
        <v>4390000</v>
      </c>
      <c r="E24" s="355">
        <v>0</v>
      </c>
      <c r="F24" s="285">
        <f t="shared" si="0"/>
        <v>4390000</v>
      </c>
    </row>
    <row r="25" spans="1:6">
      <c r="A25" s="22">
        <v>5</v>
      </c>
      <c r="B25" s="32" t="s">
        <v>37</v>
      </c>
      <c r="C25" s="232"/>
      <c r="D25" s="282"/>
      <c r="E25" s="352"/>
      <c r="F25" s="282">
        <f t="shared" si="0"/>
        <v>0</v>
      </c>
    </row>
    <row r="26" spans="1:6">
      <c r="A26" s="22">
        <v>6</v>
      </c>
      <c r="B26" s="32" t="s">
        <v>38</v>
      </c>
      <c r="C26" s="232"/>
      <c r="D26" s="282"/>
      <c r="E26" s="352"/>
      <c r="F26" s="282">
        <f t="shared" si="0"/>
        <v>0</v>
      </c>
    </row>
    <row r="27" spans="1:6">
      <c r="A27" s="22">
        <v>7</v>
      </c>
      <c r="B27" s="32" t="s">
        <v>39</v>
      </c>
      <c r="C27" s="232"/>
      <c r="D27" s="282"/>
      <c r="E27" s="352"/>
      <c r="F27" s="282">
        <f t="shared" si="0"/>
        <v>0</v>
      </c>
    </row>
    <row r="28" spans="1:6">
      <c r="A28" s="17"/>
      <c r="B28" s="30" t="s">
        <v>40</v>
      </c>
      <c r="C28" s="218"/>
      <c r="D28" s="289">
        <f>D8+D11+D14+D19+D25+D26+D27</f>
        <v>256279025</v>
      </c>
      <c r="E28" s="357">
        <f>E8+E11+E14+E19+E25+E26+E27</f>
        <v>176718733</v>
      </c>
      <c r="F28" s="288">
        <f t="shared" si="0"/>
        <v>79560292</v>
      </c>
    </row>
    <row r="29" spans="1:6">
      <c r="A29" s="16" t="s">
        <v>41</v>
      </c>
      <c r="B29" s="32" t="s">
        <v>42</v>
      </c>
      <c r="C29" s="232"/>
      <c r="D29" s="285"/>
      <c r="E29" s="355"/>
      <c r="F29" s="282"/>
    </row>
    <row r="30" spans="1:6">
      <c r="A30" s="22">
        <v>1</v>
      </c>
      <c r="B30" s="32" t="s">
        <v>43</v>
      </c>
      <c r="C30" s="232"/>
      <c r="D30" s="286">
        <f>SUM(D31:D34)</f>
        <v>0</v>
      </c>
      <c r="E30" s="356">
        <v>0</v>
      </c>
      <c r="F30" s="282">
        <f t="shared" si="0"/>
        <v>0</v>
      </c>
    </row>
    <row r="31" spans="1:6">
      <c r="A31" s="21" t="s">
        <v>20</v>
      </c>
      <c r="B31" s="31" t="s">
        <v>97</v>
      </c>
      <c r="C31" s="233"/>
      <c r="D31" s="285"/>
      <c r="E31" s="355"/>
      <c r="F31" s="290">
        <f t="shared" si="0"/>
        <v>0</v>
      </c>
    </row>
    <row r="32" spans="1:6">
      <c r="A32" s="21" t="s">
        <v>20</v>
      </c>
      <c r="B32" s="31" t="s">
        <v>44</v>
      </c>
      <c r="C32" s="233"/>
      <c r="D32" s="285"/>
      <c r="E32" s="355"/>
      <c r="F32" s="290">
        <f t="shared" si="0"/>
        <v>0</v>
      </c>
    </row>
    <row r="33" spans="1:6">
      <c r="A33" s="21" t="s">
        <v>20</v>
      </c>
      <c r="B33" s="31" t="s">
        <v>45</v>
      </c>
      <c r="C33" s="233"/>
      <c r="D33" s="285"/>
      <c r="E33" s="355"/>
      <c r="F33" s="290">
        <f t="shared" si="0"/>
        <v>0</v>
      </c>
    </row>
    <row r="34" spans="1:6">
      <c r="A34" s="21" t="s">
        <v>20</v>
      </c>
      <c r="B34" s="31" t="s">
        <v>46</v>
      </c>
      <c r="C34" s="233"/>
      <c r="D34" s="285"/>
      <c r="E34" s="355"/>
      <c r="F34" s="290">
        <f t="shared" si="0"/>
        <v>0</v>
      </c>
    </row>
    <row r="35" spans="1:6">
      <c r="A35" s="22">
        <v>2</v>
      </c>
      <c r="B35" s="32" t="s">
        <v>47</v>
      </c>
      <c r="C35" s="232"/>
      <c r="D35" s="286">
        <f>SUM(D36:D39)</f>
        <v>174480891.01666668</v>
      </c>
      <c r="E35" s="356">
        <f>SUM(E36:E39)</f>
        <v>182975182</v>
      </c>
      <c r="F35" s="282">
        <f t="shared" si="0"/>
        <v>-8494290.9833333194</v>
      </c>
    </row>
    <row r="36" spans="1:6">
      <c r="A36" s="21" t="s">
        <v>20</v>
      </c>
      <c r="B36" s="31" t="s">
        <v>48</v>
      </c>
      <c r="C36" s="233">
        <f>'Shenimet shpjeguese'!A61</f>
        <v>5</v>
      </c>
      <c r="D36" s="285">
        <f>'Shenimet shpjeguese'!G67</f>
        <v>0</v>
      </c>
      <c r="E36" s="355">
        <v>0</v>
      </c>
      <c r="F36" s="290">
        <f t="shared" si="0"/>
        <v>0</v>
      </c>
    </row>
    <row r="37" spans="1:6">
      <c r="A37" s="21" t="s">
        <v>20</v>
      </c>
      <c r="B37" s="31" t="s">
        <v>49</v>
      </c>
      <c r="C37" s="233">
        <f>'Shenimet shpjeguese'!A61</f>
        <v>5</v>
      </c>
      <c r="D37" s="285">
        <f>AAM!G42</f>
        <v>144370020.55000001</v>
      </c>
      <c r="E37" s="355">
        <v>147935004</v>
      </c>
      <c r="F37" s="290">
        <f t="shared" si="0"/>
        <v>-3564983.4499999881</v>
      </c>
    </row>
    <row r="38" spans="1:6">
      <c r="A38" s="21" t="s">
        <v>20</v>
      </c>
      <c r="B38" s="31" t="s">
        <v>50</v>
      </c>
      <c r="C38" s="233">
        <f>'Shenimet shpjeguese'!A61</f>
        <v>5</v>
      </c>
      <c r="D38" s="285">
        <f>AAM!G43</f>
        <v>24409883.416666668</v>
      </c>
      <c r="E38" s="355">
        <v>27908374</v>
      </c>
      <c r="F38" s="290">
        <f t="shared" si="0"/>
        <v>-3498490.5833333321</v>
      </c>
    </row>
    <row r="39" spans="1:6">
      <c r="A39" s="21" t="s">
        <v>20</v>
      </c>
      <c r="B39" s="31" t="s">
        <v>51</v>
      </c>
      <c r="C39" s="233">
        <f>'Shenimet shpjeguese'!A61</f>
        <v>5</v>
      </c>
      <c r="D39" s="291">
        <f>AAM!G44+AAM!G45+AAM!G46</f>
        <v>5700987.0499999998</v>
      </c>
      <c r="E39" s="358">
        <v>7131804</v>
      </c>
      <c r="F39" s="290">
        <f t="shared" si="0"/>
        <v>-1430816.9500000002</v>
      </c>
    </row>
    <row r="40" spans="1:6">
      <c r="A40" s="22">
        <v>3</v>
      </c>
      <c r="B40" s="32" t="s">
        <v>52</v>
      </c>
      <c r="C40" s="232"/>
      <c r="D40" s="282"/>
      <c r="E40" s="352"/>
      <c r="F40" s="282">
        <f t="shared" si="0"/>
        <v>0</v>
      </c>
    </row>
    <row r="41" spans="1:6">
      <c r="A41" s="22">
        <v>4</v>
      </c>
      <c r="B41" s="32" t="s">
        <v>53</v>
      </c>
      <c r="C41" s="232"/>
      <c r="D41" s="286">
        <f>SUM(D42:D44)</f>
        <v>0</v>
      </c>
      <c r="E41" s="356">
        <v>0</v>
      </c>
      <c r="F41" s="282">
        <f t="shared" si="0"/>
        <v>0</v>
      </c>
    </row>
    <row r="42" spans="1:6">
      <c r="A42" s="21" t="s">
        <v>20</v>
      </c>
      <c r="B42" s="31" t="s">
        <v>54</v>
      </c>
      <c r="C42" s="233"/>
      <c r="D42" s="285"/>
      <c r="E42" s="355"/>
      <c r="F42" s="290">
        <f t="shared" si="0"/>
        <v>0</v>
      </c>
    </row>
    <row r="43" spans="1:6">
      <c r="A43" s="21" t="s">
        <v>20</v>
      </c>
      <c r="B43" s="31" t="s">
        <v>55</v>
      </c>
      <c r="C43" s="233"/>
      <c r="D43" s="285">
        <f>AAM!G41</f>
        <v>0</v>
      </c>
      <c r="E43" s="355">
        <v>0</v>
      </c>
      <c r="F43" s="290">
        <f t="shared" si="0"/>
        <v>0</v>
      </c>
    </row>
    <row r="44" spans="1:6">
      <c r="A44" s="21" t="s">
        <v>20</v>
      </c>
      <c r="B44" s="31" t="s">
        <v>56</v>
      </c>
      <c r="C44" s="233"/>
      <c r="D44" s="285"/>
      <c r="E44" s="355"/>
      <c r="F44" s="290">
        <f t="shared" si="0"/>
        <v>0</v>
      </c>
    </row>
    <row r="45" spans="1:6">
      <c r="A45" s="22">
        <v>5</v>
      </c>
      <c r="B45" s="32" t="s">
        <v>57</v>
      </c>
      <c r="C45" s="232"/>
      <c r="D45" s="282"/>
      <c r="E45" s="352"/>
      <c r="F45" s="282">
        <f t="shared" si="0"/>
        <v>0</v>
      </c>
    </row>
    <row r="46" spans="1:6">
      <c r="A46" s="22">
        <v>6</v>
      </c>
      <c r="B46" s="32" t="s">
        <v>58</v>
      </c>
      <c r="C46" s="232"/>
      <c r="D46" s="282"/>
      <c r="E46" s="352"/>
      <c r="F46" s="282">
        <f t="shared" si="0"/>
        <v>0</v>
      </c>
    </row>
    <row r="47" spans="1:6">
      <c r="A47" s="17"/>
      <c r="B47" s="30" t="s">
        <v>59</v>
      </c>
      <c r="C47" s="218"/>
      <c r="D47" s="289">
        <f>D30+D35+D40+D41+D45+D46</f>
        <v>174480891.01666668</v>
      </c>
      <c r="E47" s="357">
        <f>E30+E35+E40+E41+E45+E46</f>
        <v>182975182</v>
      </c>
      <c r="F47" s="288">
        <f t="shared" si="0"/>
        <v>-8494290.9833333194</v>
      </c>
    </row>
    <row r="48" spans="1:6">
      <c r="A48" s="18"/>
      <c r="B48" s="18" t="s">
        <v>100</v>
      </c>
      <c r="C48" s="235"/>
      <c r="D48" s="286">
        <f>D28+D47</f>
        <v>430759916.01666665</v>
      </c>
      <c r="E48" s="356">
        <f>E28+E47</f>
        <v>359693915</v>
      </c>
      <c r="F48" s="282">
        <f t="shared" si="0"/>
        <v>71066001.016666651</v>
      </c>
    </row>
    <row r="49" spans="5:5">
      <c r="E49" s="302">
        <f>E48-Pasivi!E44</f>
        <v>0</v>
      </c>
    </row>
    <row r="50" spans="5:5">
      <c r="E50" s="47" t="str">
        <f>Kopertina!C43</f>
        <v>Administratori i shoqerise</v>
      </c>
    </row>
    <row r="51" spans="5:5">
      <c r="E51" s="48" t="str">
        <f>Kopertina!C45</f>
        <v>DRITAN KOLA</v>
      </c>
    </row>
  </sheetData>
  <protectedRanges>
    <protectedRange sqref="E9:E10 E12:E13 E15:E18 E20:E27 E31:E34 E42:E46 E36:E40" name="Range1_5"/>
  </protectedRanges>
  <mergeCells count="2">
    <mergeCell ref="A6:B6"/>
    <mergeCell ref="B3:E3"/>
  </mergeCells>
  <phoneticPr fontId="0" type="noConversion"/>
  <pageMargins left="0.63" right="0.32" top="0.55000000000000004" bottom="0.55000000000000004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topLeftCell="A34" workbookViewId="0">
      <selection activeCell="D44" sqref="D44"/>
    </sheetView>
  </sheetViews>
  <sheetFormatPr defaultRowHeight="14.4"/>
  <cols>
    <col min="1" max="1" width="2.77734375" bestFit="1" customWidth="1"/>
    <col min="2" max="2" width="36.88671875" customWidth="1"/>
    <col min="3" max="3" width="7.77734375" bestFit="1" customWidth="1"/>
    <col min="4" max="5" width="14.6640625" customWidth="1"/>
    <col min="6" max="6" width="16.44140625" customWidth="1"/>
    <col min="8" max="8" width="12" bestFit="1" customWidth="1"/>
  </cols>
  <sheetData>
    <row r="1" spans="1:6">
      <c r="B1" t="str">
        <f>Kopertina!C4</f>
        <v>SHOQERIA "EKSPRES- BETON LEZHE "SHPK</v>
      </c>
    </row>
    <row r="2" spans="1:6">
      <c r="B2" t="str">
        <f>Kopertina!C5</f>
        <v>NIPT: K58515501V</v>
      </c>
    </row>
    <row r="3" spans="1:6">
      <c r="B3" s="386" t="s">
        <v>130</v>
      </c>
      <c r="C3" s="386"/>
      <c r="D3" s="386"/>
      <c r="E3" s="386"/>
    </row>
    <row r="4" spans="1:6">
      <c r="B4" s="51" t="str">
        <f>Kopertina!B32</f>
        <v xml:space="preserve">Periudha Kontabël: </v>
      </c>
      <c r="C4" s="52" t="str">
        <f>Kopertina!C32</f>
        <v>01/01/2012 - 31/12/2012</v>
      </c>
    </row>
    <row r="5" spans="1:6">
      <c r="E5" s="33" t="s">
        <v>12</v>
      </c>
    </row>
    <row r="6" spans="1:6" ht="26.4">
      <c r="A6" s="387" t="s">
        <v>96</v>
      </c>
      <c r="B6" s="388"/>
      <c r="C6" s="35" t="s">
        <v>102</v>
      </c>
      <c r="D6" s="25" t="s">
        <v>13</v>
      </c>
      <c r="E6" s="25" t="s">
        <v>14</v>
      </c>
      <c r="F6" s="34" t="s">
        <v>15</v>
      </c>
    </row>
    <row r="7" spans="1:6">
      <c r="A7" s="26" t="s">
        <v>17</v>
      </c>
      <c r="B7" s="32" t="s">
        <v>60</v>
      </c>
      <c r="C7" s="232"/>
      <c r="D7" s="277"/>
      <c r="E7" s="362"/>
      <c r="F7" s="277"/>
    </row>
    <row r="8" spans="1:6">
      <c r="A8" s="27">
        <v>1</v>
      </c>
      <c r="B8" s="32" t="s">
        <v>61</v>
      </c>
      <c r="C8" s="232"/>
      <c r="D8" s="278"/>
      <c r="E8" s="363"/>
      <c r="F8" s="277">
        <f>D8-E8</f>
        <v>0</v>
      </c>
    </row>
    <row r="9" spans="1:6">
      <c r="A9" s="27">
        <v>2</v>
      </c>
      <c r="B9" s="32" t="s">
        <v>62</v>
      </c>
      <c r="C9" s="232"/>
      <c r="D9" s="277">
        <f>SUM(D10:D12)</f>
        <v>0</v>
      </c>
      <c r="E9" s="362">
        <v>0</v>
      </c>
      <c r="F9" s="277">
        <f t="shared" ref="F9:F44" si="0">D9-E9</f>
        <v>0</v>
      </c>
    </row>
    <row r="10" spans="1:6">
      <c r="A10" s="21" t="s">
        <v>20</v>
      </c>
      <c r="B10" s="31" t="s">
        <v>63</v>
      </c>
      <c r="C10" s="233">
        <f>'Shenimet shpjeguese'!A90</f>
        <v>6</v>
      </c>
      <c r="D10" s="274">
        <f>'Shenimet shpjeguese'!G96</f>
        <v>0</v>
      </c>
      <c r="E10" s="359">
        <v>0</v>
      </c>
      <c r="F10" s="274">
        <f t="shared" si="0"/>
        <v>0</v>
      </c>
    </row>
    <row r="11" spans="1:6">
      <c r="A11" s="21" t="s">
        <v>20</v>
      </c>
      <c r="B11" s="31" t="s">
        <v>64</v>
      </c>
      <c r="C11" s="233">
        <f>'Shenimet shpjeguese'!A90</f>
        <v>6</v>
      </c>
      <c r="D11" s="274">
        <v>0</v>
      </c>
      <c r="E11" s="359">
        <v>0</v>
      </c>
      <c r="F11" s="274">
        <f t="shared" si="0"/>
        <v>0</v>
      </c>
    </row>
    <row r="12" spans="1:6">
      <c r="A12" s="21" t="s">
        <v>20</v>
      </c>
      <c r="B12" s="31" t="s">
        <v>65</v>
      </c>
      <c r="C12" s="233"/>
      <c r="D12" s="274"/>
      <c r="E12" s="359"/>
      <c r="F12" s="274">
        <f t="shared" si="0"/>
        <v>0</v>
      </c>
    </row>
    <row r="13" spans="1:6">
      <c r="A13" s="27">
        <v>3</v>
      </c>
      <c r="B13" s="32" t="s">
        <v>66</v>
      </c>
      <c r="C13" s="232"/>
      <c r="D13" s="277">
        <f>SUM(D14:D18)</f>
        <v>304182682.50166667</v>
      </c>
      <c r="E13" s="362">
        <f>SUM(E14:E18)</f>
        <v>247383654</v>
      </c>
      <c r="F13" s="277">
        <f t="shared" si="0"/>
        <v>56799028.501666665</v>
      </c>
    </row>
    <row r="14" spans="1:6">
      <c r="A14" s="21" t="s">
        <v>20</v>
      </c>
      <c r="B14" s="31" t="s">
        <v>67</v>
      </c>
      <c r="C14" s="233">
        <f>'Shenimet shpjeguese'!A101</f>
        <v>7</v>
      </c>
      <c r="D14" s="274">
        <f>'Shenimet shpjeguese'!G107</f>
        <v>212746717</v>
      </c>
      <c r="E14" s="359">
        <v>196443195</v>
      </c>
      <c r="F14" s="274">
        <f t="shared" si="0"/>
        <v>16303522</v>
      </c>
    </row>
    <row r="15" spans="1:6">
      <c r="A15" s="21" t="s">
        <v>20</v>
      </c>
      <c r="B15" s="31" t="s">
        <v>68</v>
      </c>
      <c r="C15" s="233">
        <f>'Shenimet shpjeguese'!A110</f>
        <v>8</v>
      </c>
      <c r="D15" s="274">
        <f>'Shenimet shpjeguese'!G116</f>
        <v>12242712</v>
      </c>
      <c r="E15" s="359">
        <v>9760281</v>
      </c>
      <c r="F15" s="274">
        <f t="shared" si="0"/>
        <v>2482431</v>
      </c>
    </row>
    <row r="16" spans="1:6">
      <c r="A16" s="21" t="s">
        <v>20</v>
      </c>
      <c r="B16" s="31" t="s">
        <v>69</v>
      </c>
      <c r="C16" s="233">
        <f>'Shenimet shpjeguese'!A118</f>
        <v>9</v>
      </c>
      <c r="D16" s="274">
        <f>'Shenimet shpjeguese'!G129</f>
        <v>585570.50166666508</v>
      </c>
      <c r="E16" s="359">
        <v>699007</v>
      </c>
      <c r="F16" s="274">
        <f t="shared" si="0"/>
        <v>-113436.49833333492</v>
      </c>
    </row>
    <row r="17" spans="1:8">
      <c r="A17" s="21" t="s">
        <v>20</v>
      </c>
      <c r="B17" s="31" t="s">
        <v>70</v>
      </c>
      <c r="C17" s="233">
        <f>'Shenimet shpjeguese'!A131</f>
        <v>10</v>
      </c>
      <c r="D17" s="274">
        <f>'Shenimet shpjeguese'!G137</f>
        <v>65317746</v>
      </c>
      <c r="E17" s="359">
        <v>40481171</v>
      </c>
      <c r="F17" s="274">
        <f t="shared" si="0"/>
        <v>24836575</v>
      </c>
    </row>
    <row r="18" spans="1:8">
      <c r="A18" s="21" t="s">
        <v>20</v>
      </c>
      <c r="B18" s="31" t="s">
        <v>71</v>
      </c>
      <c r="C18" s="233">
        <f>'Shenimet shpjeguese'!A139</f>
        <v>11</v>
      </c>
      <c r="D18" s="274">
        <f>'Shenimet shpjeguese'!G145</f>
        <v>13289937</v>
      </c>
      <c r="E18" s="359">
        <v>0</v>
      </c>
      <c r="F18" s="274">
        <f t="shared" si="0"/>
        <v>13289937</v>
      </c>
    </row>
    <row r="19" spans="1:8">
      <c r="A19" s="27">
        <v>4</v>
      </c>
      <c r="B19" s="32" t="s">
        <v>72</v>
      </c>
      <c r="C19" s="232"/>
      <c r="D19" s="275"/>
      <c r="E19" s="360"/>
      <c r="F19" s="277">
        <f t="shared" si="0"/>
        <v>0</v>
      </c>
    </row>
    <row r="20" spans="1:8">
      <c r="A20" s="27">
        <v>5</v>
      </c>
      <c r="B20" s="32" t="s">
        <v>73</v>
      </c>
      <c r="C20" s="232"/>
      <c r="D20" s="275"/>
      <c r="E20" s="360"/>
      <c r="F20" s="277">
        <f t="shared" si="0"/>
        <v>0</v>
      </c>
    </row>
    <row r="21" spans="1:8">
      <c r="A21" s="24"/>
      <c r="B21" s="30" t="s">
        <v>74</v>
      </c>
      <c r="C21" s="218"/>
      <c r="D21" s="276">
        <f>D8+D9+D13+D19+D20</f>
        <v>304182682.50166667</v>
      </c>
      <c r="E21" s="361">
        <f>E8+E9+E13+E19+E20</f>
        <v>247383654</v>
      </c>
      <c r="F21" s="279">
        <f t="shared" si="0"/>
        <v>56799028.501666665</v>
      </c>
    </row>
    <row r="22" spans="1:8">
      <c r="A22" s="23" t="s">
        <v>41</v>
      </c>
      <c r="B22" s="32" t="s">
        <v>75</v>
      </c>
      <c r="C22" s="232"/>
      <c r="D22" s="274"/>
      <c r="E22" s="359"/>
      <c r="F22" s="277"/>
    </row>
    <row r="23" spans="1:8">
      <c r="A23" s="27">
        <v>1</v>
      </c>
      <c r="B23" s="32" t="s">
        <v>76</v>
      </c>
      <c r="C23" s="232"/>
      <c r="D23" s="277">
        <f>SUM(D24:D25)</f>
        <v>83192355</v>
      </c>
      <c r="E23" s="362">
        <f>SUM(E24:E25)</f>
        <v>106885905</v>
      </c>
      <c r="F23" s="277">
        <f t="shared" si="0"/>
        <v>-23693550</v>
      </c>
      <c r="H23" s="302"/>
    </row>
    <row r="24" spans="1:8">
      <c r="A24" s="21" t="s">
        <v>20</v>
      </c>
      <c r="B24" s="31" t="s">
        <v>98</v>
      </c>
      <c r="C24" s="233">
        <f>'Shenimet shpjeguese'!A146</f>
        <v>12</v>
      </c>
      <c r="D24" s="274">
        <f>'Shenimet shpjeguese'!G155</f>
        <v>83192355</v>
      </c>
      <c r="E24" s="359">
        <v>106885905</v>
      </c>
      <c r="F24" s="274">
        <f t="shared" si="0"/>
        <v>-23693550</v>
      </c>
    </row>
    <row r="25" spans="1:8">
      <c r="A25" s="21" t="s">
        <v>20</v>
      </c>
      <c r="B25" s="31" t="s">
        <v>77</v>
      </c>
      <c r="C25" s="233"/>
      <c r="D25" s="274"/>
      <c r="E25" s="359"/>
      <c r="F25" s="274">
        <f t="shared" si="0"/>
        <v>0</v>
      </c>
    </row>
    <row r="26" spans="1:8">
      <c r="A26" s="27">
        <v>2</v>
      </c>
      <c r="B26" s="32" t="s">
        <v>78</v>
      </c>
      <c r="C26" s="232"/>
      <c r="D26" s="278"/>
      <c r="E26" s="363"/>
      <c r="F26" s="277">
        <f t="shared" si="0"/>
        <v>0</v>
      </c>
    </row>
    <row r="27" spans="1:8">
      <c r="A27" s="27">
        <v>3</v>
      </c>
      <c r="B27" s="32" t="s">
        <v>79</v>
      </c>
      <c r="C27" s="232"/>
      <c r="D27" s="278"/>
      <c r="E27" s="363"/>
      <c r="F27" s="277">
        <f t="shared" si="0"/>
        <v>0</v>
      </c>
    </row>
    <row r="28" spans="1:8">
      <c r="A28" s="27">
        <v>4</v>
      </c>
      <c r="B28" s="32" t="s">
        <v>80</v>
      </c>
      <c r="C28" s="232"/>
      <c r="D28" s="278"/>
      <c r="E28" s="363"/>
      <c r="F28" s="277">
        <f t="shared" si="0"/>
        <v>0</v>
      </c>
    </row>
    <row r="29" spans="1:8">
      <c r="A29" s="24"/>
      <c r="B29" s="30" t="s">
        <v>81</v>
      </c>
      <c r="C29" s="218"/>
      <c r="D29" s="276">
        <f>D23+D26+D27+D28</f>
        <v>83192355</v>
      </c>
      <c r="E29" s="361">
        <f>E23+E26+E27+E28</f>
        <v>106885905</v>
      </c>
      <c r="F29" s="279">
        <f t="shared" si="0"/>
        <v>-23693550</v>
      </c>
    </row>
    <row r="30" spans="1:8">
      <c r="A30" s="24"/>
      <c r="B30" s="30" t="s">
        <v>82</v>
      </c>
      <c r="C30" s="218"/>
      <c r="D30" s="279">
        <f>D29+D21</f>
        <v>387375037.50166667</v>
      </c>
      <c r="E30" s="364">
        <f>E29+E21</f>
        <v>354269559</v>
      </c>
      <c r="F30" s="279">
        <f t="shared" si="0"/>
        <v>33105478.501666665</v>
      </c>
    </row>
    <row r="31" spans="1:8">
      <c r="A31" s="23" t="s">
        <v>101</v>
      </c>
      <c r="B31" s="32" t="s">
        <v>83</v>
      </c>
      <c r="C31" s="232"/>
      <c r="D31" s="274"/>
      <c r="E31" s="359"/>
      <c r="F31" s="277"/>
    </row>
    <row r="32" spans="1:8">
      <c r="A32" s="27">
        <v>1</v>
      </c>
      <c r="B32" s="32" t="s">
        <v>84</v>
      </c>
      <c r="C32" s="232"/>
      <c r="D32" s="278"/>
      <c r="E32" s="363"/>
      <c r="F32" s="277">
        <f t="shared" si="0"/>
        <v>0</v>
      </c>
    </row>
    <row r="33" spans="1:6">
      <c r="A33" s="27">
        <v>2</v>
      </c>
      <c r="B33" s="32" t="s">
        <v>85</v>
      </c>
      <c r="C33" s="232"/>
      <c r="D33" s="278"/>
      <c r="E33" s="363"/>
      <c r="F33" s="277">
        <f t="shared" si="0"/>
        <v>0</v>
      </c>
    </row>
    <row r="34" spans="1:6">
      <c r="A34" s="27">
        <v>3</v>
      </c>
      <c r="B34" s="32" t="s">
        <v>86</v>
      </c>
      <c r="C34" s="232"/>
      <c r="D34" s="278">
        <f>Kap_veta!B22</f>
        <v>18580000</v>
      </c>
      <c r="E34" s="363">
        <v>15456000</v>
      </c>
      <c r="F34" s="277">
        <f t="shared" si="0"/>
        <v>3124000</v>
      </c>
    </row>
    <row r="35" spans="1:6">
      <c r="A35" s="27">
        <v>4</v>
      </c>
      <c r="B35" s="32" t="s">
        <v>87</v>
      </c>
      <c r="C35" s="232"/>
      <c r="D35" s="278"/>
      <c r="E35" s="363"/>
      <c r="F35" s="277">
        <f t="shared" si="0"/>
        <v>0</v>
      </c>
    </row>
    <row r="36" spans="1:6">
      <c r="A36" s="27">
        <v>5</v>
      </c>
      <c r="B36" s="32" t="s">
        <v>88</v>
      </c>
      <c r="C36" s="232"/>
      <c r="D36" s="278"/>
      <c r="E36" s="363"/>
      <c r="F36" s="277">
        <f t="shared" si="0"/>
        <v>0</v>
      </c>
    </row>
    <row r="37" spans="1:6">
      <c r="A37" s="27">
        <v>6</v>
      </c>
      <c r="B37" s="32" t="s">
        <v>89</v>
      </c>
      <c r="C37" s="232"/>
      <c r="D37" s="277">
        <f>SUM(D38:D40)</f>
        <v>548</v>
      </c>
      <c r="E37" s="362">
        <v>356</v>
      </c>
      <c r="F37" s="277">
        <f t="shared" si="0"/>
        <v>192</v>
      </c>
    </row>
    <row r="38" spans="1:6">
      <c r="A38" s="21" t="s">
        <v>20</v>
      </c>
      <c r="B38" s="31" t="s">
        <v>90</v>
      </c>
      <c r="C38" s="233"/>
      <c r="D38" s="280">
        <f>Kap_veta!E22</f>
        <v>548</v>
      </c>
      <c r="E38" s="365">
        <v>356</v>
      </c>
      <c r="F38" s="274">
        <f t="shared" si="0"/>
        <v>192</v>
      </c>
    </row>
    <row r="39" spans="1:6">
      <c r="A39" s="21" t="s">
        <v>20</v>
      </c>
      <c r="B39" s="31" t="s">
        <v>91</v>
      </c>
      <c r="C39" s="233"/>
      <c r="D39" s="280">
        <f>Kap_veta!E13</f>
        <v>0</v>
      </c>
      <c r="E39" s="365"/>
      <c r="F39" s="274">
        <f t="shared" si="0"/>
        <v>0</v>
      </c>
    </row>
    <row r="40" spans="1:6">
      <c r="A40" s="21" t="s">
        <v>20</v>
      </c>
      <c r="B40" s="31" t="s">
        <v>92</v>
      </c>
      <c r="C40" s="233"/>
      <c r="D40" s="280"/>
      <c r="E40" s="365"/>
      <c r="F40" s="274">
        <f t="shared" si="0"/>
        <v>0</v>
      </c>
    </row>
    <row r="41" spans="1:6">
      <c r="A41" s="27">
        <v>7</v>
      </c>
      <c r="B41" s="32" t="s">
        <v>93</v>
      </c>
      <c r="C41" s="232"/>
      <c r="D41" s="278">
        <f>E41</f>
        <v>-13156192</v>
      </c>
      <c r="E41" s="363">
        <v>-13156192</v>
      </c>
      <c r="F41" s="277">
        <f t="shared" si="0"/>
        <v>0</v>
      </c>
    </row>
    <row r="42" spans="1:6">
      <c r="A42" s="27">
        <v>8</v>
      </c>
      <c r="B42" s="32" t="s">
        <v>94</v>
      </c>
      <c r="C42" s="232"/>
      <c r="D42" s="278">
        <f>'Ardhura-Shpenzime'!D34</f>
        <v>37960522.515000001</v>
      </c>
      <c r="E42" s="363">
        <v>3124192</v>
      </c>
      <c r="F42" s="277">
        <f t="shared" si="0"/>
        <v>34836330.515000001</v>
      </c>
    </row>
    <row r="43" spans="1:6">
      <c r="A43" s="24"/>
      <c r="B43" s="30" t="s">
        <v>95</v>
      </c>
      <c r="C43" s="218"/>
      <c r="D43" s="281">
        <f>D32+D33+D34+D35+D36+D37+D41+D42</f>
        <v>43384878.515000001</v>
      </c>
      <c r="E43" s="366">
        <f>E32+E33+E34+E35+E36+E37+E41+E42</f>
        <v>5424356</v>
      </c>
      <c r="F43" s="279">
        <f>D43-E43-1</f>
        <v>37960521.515000001</v>
      </c>
    </row>
    <row r="44" spans="1:6">
      <c r="A44" s="23"/>
      <c r="B44" s="28" t="s">
        <v>99</v>
      </c>
      <c r="C44" s="234"/>
      <c r="D44" s="278">
        <f>D30+D43</f>
        <v>430759916.01666665</v>
      </c>
      <c r="E44" s="363">
        <f>E30+E43</f>
        <v>359693915</v>
      </c>
      <c r="F44" s="277">
        <f t="shared" si="0"/>
        <v>71066001.016666651</v>
      </c>
    </row>
    <row r="45" spans="1:6">
      <c r="D45" s="380">
        <f>Aktivi!D48-Pasivi!D44</f>
        <v>0</v>
      </c>
    </row>
    <row r="46" spans="1:6">
      <c r="E46" s="47" t="str">
        <f>Kopertina!C43</f>
        <v>Administratori i shoqerise</v>
      </c>
    </row>
    <row r="47" spans="1:6">
      <c r="E47" s="48" t="str">
        <f>Kopertina!C45</f>
        <v>DRITAN KOLA</v>
      </c>
    </row>
  </sheetData>
  <protectedRanges>
    <protectedRange sqref="D8:E8 D14:E20 D24:E28 D32:E36 D10:E12 D38:E42" name="Range1"/>
  </protectedRanges>
  <mergeCells count="2">
    <mergeCell ref="A6:B6"/>
    <mergeCell ref="B3:E3"/>
  </mergeCells>
  <phoneticPr fontId="0" type="noConversion"/>
  <pageMargins left="0.70866141732283472" right="0.59055118110236227" top="0.74803149606299213" bottom="0.74803149606299213" header="0.31496062992125984" footer="0.31496062992125984"/>
  <pageSetup paperSize="9" scale="95" orientation="portrait" r:id="rId1"/>
  <ignoredErrors>
    <ignoredError sqref="D37 D13 D21:D22 D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topLeftCell="A10" workbookViewId="0">
      <selection activeCell="E34" sqref="E34"/>
    </sheetView>
  </sheetViews>
  <sheetFormatPr defaultRowHeight="14.4"/>
  <cols>
    <col min="1" max="1" width="2.77734375" customWidth="1"/>
    <col min="2" max="2" width="39.6640625" customWidth="1"/>
    <col min="3" max="3" width="6.88671875" customWidth="1"/>
    <col min="4" max="6" width="14.6640625" customWidth="1"/>
  </cols>
  <sheetData>
    <row r="1" spans="1:6">
      <c r="B1" t="str">
        <f>Kopertina!C4</f>
        <v>SHOQERIA "EKSPRES- BETON LEZHE "SHPK</v>
      </c>
      <c r="D1" s="37"/>
      <c r="E1" s="37"/>
      <c r="F1" s="37"/>
    </row>
    <row r="2" spans="1:6">
      <c r="B2" t="str">
        <f>Kopertina!C5</f>
        <v>NIPT: K58515501V</v>
      </c>
      <c r="D2" s="37"/>
      <c r="E2" s="37"/>
      <c r="F2" s="37"/>
    </row>
    <row r="3" spans="1:6">
      <c r="B3" s="389" t="s">
        <v>131</v>
      </c>
      <c r="C3" s="389"/>
      <c r="D3" s="389"/>
      <c r="E3" s="389"/>
      <c r="F3" s="37"/>
    </row>
    <row r="4" spans="1:6">
      <c r="A4" s="36"/>
      <c r="B4" s="51" t="str">
        <f>Kopertina!B32</f>
        <v xml:space="preserve">Periudha Kontabël: </v>
      </c>
      <c r="C4" s="52" t="str">
        <f>Kopertina!C32</f>
        <v>01/01/2012 - 31/12/2012</v>
      </c>
      <c r="E4" s="38"/>
      <c r="F4" s="37"/>
    </row>
    <row r="5" spans="1:6">
      <c r="A5" s="36"/>
      <c r="B5" s="36"/>
      <c r="C5" s="36"/>
      <c r="D5" s="37"/>
      <c r="E5" s="33" t="s">
        <v>12</v>
      </c>
      <c r="F5" s="37"/>
    </row>
    <row r="6" spans="1:6">
      <c r="A6" s="39" t="s">
        <v>103</v>
      </c>
      <c r="B6" s="59" t="s">
        <v>104</v>
      </c>
      <c r="C6" s="60" t="s">
        <v>102</v>
      </c>
      <c r="D6" s="40" t="s">
        <v>105</v>
      </c>
      <c r="E6" s="40" t="s">
        <v>106</v>
      </c>
      <c r="F6" s="41" t="s">
        <v>107</v>
      </c>
    </row>
    <row r="7" spans="1:6">
      <c r="A7" s="39">
        <v>1</v>
      </c>
      <c r="B7" s="61" t="s">
        <v>108</v>
      </c>
      <c r="C7" s="227">
        <f>'Shenimet shpjeguese'!A160</f>
        <v>13</v>
      </c>
      <c r="D7" s="292">
        <f>'Shenimet shpjeguese'!G172</f>
        <v>178986736</v>
      </c>
      <c r="E7" s="370">
        <v>106872837</v>
      </c>
      <c r="F7" s="292">
        <f>+D7-E7</f>
        <v>72113899</v>
      </c>
    </row>
    <row r="8" spans="1:6">
      <c r="A8" s="39">
        <v>2</v>
      </c>
      <c r="B8" s="61" t="s">
        <v>109</v>
      </c>
      <c r="C8" s="227">
        <f>'Shenimet shpjeguese'!A174</f>
        <v>14</v>
      </c>
      <c r="D8" s="292">
        <f>'Shenimet shpjeguese'!G182</f>
        <v>0</v>
      </c>
      <c r="E8" s="370">
        <v>615000</v>
      </c>
      <c r="F8" s="292">
        <f>+D8-E8</f>
        <v>-615000</v>
      </c>
    </row>
    <row r="9" spans="1:6">
      <c r="A9" s="39">
        <v>3</v>
      </c>
      <c r="B9" s="61" t="s">
        <v>110</v>
      </c>
      <c r="C9" s="227">
        <f>'Shenimet shpjeguese'!A184</f>
        <v>15</v>
      </c>
      <c r="D9" s="292">
        <f>-'Shenimet shpjeguese'!G192</f>
        <v>0</v>
      </c>
      <c r="E9" s="370">
        <v>0</v>
      </c>
      <c r="F9" s="292">
        <f>+D9-E9</f>
        <v>0</v>
      </c>
    </row>
    <row r="10" spans="1:6">
      <c r="A10" s="39">
        <v>4</v>
      </c>
      <c r="B10" s="62" t="s">
        <v>111</v>
      </c>
      <c r="C10" s="228"/>
      <c r="D10" s="292"/>
      <c r="E10" s="370"/>
      <c r="F10" s="292">
        <f>+D10-E10</f>
        <v>0</v>
      </c>
    </row>
    <row r="11" spans="1:6">
      <c r="A11" s="39"/>
      <c r="B11" s="63" t="s">
        <v>112</v>
      </c>
      <c r="C11" s="229"/>
      <c r="D11" s="273">
        <f>SUM(D7:D10)</f>
        <v>178986736</v>
      </c>
      <c r="E11" s="369">
        <f>SUM(E7:E10)</f>
        <v>107487837</v>
      </c>
      <c r="F11" s="273">
        <f>+D11-E11</f>
        <v>71498899</v>
      </c>
    </row>
    <row r="12" spans="1:6">
      <c r="A12" s="39"/>
      <c r="B12" s="61"/>
      <c r="C12" s="227"/>
      <c r="D12" s="292"/>
      <c r="E12" s="370"/>
      <c r="F12" s="292"/>
    </row>
    <row r="13" spans="1:6">
      <c r="A13" s="39">
        <v>5</v>
      </c>
      <c r="B13" s="61" t="s">
        <v>113</v>
      </c>
      <c r="C13" s="227">
        <f>'Shenimet shpjeguese'!A194</f>
        <v>16</v>
      </c>
      <c r="D13" s="292">
        <f>'Shenimet shpjeguese'!G206</f>
        <v>114553442</v>
      </c>
      <c r="E13" s="370">
        <v>83598380</v>
      </c>
      <c r="F13" s="292">
        <f t="shared" ref="F13:F18" si="0">+D13-E13</f>
        <v>30955062</v>
      </c>
    </row>
    <row r="14" spans="1:6">
      <c r="A14" s="39">
        <v>6</v>
      </c>
      <c r="B14" s="61" t="s">
        <v>114</v>
      </c>
      <c r="C14" s="227">
        <f>'Shenimet shpjeguese'!A208</f>
        <v>17</v>
      </c>
      <c r="D14" s="292">
        <f>'Shenimet shpjeguese'!G229</f>
        <v>1517373</v>
      </c>
      <c r="E14" s="370">
        <v>968854</v>
      </c>
      <c r="F14" s="292">
        <f t="shared" si="0"/>
        <v>548519</v>
      </c>
    </row>
    <row r="15" spans="1:6">
      <c r="A15" s="39">
        <v>7</v>
      </c>
      <c r="B15" s="61" t="s">
        <v>115</v>
      </c>
      <c r="C15" s="227"/>
      <c r="D15" s="292">
        <f>SUM(D16:D17)</f>
        <v>3426208</v>
      </c>
      <c r="E15" s="370">
        <v>2714448</v>
      </c>
      <c r="F15" s="292">
        <f t="shared" si="0"/>
        <v>711760</v>
      </c>
    </row>
    <row r="16" spans="1:6">
      <c r="A16" s="54" t="s">
        <v>116</v>
      </c>
      <c r="B16" s="58" t="s">
        <v>117</v>
      </c>
      <c r="C16" s="227">
        <f>'Shenimet shpjeguese'!A231</f>
        <v>18</v>
      </c>
      <c r="D16" s="293">
        <f>'Shenimet shpjeguese'!G235</f>
        <v>2936190</v>
      </c>
      <c r="E16" s="371">
        <v>2326150</v>
      </c>
      <c r="F16" s="293">
        <f t="shared" si="0"/>
        <v>610040</v>
      </c>
    </row>
    <row r="17" spans="1:6">
      <c r="A17" s="54" t="s">
        <v>116</v>
      </c>
      <c r="B17" s="58" t="s">
        <v>118</v>
      </c>
      <c r="C17" s="227">
        <f>'Shenimet shpjeguese'!A231</f>
        <v>18</v>
      </c>
      <c r="D17" s="293">
        <f>'Shenimet shpjeguese'!G236</f>
        <v>490018</v>
      </c>
      <c r="E17" s="371">
        <v>388298</v>
      </c>
      <c r="F17" s="293">
        <f t="shared" si="0"/>
        <v>101720</v>
      </c>
    </row>
    <row r="18" spans="1:6">
      <c r="A18" s="39">
        <v>8</v>
      </c>
      <c r="B18" s="61" t="s">
        <v>119</v>
      </c>
      <c r="C18" s="227">
        <f>'Shenimet shpjeguese'!A239</f>
        <v>19</v>
      </c>
      <c r="D18" s="294">
        <f>'Shenimet shpjeguese'!G249</f>
        <v>11041291.983333332</v>
      </c>
      <c r="E18" s="372">
        <v>11393168</v>
      </c>
      <c r="F18" s="292">
        <f t="shared" si="0"/>
        <v>-351876.01666666754</v>
      </c>
    </row>
    <row r="19" spans="1:6">
      <c r="A19" s="39"/>
      <c r="B19" s="56" t="s">
        <v>120</v>
      </c>
      <c r="C19" s="229"/>
      <c r="D19" s="273">
        <f>SUM(D13:D15)+D18</f>
        <v>130538314.98333333</v>
      </c>
      <c r="E19" s="369">
        <f>SUM(E13:E15)+E18</f>
        <v>98674850</v>
      </c>
      <c r="F19" s="273">
        <f>+D19-E19</f>
        <v>31863464.983333334</v>
      </c>
    </row>
    <row r="20" spans="1:6">
      <c r="A20" s="39"/>
      <c r="B20" s="63" t="s">
        <v>132</v>
      </c>
      <c r="C20" s="229"/>
      <c r="D20" s="273">
        <f>D11-D19</f>
        <v>48448421.016666666</v>
      </c>
      <c r="E20" s="369">
        <f>E11-E19</f>
        <v>8812987</v>
      </c>
      <c r="F20" s="273">
        <f>+D20-E20</f>
        <v>39635434.016666666</v>
      </c>
    </row>
    <row r="21" spans="1:6">
      <c r="A21" s="39"/>
      <c r="B21" s="55"/>
      <c r="C21" s="227"/>
      <c r="D21" s="292"/>
      <c r="E21" s="370"/>
      <c r="F21" s="292"/>
    </row>
    <row r="22" spans="1:6">
      <c r="A22" s="39">
        <v>1</v>
      </c>
      <c r="B22" s="62" t="s">
        <v>121</v>
      </c>
      <c r="C22" s="228"/>
      <c r="D22" s="292">
        <f>'Shenimet shpjeguese'!G256+'Shenimet shpjeguese'!G258</f>
        <v>161651</v>
      </c>
      <c r="E22" s="370">
        <v>920725</v>
      </c>
      <c r="F22" s="292">
        <f t="shared" ref="F22:F28" si="1">+D22-E22</f>
        <v>-759074</v>
      </c>
    </row>
    <row r="23" spans="1:6">
      <c r="A23" s="39">
        <v>2</v>
      </c>
      <c r="B23" s="61" t="s">
        <v>134</v>
      </c>
      <c r="C23" s="227"/>
      <c r="D23" s="292">
        <f>'Shenimet shpjeguese'!G257</f>
        <v>0</v>
      </c>
      <c r="E23" s="370">
        <v>0</v>
      </c>
      <c r="F23" s="292">
        <f t="shared" si="1"/>
        <v>0</v>
      </c>
    </row>
    <row r="24" spans="1:6">
      <c r="A24" s="39">
        <v>3</v>
      </c>
      <c r="B24" s="61" t="s">
        <v>122</v>
      </c>
      <c r="C24" s="227"/>
      <c r="D24" s="292">
        <f>SUM(D25:D28)</f>
        <v>6410173</v>
      </c>
      <c r="E24" s="370">
        <v>6231058</v>
      </c>
      <c r="F24" s="292">
        <f t="shared" si="1"/>
        <v>179115</v>
      </c>
    </row>
    <row r="25" spans="1:6">
      <c r="A25" s="54" t="s">
        <v>116</v>
      </c>
      <c r="B25" s="57" t="s">
        <v>133</v>
      </c>
      <c r="C25" s="230"/>
      <c r="D25" s="292"/>
      <c r="E25" s="370"/>
      <c r="F25" s="292">
        <f t="shared" si="1"/>
        <v>0</v>
      </c>
    </row>
    <row r="26" spans="1:6">
      <c r="A26" s="54" t="s">
        <v>116</v>
      </c>
      <c r="B26" s="58" t="s">
        <v>123</v>
      </c>
      <c r="C26" s="231">
        <f>'Shenimet shpjeguese'!A251</f>
        <v>20</v>
      </c>
      <c r="D26" s="292">
        <f>'Shenimet shpjeguese'!G260</f>
        <v>6339815</v>
      </c>
      <c r="E26" s="370">
        <v>5984105</v>
      </c>
      <c r="F26" s="292">
        <f t="shared" si="1"/>
        <v>355710</v>
      </c>
    </row>
    <row r="27" spans="1:6">
      <c r="A27" s="54" t="s">
        <v>116</v>
      </c>
      <c r="B27" s="58" t="s">
        <v>124</v>
      </c>
      <c r="C27" s="231">
        <f>'Shenimet shpjeguese'!A251</f>
        <v>20</v>
      </c>
      <c r="D27" s="292">
        <f>'Shenimet shpjeguese'!G262</f>
        <v>4067</v>
      </c>
      <c r="E27" s="370">
        <v>179868</v>
      </c>
      <c r="F27" s="292">
        <f t="shared" si="1"/>
        <v>-175801</v>
      </c>
    </row>
    <row r="28" spans="1:6">
      <c r="A28" s="54" t="s">
        <v>116</v>
      </c>
      <c r="B28" s="58" t="s">
        <v>125</v>
      </c>
      <c r="C28" s="231"/>
      <c r="D28" s="292">
        <f>'Shenimet shpjeguese'!G259</f>
        <v>66291</v>
      </c>
      <c r="E28" s="370">
        <v>67085</v>
      </c>
      <c r="F28" s="292">
        <f t="shared" si="1"/>
        <v>-794</v>
      </c>
    </row>
    <row r="29" spans="1:6">
      <c r="A29" s="39"/>
      <c r="B29" s="55"/>
      <c r="C29" s="227"/>
      <c r="D29" s="292"/>
      <c r="E29" s="370"/>
      <c r="F29" s="292"/>
    </row>
    <row r="30" spans="1:6">
      <c r="A30" s="39"/>
      <c r="B30" s="63" t="s">
        <v>126</v>
      </c>
      <c r="C30" s="229"/>
      <c r="D30" s="273">
        <f>D20+D22+D23-D24</f>
        <v>42199899.016666666</v>
      </c>
      <c r="E30" s="369">
        <f>E20+E22+E23-E24</f>
        <v>3502654</v>
      </c>
      <c r="F30" s="292">
        <f>+D30-E30</f>
        <v>38697245.016666666</v>
      </c>
    </row>
    <row r="31" spans="1:6">
      <c r="A31" s="39"/>
      <c r="B31" s="55"/>
      <c r="C31" s="227"/>
      <c r="D31" s="292"/>
      <c r="E31" s="370"/>
      <c r="F31" s="292"/>
    </row>
    <row r="32" spans="1:6">
      <c r="A32" s="39"/>
      <c r="B32" s="55" t="s">
        <v>127</v>
      </c>
      <c r="C32" s="227">
        <f>'Shenimet shpjeguese'!A265</f>
        <v>21</v>
      </c>
      <c r="D32" s="292">
        <f>'Shenimet shpjeguese'!G275</f>
        <v>4239376.5016666651</v>
      </c>
      <c r="E32" s="370">
        <v>378462</v>
      </c>
      <c r="F32" s="292">
        <f>+D32-E32</f>
        <v>3860914.5016666651</v>
      </c>
    </row>
    <row r="33" spans="1:9">
      <c r="A33" s="39"/>
      <c r="B33" s="55"/>
      <c r="C33" s="227"/>
      <c r="D33" s="292"/>
      <c r="E33" s="370"/>
      <c r="F33" s="292"/>
    </row>
    <row r="34" spans="1:9">
      <c r="A34" s="39"/>
      <c r="B34" s="63" t="s">
        <v>128</v>
      </c>
      <c r="C34" s="229"/>
      <c r="D34" s="273">
        <f>D30-D32</f>
        <v>37960522.515000001</v>
      </c>
      <c r="E34" s="369">
        <f>E30-E32</f>
        <v>3124192</v>
      </c>
      <c r="F34" s="273">
        <f>+D34-E34</f>
        <v>34836330.515000001</v>
      </c>
      <c r="I34" s="302"/>
    </row>
    <row r="35" spans="1:9">
      <c r="A35" s="36"/>
      <c r="B35" s="36"/>
      <c r="C35" s="36"/>
      <c r="D35" s="37"/>
      <c r="E35" s="37"/>
      <c r="F35" s="37"/>
    </row>
    <row r="36" spans="1:9" ht="15.6">
      <c r="A36" s="36"/>
      <c r="B36" s="44"/>
      <c r="C36" s="44"/>
      <c r="D36" s="37"/>
      <c r="E36" s="50" t="str">
        <f>Kopertina!C43</f>
        <v>Administratori i shoqerise</v>
      </c>
      <c r="F36" s="37"/>
    </row>
    <row r="37" spans="1:9">
      <c r="A37" s="36"/>
      <c r="B37" s="45"/>
      <c r="C37" s="45"/>
      <c r="D37" s="37"/>
      <c r="E37" s="50" t="str">
        <f>Kopertina!C45</f>
        <v>DRITAN KOLA</v>
      </c>
      <c r="F37" s="37"/>
    </row>
  </sheetData>
  <protectedRanges>
    <protectedRange sqref="D7:E10 D22:E23 D25:E28 D32:E32 D13:E18" name="Range1"/>
  </protectedRanges>
  <mergeCells count="1">
    <mergeCell ref="B3:E3"/>
  </mergeCells>
  <phoneticPr fontId="0" type="noConversion"/>
  <pageMargins left="0.6" right="0.24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5"/>
  <sheetViews>
    <sheetView topLeftCell="A22" workbookViewId="0">
      <selection activeCell="F17" sqref="F17"/>
    </sheetView>
  </sheetViews>
  <sheetFormatPr defaultRowHeight="13.2"/>
  <cols>
    <col min="1" max="1" width="2.77734375" style="71" customWidth="1"/>
    <col min="2" max="2" width="45.6640625" style="71" customWidth="1"/>
    <col min="3" max="3" width="17.109375" style="71" customWidth="1"/>
    <col min="4" max="4" width="17.109375" style="72" customWidth="1"/>
    <col min="5" max="16384" width="8.88671875" style="71"/>
  </cols>
  <sheetData>
    <row r="1" spans="1:4" ht="14.4">
      <c r="B1" t="str">
        <f>Kopertina!C4</f>
        <v>SHOQERIA "EKSPRES- BETON LEZHE "SHPK</v>
      </c>
    </row>
    <row r="2" spans="1:4" ht="14.4">
      <c r="B2" t="str">
        <f>Kopertina!C5</f>
        <v>NIPT: K58515501V</v>
      </c>
    </row>
    <row r="3" spans="1:4" ht="21" customHeight="1">
      <c r="B3" s="390" t="s">
        <v>167</v>
      </c>
      <c r="C3" s="390"/>
      <c r="D3" s="390"/>
    </row>
    <row r="4" spans="1:4">
      <c r="B4" s="51" t="str">
        <f>Kopertina!B32</f>
        <v xml:space="preserve">Periudha Kontabël: </v>
      </c>
      <c r="C4" s="52" t="str">
        <f>Kopertina!C32</f>
        <v>01/01/2012 - 31/12/2012</v>
      </c>
    </row>
    <row r="6" spans="1:4">
      <c r="C6" s="73" t="s">
        <v>12</v>
      </c>
    </row>
    <row r="7" spans="1:4">
      <c r="A7" s="74"/>
      <c r="B7" s="74"/>
      <c r="C7" s="75" t="s">
        <v>13</v>
      </c>
      <c r="D7" s="75" t="s">
        <v>14</v>
      </c>
    </row>
    <row r="8" spans="1:4">
      <c r="A8" s="39" t="s">
        <v>138</v>
      </c>
      <c r="B8" s="74"/>
      <c r="C8" s="74"/>
      <c r="D8" s="373"/>
    </row>
    <row r="9" spans="1:4">
      <c r="A9" s="74"/>
      <c r="B9" s="74" t="s">
        <v>135</v>
      </c>
      <c r="C9" s="197">
        <f>Pasivi!D42</f>
        <v>37960522.515000001</v>
      </c>
      <c r="D9" s="197">
        <f>Pasivi!E42</f>
        <v>3124192</v>
      </c>
    </row>
    <row r="10" spans="1:4">
      <c r="A10" s="74"/>
      <c r="B10" s="42" t="s">
        <v>139</v>
      </c>
      <c r="C10" s="295"/>
      <c r="D10" s="376"/>
    </row>
    <row r="11" spans="1:4">
      <c r="A11" s="74" t="s">
        <v>20</v>
      </c>
      <c r="B11" s="74" t="s">
        <v>136</v>
      </c>
      <c r="C11" s="197">
        <f>'Ardhura-Shpenzime'!D18</f>
        <v>11041291.983333332</v>
      </c>
      <c r="D11" s="197">
        <f>'Ardhura-Shpenzime'!E18</f>
        <v>11393168</v>
      </c>
    </row>
    <row r="12" spans="1:4">
      <c r="A12" s="74" t="s">
        <v>20</v>
      </c>
      <c r="B12" s="42" t="s">
        <v>140</v>
      </c>
      <c r="C12" s="295"/>
      <c r="D12" s="376"/>
    </row>
    <row r="13" spans="1:4">
      <c r="A13" s="74" t="s">
        <v>20</v>
      </c>
      <c r="B13" s="42" t="s">
        <v>141</v>
      </c>
      <c r="C13" s="295"/>
      <c r="D13" s="376"/>
    </row>
    <row r="14" spans="1:4">
      <c r="A14" s="74" t="s">
        <v>20</v>
      </c>
      <c r="B14" s="42" t="s">
        <v>142</v>
      </c>
      <c r="C14" s="295"/>
      <c r="D14" s="376"/>
    </row>
    <row r="15" spans="1:4">
      <c r="A15" s="74" t="s">
        <v>20</v>
      </c>
      <c r="B15" s="42" t="s">
        <v>143</v>
      </c>
      <c r="C15" s="197">
        <f>-Aktivi!F19</f>
        <v>28725102</v>
      </c>
      <c r="D15" s="197">
        <f>-Aktivi!G19</f>
        <v>0</v>
      </c>
    </row>
    <row r="16" spans="1:4">
      <c r="A16" s="74" t="s">
        <v>20</v>
      </c>
      <c r="B16" s="64" t="s">
        <v>166</v>
      </c>
      <c r="C16" s="197">
        <f>-Aktivi!F15</f>
        <v>-108539490</v>
      </c>
      <c r="D16" s="197">
        <f>-Aktivi!G15</f>
        <v>0</v>
      </c>
    </row>
    <row r="17" spans="1:4">
      <c r="A17" s="74" t="s">
        <v>20</v>
      </c>
      <c r="B17" s="64" t="s">
        <v>144</v>
      </c>
      <c r="C17" s="197">
        <f>-SUM(Aktivi!F16:F18)</f>
        <v>0</v>
      </c>
      <c r="D17" s="197">
        <f>-SUM(Aktivi!G16:G18)</f>
        <v>0</v>
      </c>
    </row>
    <row r="18" spans="1:4">
      <c r="A18" s="74" t="s">
        <v>20</v>
      </c>
      <c r="B18" s="74" t="s">
        <v>137</v>
      </c>
      <c r="C18" s="197">
        <f>-Aktivi!F27</f>
        <v>0</v>
      </c>
      <c r="D18" s="375">
        <v>0</v>
      </c>
    </row>
    <row r="19" spans="1:4">
      <c r="A19" s="74" t="s">
        <v>20</v>
      </c>
      <c r="B19" s="64" t="s">
        <v>164</v>
      </c>
      <c r="C19" s="197">
        <f>Pasivi!F14</f>
        <v>16303522</v>
      </c>
      <c r="D19" s="197">
        <f>Pasivi!G14</f>
        <v>0</v>
      </c>
    </row>
    <row r="20" spans="1:4">
      <c r="A20" s="74" t="s">
        <v>20</v>
      </c>
      <c r="B20" s="64" t="s">
        <v>165</v>
      </c>
      <c r="C20" s="197">
        <f>Pasivi!F15</f>
        <v>2482431</v>
      </c>
      <c r="D20" s="197">
        <f>Pasivi!G15</f>
        <v>0</v>
      </c>
    </row>
    <row r="21" spans="1:4">
      <c r="A21" s="74" t="s">
        <v>20</v>
      </c>
      <c r="B21" s="42" t="s">
        <v>69</v>
      </c>
      <c r="C21" s="197">
        <f>Pasivi!F16</f>
        <v>-113436.49833333492</v>
      </c>
      <c r="D21" s="197">
        <f>Pasivi!G16</f>
        <v>0</v>
      </c>
    </row>
    <row r="22" spans="1:4">
      <c r="A22" s="74" t="s">
        <v>20</v>
      </c>
      <c r="B22" s="64" t="s">
        <v>145</v>
      </c>
      <c r="C22" s="197">
        <f>Pasivi!F10+Pasivi!F17+Pasivi!F18</f>
        <v>38126512</v>
      </c>
      <c r="D22" s="197">
        <f>Pasivi!G10+Pasivi!G17+Pasivi!G18</f>
        <v>0</v>
      </c>
    </row>
    <row r="23" spans="1:4">
      <c r="A23" s="74" t="s">
        <v>20</v>
      </c>
      <c r="B23" s="42" t="s">
        <v>146</v>
      </c>
      <c r="C23" s="197">
        <f>Pasivi!F19</f>
        <v>0</v>
      </c>
      <c r="D23" s="197">
        <f>Pasivi!G19</f>
        <v>0</v>
      </c>
    </row>
    <row r="24" spans="1:4">
      <c r="A24" s="43" t="s">
        <v>147</v>
      </c>
      <c r="B24" s="74"/>
      <c r="C24" s="197">
        <f>SUM(C9:C23)</f>
        <v>25986455</v>
      </c>
      <c r="D24" s="197">
        <f>SUM(D9:D23)</f>
        <v>14517360</v>
      </c>
    </row>
    <row r="25" spans="1:4">
      <c r="A25" s="39" t="s">
        <v>148</v>
      </c>
      <c r="B25" s="74"/>
      <c r="C25" s="197"/>
      <c r="D25" s="375"/>
    </row>
    <row r="26" spans="1:4">
      <c r="A26" s="74" t="s">
        <v>20</v>
      </c>
      <c r="B26" s="42" t="s">
        <v>161</v>
      </c>
      <c r="C26" s="76"/>
      <c r="D26" s="374"/>
    </row>
    <row r="27" spans="1:4">
      <c r="A27" s="74" t="s">
        <v>20</v>
      </c>
      <c r="B27" s="42" t="s">
        <v>149</v>
      </c>
      <c r="C27" s="197">
        <v>0</v>
      </c>
      <c r="D27" s="197">
        <v>0</v>
      </c>
    </row>
    <row r="28" spans="1:4">
      <c r="A28" s="74" t="s">
        <v>20</v>
      </c>
      <c r="B28" s="42" t="s">
        <v>150</v>
      </c>
      <c r="C28" s="295"/>
      <c r="D28" s="295"/>
    </row>
    <row r="29" spans="1:4">
      <c r="A29" s="74" t="s">
        <v>20</v>
      </c>
      <c r="B29" s="42" t="s">
        <v>151</v>
      </c>
      <c r="C29" s="197"/>
      <c r="D29" s="197"/>
    </row>
    <row r="30" spans="1:4">
      <c r="A30" s="74" t="s">
        <v>20</v>
      </c>
      <c r="B30" s="42" t="s">
        <v>152</v>
      </c>
      <c r="C30" s="197"/>
      <c r="D30" s="375"/>
    </row>
    <row r="31" spans="1:4">
      <c r="A31" s="43" t="s">
        <v>153</v>
      </c>
      <c r="B31" s="74"/>
      <c r="C31" s="197">
        <f>SUM(C26:C30)</f>
        <v>0</v>
      </c>
      <c r="D31" s="197">
        <f>SUM(D26:D30)</f>
        <v>0</v>
      </c>
    </row>
    <row r="32" spans="1:4">
      <c r="A32" s="39" t="s">
        <v>154</v>
      </c>
      <c r="B32" s="74"/>
      <c r="C32" s="76"/>
      <c r="D32" s="374"/>
    </row>
    <row r="33" spans="1:4">
      <c r="A33" s="74" t="s">
        <v>20</v>
      </c>
      <c r="B33" s="42" t="s">
        <v>155</v>
      </c>
      <c r="C33" s="76"/>
      <c r="D33" s="374"/>
    </row>
    <row r="34" spans="1:4">
      <c r="A34" s="74" t="s">
        <v>20</v>
      </c>
      <c r="B34" s="42" t="s">
        <v>156</v>
      </c>
      <c r="C34" s="76">
        <f>Pasivi!F26</f>
        <v>0</v>
      </c>
      <c r="D34" s="76">
        <f>Pasivi!G26</f>
        <v>0</v>
      </c>
    </row>
    <row r="35" spans="1:4">
      <c r="A35" s="74" t="s">
        <v>20</v>
      </c>
      <c r="B35" s="42" t="s">
        <v>157</v>
      </c>
      <c r="C35" s="76">
        <v>0</v>
      </c>
      <c r="D35" s="76">
        <v>0</v>
      </c>
    </row>
    <row r="36" spans="1:4">
      <c r="A36" s="74" t="s">
        <v>20</v>
      </c>
      <c r="B36" s="42" t="s">
        <v>158</v>
      </c>
      <c r="C36" s="197"/>
      <c r="D36" s="375"/>
    </row>
    <row r="37" spans="1:4">
      <c r="A37" s="43" t="s">
        <v>159</v>
      </c>
      <c r="B37" s="74"/>
      <c r="C37" s="197">
        <f>SUM(C33:C36)</f>
        <v>0</v>
      </c>
      <c r="D37" s="197">
        <f>SUM(D33:D36)</f>
        <v>0</v>
      </c>
    </row>
    <row r="38" spans="1:4">
      <c r="A38" s="39" t="s">
        <v>160</v>
      </c>
      <c r="B38" s="74"/>
      <c r="C38" s="197">
        <f>C37+C31+C24</f>
        <v>25986455</v>
      </c>
      <c r="D38" s="197">
        <f>D37+D31+D24</f>
        <v>14517360</v>
      </c>
    </row>
    <row r="39" spans="1:4">
      <c r="A39" s="74"/>
      <c r="B39" s="74"/>
      <c r="C39" s="197"/>
      <c r="D39" s="375"/>
    </row>
    <row r="40" spans="1:4">
      <c r="A40" s="39" t="s">
        <v>162</v>
      </c>
      <c r="B40" s="74"/>
      <c r="C40" s="197">
        <f>Aktivi!E8</f>
        <v>540931</v>
      </c>
      <c r="D40" s="197">
        <f>Aktivi!F8</f>
        <v>-254096</v>
      </c>
    </row>
    <row r="41" spans="1:4">
      <c r="A41" s="39" t="s">
        <v>163</v>
      </c>
      <c r="B41" s="74"/>
      <c r="C41" s="197">
        <f>Aktivi!D8</f>
        <v>286835</v>
      </c>
      <c r="D41" s="197">
        <f>Aktivi!E8</f>
        <v>540931</v>
      </c>
    </row>
    <row r="42" spans="1:4">
      <c r="C42" s="296">
        <v>0</v>
      </c>
    </row>
    <row r="44" spans="1:4">
      <c r="C44" s="77" t="str">
        <f>Kopertina!C43</f>
        <v>Administratori i shoqerise</v>
      </c>
    </row>
    <row r="45" spans="1:4">
      <c r="C45" s="77" t="str">
        <f>Kopertina!C45</f>
        <v>DRITAN KOLA</v>
      </c>
    </row>
  </sheetData>
  <protectedRanges>
    <protectedRange sqref="D8 D25:D26 D32:D33 D39 D10 D12:D14 D18 D30 D36" name="Range1"/>
  </protectedRanges>
  <mergeCells count="1">
    <mergeCell ref="B3:D3"/>
  </mergeCells>
  <phoneticPr fontId="0" type="noConversion"/>
  <pageMargins left="0.7" right="0.44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5"/>
  <sheetViews>
    <sheetView topLeftCell="A4" workbookViewId="0">
      <selection activeCell="F18" sqref="F18"/>
    </sheetView>
  </sheetViews>
  <sheetFormatPr defaultRowHeight="14.4"/>
  <cols>
    <col min="1" max="1" width="31.88671875" customWidth="1"/>
    <col min="2" max="2" width="17.44140625" customWidth="1"/>
    <col min="3" max="3" width="13.6640625" customWidth="1"/>
    <col min="4" max="4" width="11.6640625" customWidth="1"/>
    <col min="5" max="5" width="14.33203125" customWidth="1"/>
    <col min="6" max="6" width="17.77734375" customWidth="1"/>
    <col min="7" max="7" width="17.6640625" customWidth="1"/>
  </cols>
  <sheetData>
    <row r="1" spans="1:8">
      <c r="A1" t="str">
        <f>Kopertina!C4</f>
        <v>SHOQERIA "EKSPRES- BETON LEZHE "SHPK</v>
      </c>
      <c r="B1" s="65"/>
      <c r="C1" s="65"/>
      <c r="D1" s="65"/>
      <c r="E1" s="65"/>
      <c r="F1" s="65"/>
      <c r="G1" s="65"/>
      <c r="H1" s="65"/>
    </row>
    <row r="2" spans="1:8">
      <c r="A2" t="str">
        <f>Kopertina!C5</f>
        <v>NIPT: K58515501V</v>
      </c>
      <c r="B2" s="65"/>
      <c r="C2" s="65"/>
      <c r="D2" s="65"/>
      <c r="E2" s="65"/>
      <c r="F2" s="65"/>
      <c r="G2" s="65"/>
      <c r="H2" s="65"/>
    </row>
    <row r="3" spans="1:8">
      <c r="A3" s="66"/>
      <c r="B3" s="65"/>
      <c r="C3" s="65"/>
      <c r="D3" s="65"/>
      <c r="E3" s="65"/>
      <c r="F3" s="65"/>
      <c r="G3" s="65"/>
      <c r="H3" s="65"/>
    </row>
    <row r="4" spans="1:8">
      <c r="A4" s="389" t="s">
        <v>174</v>
      </c>
      <c r="B4" s="389"/>
      <c r="C4" s="389"/>
      <c r="D4" s="389"/>
      <c r="E4" s="389"/>
      <c r="F4" s="389"/>
      <c r="G4" s="65"/>
      <c r="H4" s="65"/>
    </row>
    <row r="5" spans="1:8">
      <c r="A5" s="53"/>
      <c r="B5" s="53"/>
      <c r="C5" s="51" t="str">
        <f>Kopertina!B32</f>
        <v xml:space="preserve">Periudha Kontabël: </v>
      </c>
      <c r="D5" s="52" t="str">
        <f>Kopertina!C32</f>
        <v>01/01/2012 - 31/12/2012</v>
      </c>
      <c r="E5" s="53"/>
      <c r="F5" s="53"/>
      <c r="G5" s="65"/>
      <c r="H5" s="65"/>
    </row>
    <row r="6" spans="1:8">
      <c r="A6" s="67"/>
      <c r="B6" s="68"/>
      <c r="C6" s="68"/>
      <c r="D6" s="68"/>
      <c r="E6" s="68"/>
      <c r="F6" s="73" t="s">
        <v>12</v>
      </c>
      <c r="G6" s="68"/>
      <c r="H6" s="68"/>
    </row>
    <row r="7" spans="1:8" ht="20.399999999999999">
      <c r="A7" s="69"/>
      <c r="B7" s="70" t="s">
        <v>374</v>
      </c>
      <c r="C7" s="70" t="s">
        <v>168</v>
      </c>
      <c r="D7" s="70" t="s">
        <v>169</v>
      </c>
      <c r="E7" s="70" t="s">
        <v>375</v>
      </c>
      <c r="F7" s="70" t="s">
        <v>376</v>
      </c>
      <c r="G7" s="70" t="s">
        <v>170</v>
      </c>
      <c r="H7" s="68"/>
    </row>
    <row r="8" spans="1:8">
      <c r="A8" s="78" t="s">
        <v>519</v>
      </c>
      <c r="B8" s="367">
        <f>B10</f>
        <v>15456000</v>
      </c>
      <c r="C8" s="367">
        <f t="shared" ref="C8:G8" si="0">C10</f>
        <v>0</v>
      </c>
      <c r="D8" s="367">
        <f t="shared" si="0"/>
        <v>0</v>
      </c>
      <c r="E8" s="367">
        <f t="shared" si="0"/>
        <v>356</v>
      </c>
      <c r="F8" s="367">
        <f>F10</f>
        <v>0</v>
      </c>
      <c r="G8" s="367">
        <f t="shared" si="0"/>
        <v>15456356</v>
      </c>
      <c r="H8" s="68"/>
    </row>
    <row r="9" spans="1:8">
      <c r="A9" s="79" t="s">
        <v>175</v>
      </c>
      <c r="B9" s="368"/>
      <c r="C9" s="368"/>
      <c r="D9" s="368"/>
      <c r="E9" s="368"/>
      <c r="F9" s="368"/>
      <c r="G9" s="367">
        <f t="shared" ref="G9:G21" si="1">B9+C9+D9+E9+F9</f>
        <v>0</v>
      </c>
      <c r="H9" s="68"/>
    </row>
    <row r="10" spans="1:8">
      <c r="A10" s="78" t="s">
        <v>171</v>
      </c>
      <c r="B10" s="367">
        <v>15456000</v>
      </c>
      <c r="C10" s="367">
        <v>0</v>
      </c>
      <c r="D10" s="367">
        <v>0</v>
      </c>
      <c r="E10" s="367">
        <v>356</v>
      </c>
      <c r="F10" s="367">
        <v>0</v>
      </c>
      <c r="G10" s="367">
        <f>B10+C10+D10+E10+F10</f>
        <v>15456356</v>
      </c>
      <c r="H10" s="68"/>
    </row>
    <row r="11" spans="1:8">
      <c r="A11" s="79" t="s">
        <v>370</v>
      </c>
      <c r="B11" s="368"/>
      <c r="C11" s="368">
        <v>0</v>
      </c>
      <c r="D11" s="368"/>
      <c r="E11" s="368"/>
      <c r="F11" s="368">
        <f>Pasivi!D41</f>
        <v>-13156192</v>
      </c>
      <c r="G11" s="367">
        <f t="shared" si="1"/>
        <v>-13156192</v>
      </c>
      <c r="H11" s="68"/>
    </row>
    <row r="12" spans="1:8">
      <c r="A12" s="79" t="s">
        <v>371</v>
      </c>
      <c r="B12" s="368"/>
      <c r="C12" s="368"/>
      <c r="D12" s="368"/>
      <c r="E12" s="368"/>
      <c r="F12" s="368"/>
      <c r="G12" s="367">
        <f t="shared" si="1"/>
        <v>0</v>
      </c>
      <c r="H12" s="68"/>
    </row>
    <row r="13" spans="1:8">
      <c r="A13" s="79" t="s">
        <v>372</v>
      </c>
      <c r="B13" s="368"/>
      <c r="C13" s="368"/>
      <c r="D13" s="368"/>
      <c r="E13" s="368"/>
      <c r="F13" s="368"/>
      <c r="G13" s="367">
        <f t="shared" si="1"/>
        <v>0</v>
      </c>
      <c r="H13" s="68"/>
    </row>
    <row r="14" spans="1:8">
      <c r="A14" s="79" t="s">
        <v>373</v>
      </c>
      <c r="B14" s="368"/>
      <c r="C14" s="368"/>
      <c r="D14" s="368"/>
      <c r="E14" s="368"/>
      <c r="F14" s="368"/>
      <c r="G14" s="367">
        <f t="shared" si="1"/>
        <v>0</v>
      </c>
      <c r="H14" s="68"/>
    </row>
    <row r="15" spans="1:8">
      <c r="A15" s="79" t="s">
        <v>173</v>
      </c>
      <c r="B15" s="368"/>
      <c r="C15" s="368"/>
      <c r="D15" s="368"/>
      <c r="E15" s="368"/>
      <c r="F15" s="368"/>
      <c r="G15" s="367">
        <f t="shared" si="1"/>
        <v>0</v>
      </c>
      <c r="H15" s="68"/>
    </row>
    <row r="16" spans="1:8">
      <c r="A16" s="78" t="s">
        <v>539</v>
      </c>
      <c r="B16" s="367">
        <f>B10+B11+B12+B13+B14+B15</f>
        <v>15456000</v>
      </c>
      <c r="C16" s="367">
        <f t="shared" ref="C16:G16" si="2">C10+C11+C12+C13+C14+C15</f>
        <v>0</v>
      </c>
      <c r="D16" s="367">
        <f t="shared" si="2"/>
        <v>0</v>
      </c>
      <c r="E16" s="367">
        <f t="shared" si="2"/>
        <v>356</v>
      </c>
      <c r="F16" s="367">
        <f t="shared" si="2"/>
        <v>-13156192</v>
      </c>
      <c r="G16" s="367">
        <f t="shared" si="2"/>
        <v>2300164</v>
      </c>
      <c r="H16" s="68"/>
    </row>
    <row r="17" spans="1:8">
      <c r="A17" s="79" t="s">
        <v>172</v>
      </c>
      <c r="B17" s="368">
        <f>C17</f>
        <v>3124000</v>
      </c>
      <c r="C17" s="368">
        <f>Pasivi!E42-192</f>
        <v>3124000</v>
      </c>
      <c r="D17" s="368"/>
      <c r="E17" s="368">
        <v>192</v>
      </c>
      <c r="F17" s="368">
        <f>Pasivi!D42-C17</f>
        <v>34836522.515000001</v>
      </c>
      <c r="G17" s="367">
        <f t="shared" si="1"/>
        <v>41084714.515000001</v>
      </c>
      <c r="H17" s="68"/>
    </row>
    <row r="18" spans="1:8">
      <c r="A18" s="79" t="s">
        <v>371</v>
      </c>
      <c r="B18" s="368"/>
      <c r="C18" s="368"/>
      <c r="D18" s="368"/>
      <c r="E18" s="368">
        <v>0</v>
      </c>
      <c r="F18" s="368"/>
      <c r="G18" s="367">
        <f t="shared" si="1"/>
        <v>0</v>
      </c>
      <c r="H18" s="68"/>
    </row>
    <row r="19" spans="1:8">
      <c r="A19" s="79" t="s">
        <v>372</v>
      </c>
      <c r="B19" s="368">
        <v>0</v>
      </c>
      <c r="C19" s="368"/>
      <c r="D19" s="368"/>
      <c r="E19" s="368">
        <v>0</v>
      </c>
      <c r="F19" s="368"/>
      <c r="G19" s="367">
        <f t="shared" si="1"/>
        <v>0</v>
      </c>
      <c r="H19" s="68"/>
    </row>
    <row r="20" spans="1:8">
      <c r="A20" s="79" t="s">
        <v>373</v>
      </c>
      <c r="B20" s="368">
        <v>0</v>
      </c>
      <c r="C20" s="368"/>
      <c r="D20" s="368"/>
      <c r="E20" s="368">
        <v>0</v>
      </c>
      <c r="F20" s="368">
        <v>0</v>
      </c>
      <c r="G20" s="367">
        <f t="shared" si="1"/>
        <v>0</v>
      </c>
      <c r="H20" s="68"/>
    </row>
    <row r="21" spans="1:8">
      <c r="A21" s="79" t="s">
        <v>173</v>
      </c>
      <c r="B21" s="368">
        <v>0</v>
      </c>
      <c r="C21" s="368"/>
      <c r="D21" s="368"/>
      <c r="E21" s="368"/>
      <c r="F21" s="368"/>
      <c r="G21" s="367">
        <f t="shared" si="1"/>
        <v>0</v>
      </c>
      <c r="H21" s="68"/>
    </row>
    <row r="22" spans="1:8">
      <c r="A22" s="78" t="s">
        <v>540</v>
      </c>
      <c r="B22" s="367">
        <f>B16+B17+B18+B21</f>
        <v>18580000</v>
      </c>
      <c r="C22" s="367">
        <f t="shared" ref="C22:G22" si="3">C16+C17+C18+C21</f>
        <v>3124000</v>
      </c>
      <c r="D22" s="367">
        <f t="shared" si="3"/>
        <v>0</v>
      </c>
      <c r="E22" s="367">
        <f t="shared" si="3"/>
        <v>548</v>
      </c>
      <c r="F22" s="367">
        <f t="shared" si="3"/>
        <v>21680330.515000001</v>
      </c>
      <c r="G22" s="367">
        <f t="shared" si="3"/>
        <v>43384878.515000001</v>
      </c>
      <c r="H22" s="68"/>
    </row>
    <row r="24" spans="1:8">
      <c r="E24" s="77" t="str">
        <f>Kopertina!C43</f>
        <v>Administratori i shoqerise</v>
      </c>
    </row>
    <row r="25" spans="1:8">
      <c r="E25" s="77" t="str">
        <f>Kopertina!C45</f>
        <v>DRITAN KOLA</v>
      </c>
    </row>
  </sheetData>
  <mergeCells count="1">
    <mergeCell ref="A4:F4"/>
  </mergeCells>
  <phoneticPr fontId="0" type="noConversion"/>
  <pageMargins left="0.62992125984251968" right="0.35433070866141736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80"/>
  <sheetViews>
    <sheetView showGridLines="0" topLeftCell="A196" workbookViewId="0">
      <selection activeCell="G51" sqref="G51"/>
    </sheetView>
  </sheetViews>
  <sheetFormatPr defaultColWidth="9.109375" defaultRowHeight="13.2"/>
  <cols>
    <col min="1" max="1" width="3.21875" style="209" customWidth="1"/>
    <col min="2" max="2" width="3.77734375" style="198" customWidth="1"/>
    <col min="3" max="3" width="20.109375" style="198" customWidth="1"/>
    <col min="4" max="4" width="17.109375" style="72" customWidth="1"/>
    <col min="5" max="5" width="14.33203125" style="72" customWidth="1"/>
    <col min="6" max="6" width="15.109375" style="72" customWidth="1"/>
    <col min="7" max="7" width="17.109375" style="198" customWidth="1"/>
    <col min="8" max="8" width="9.109375" style="198"/>
    <col min="9" max="9" width="12.44140625" style="198" bestFit="1" customWidth="1"/>
    <col min="10" max="10" width="11.44140625" style="198" bestFit="1" customWidth="1"/>
    <col min="11" max="16384" width="9.109375" style="198"/>
  </cols>
  <sheetData>
    <row r="1" spans="1:7">
      <c r="D1" s="237" t="s">
        <v>3</v>
      </c>
    </row>
    <row r="3" spans="1:7">
      <c r="A3" s="261" t="s">
        <v>537</v>
      </c>
    </row>
    <row r="4" spans="1:7">
      <c r="A4" s="209" t="s">
        <v>176</v>
      </c>
    </row>
    <row r="5" spans="1:7">
      <c r="A5" s="209" t="s">
        <v>177</v>
      </c>
    </row>
    <row r="6" spans="1:7">
      <c r="A6" s="209" t="s">
        <v>178</v>
      </c>
    </row>
    <row r="8" spans="1:7">
      <c r="A8" s="210" t="s">
        <v>179</v>
      </c>
      <c r="B8" s="199"/>
      <c r="C8" s="199" t="s">
        <v>181</v>
      </c>
    </row>
    <row r="9" spans="1:7">
      <c r="A9" s="211">
        <v>1</v>
      </c>
      <c r="B9" s="198" t="s">
        <v>19</v>
      </c>
    </row>
    <row r="10" spans="1:7">
      <c r="A10" s="211"/>
      <c r="B10" s="200"/>
      <c r="C10" s="337" t="s">
        <v>538</v>
      </c>
    </row>
    <row r="11" spans="1:7">
      <c r="A11" s="211"/>
      <c r="B11" s="200"/>
      <c r="C11" s="198" t="s">
        <v>493</v>
      </c>
    </row>
    <row r="12" spans="1:7">
      <c r="A12" s="211"/>
      <c r="F12" s="238" t="s">
        <v>182</v>
      </c>
      <c r="G12" s="212">
        <f>A9</f>
        <v>1</v>
      </c>
    </row>
    <row r="13" spans="1:7" ht="26.4">
      <c r="A13" s="211"/>
      <c r="B13" s="197" t="s">
        <v>103</v>
      </c>
      <c r="C13" s="197" t="s">
        <v>186</v>
      </c>
      <c r="D13" s="239" t="s">
        <v>377</v>
      </c>
      <c r="E13" s="240" t="s">
        <v>378</v>
      </c>
      <c r="F13" s="240" t="s">
        <v>379</v>
      </c>
      <c r="G13" s="201" t="s">
        <v>380</v>
      </c>
    </row>
    <row r="14" spans="1:7">
      <c r="A14" s="211"/>
      <c r="B14" s="197" t="s">
        <v>489</v>
      </c>
      <c r="C14" s="236" t="s">
        <v>491</v>
      </c>
      <c r="D14" s="303">
        <f>SUM(D15:D23)</f>
        <v>500206</v>
      </c>
      <c r="E14" s="303">
        <f>SUM(E15:E23)</f>
        <v>279328028</v>
      </c>
      <c r="F14" s="303">
        <f>SUM(F15:F23)</f>
        <v>279542207</v>
      </c>
      <c r="G14" s="303">
        <f>SUM(G15:G23)</f>
        <v>286027</v>
      </c>
    </row>
    <row r="15" spans="1:7">
      <c r="A15" s="211"/>
      <c r="B15" s="197">
        <v>1</v>
      </c>
      <c r="C15" s="197" t="s">
        <v>22</v>
      </c>
      <c r="D15" s="197">
        <f>Aktivi!E10</f>
        <v>500206</v>
      </c>
      <c r="E15" s="197">
        <f>279322375+4020+1633</f>
        <v>279328028</v>
      </c>
      <c r="F15" s="197">
        <v>279542207</v>
      </c>
      <c r="G15" s="197">
        <f t="shared" ref="G15:G24" si="0">D15+E15-F15</f>
        <v>286027</v>
      </c>
    </row>
    <row r="16" spans="1:7">
      <c r="A16" s="211"/>
      <c r="B16" s="197">
        <f>B15+1</f>
        <v>2</v>
      </c>
      <c r="C16" s="197"/>
      <c r="D16" s="197"/>
      <c r="E16" s="197"/>
      <c r="F16" s="197"/>
      <c r="G16" s="197">
        <f t="shared" si="0"/>
        <v>0</v>
      </c>
    </row>
    <row r="17" spans="1:7">
      <c r="A17" s="211"/>
      <c r="B17" s="197">
        <f t="shared" ref="B17:B22" si="1">B16+1</f>
        <v>3</v>
      </c>
      <c r="C17" s="197"/>
      <c r="D17" s="197"/>
      <c r="E17" s="197"/>
      <c r="F17" s="197"/>
      <c r="G17" s="197">
        <f t="shared" si="0"/>
        <v>0</v>
      </c>
    </row>
    <row r="18" spans="1:7">
      <c r="A18" s="211"/>
      <c r="B18" s="197">
        <f t="shared" si="1"/>
        <v>4</v>
      </c>
      <c r="C18" s="197"/>
      <c r="D18" s="197"/>
      <c r="E18" s="197"/>
      <c r="F18" s="197"/>
      <c r="G18" s="197">
        <f t="shared" si="0"/>
        <v>0</v>
      </c>
    </row>
    <row r="19" spans="1:7">
      <c r="A19" s="211"/>
      <c r="B19" s="197">
        <f t="shared" si="1"/>
        <v>5</v>
      </c>
      <c r="C19" s="197"/>
      <c r="D19" s="197"/>
      <c r="E19" s="197"/>
      <c r="F19" s="197"/>
      <c r="G19" s="197">
        <f t="shared" si="0"/>
        <v>0</v>
      </c>
    </row>
    <row r="20" spans="1:7">
      <c r="A20" s="211"/>
      <c r="B20" s="197">
        <f t="shared" si="1"/>
        <v>6</v>
      </c>
      <c r="C20" s="197"/>
      <c r="D20" s="197"/>
      <c r="E20" s="197"/>
      <c r="F20" s="197"/>
      <c r="G20" s="197">
        <f t="shared" si="0"/>
        <v>0</v>
      </c>
    </row>
    <row r="21" spans="1:7">
      <c r="A21" s="211"/>
      <c r="B21" s="197">
        <f t="shared" si="1"/>
        <v>7</v>
      </c>
      <c r="C21" s="197"/>
      <c r="D21" s="197"/>
      <c r="E21" s="197"/>
      <c r="F21" s="197"/>
      <c r="G21" s="197">
        <f t="shared" si="0"/>
        <v>0</v>
      </c>
    </row>
    <row r="22" spans="1:7">
      <c r="A22" s="211"/>
      <c r="B22" s="197">
        <f t="shared" si="1"/>
        <v>8</v>
      </c>
      <c r="C22" s="197"/>
      <c r="D22" s="197"/>
      <c r="E22" s="197"/>
      <c r="F22" s="197"/>
      <c r="G22" s="197">
        <f t="shared" si="0"/>
        <v>0</v>
      </c>
    </row>
    <row r="23" spans="1:7">
      <c r="A23" s="211"/>
      <c r="B23" s="197">
        <f>B22+1</f>
        <v>9</v>
      </c>
      <c r="C23" s="197"/>
      <c r="D23" s="197"/>
      <c r="E23" s="197"/>
      <c r="F23" s="197"/>
      <c r="G23" s="197">
        <f t="shared" si="0"/>
        <v>0</v>
      </c>
    </row>
    <row r="24" spans="1:7">
      <c r="A24" s="211"/>
      <c r="B24" s="197" t="s">
        <v>490</v>
      </c>
      <c r="C24" s="197" t="s">
        <v>492</v>
      </c>
      <c r="D24" s="197">
        <f>Aktivi!E9</f>
        <v>40725</v>
      </c>
      <c r="E24" s="197">
        <v>77647672</v>
      </c>
      <c r="F24" s="197">
        <v>77687589</v>
      </c>
      <c r="G24" s="197">
        <f t="shared" si="0"/>
        <v>808</v>
      </c>
    </row>
    <row r="25" spans="1:7">
      <c r="A25" s="211"/>
      <c r="B25" s="203"/>
      <c r="C25" s="203" t="s">
        <v>170</v>
      </c>
      <c r="D25" s="203">
        <f>SUM(D15:D24)</f>
        <v>540931</v>
      </c>
      <c r="E25" s="203">
        <f>SUM(E15:E24)</f>
        <v>356975700</v>
      </c>
      <c r="F25" s="203">
        <f>F24</f>
        <v>77687589</v>
      </c>
      <c r="G25" s="203">
        <f>SUM(G15:G24)</f>
        <v>286835</v>
      </c>
    </row>
    <row r="26" spans="1:7">
      <c r="A26" s="211"/>
      <c r="B26" s="202"/>
    </row>
    <row r="27" spans="1:7">
      <c r="A27" s="211">
        <f>A9+1</f>
        <v>2</v>
      </c>
      <c r="B27" s="198" t="s">
        <v>26</v>
      </c>
    </row>
    <row r="28" spans="1:7">
      <c r="A28" s="211"/>
      <c r="B28" s="200"/>
      <c r="C28" s="198" t="s">
        <v>384</v>
      </c>
    </row>
    <row r="29" spans="1:7">
      <c r="A29" s="211"/>
      <c r="F29" s="238" t="s">
        <v>182</v>
      </c>
      <c r="G29" s="212">
        <f>A27</f>
        <v>2</v>
      </c>
    </row>
    <row r="30" spans="1:7">
      <c r="A30" s="211"/>
      <c r="C30" s="204" t="s">
        <v>418</v>
      </c>
      <c r="D30" s="241"/>
      <c r="E30" s="241"/>
      <c r="F30" s="241"/>
      <c r="G30" s="197">
        <f>Aktivi!E15</f>
        <v>92774631</v>
      </c>
    </row>
    <row r="31" spans="1:7">
      <c r="A31" s="211"/>
      <c r="C31" s="204" t="s">
        <v>183</v>
      </c>
      <c r="D31" s="241"/>
      <c r="E31" s="241"/>
      <c r="F31" s="241"/>
      <c r="G31" s="197">
        <v>195327550</v>
      </c>
    </row>
    <row r="32" spans="1:7">
      <c r="A32" s="211"/>
      <c r="C32" s="204" t="s">
        <v>184</v>
      </c>
      <c r="D32" s="241"/>
      <c r="E32" s="241"/>
      <c r="F32" s="241"/>
      <c r="G32" s="197">
        <v>86788060</v>
      </c>
    </row>
    <row r="33" spans="1:7">
      <c r="A33" s="211"/>
      <c r="C33" s="206" t="s">
        <v>422</v>
      </c>
      <c r="D33" s="241"/>
      <c r="E33" s="241"/>
      <c r="F33" s="241"/>
      <c r="G33" s="203">
        <f>G30+G31-G32</f>
        <v>201314121</v>
      </c>
    </row>
    <row r="34" spans="1:7">
      <c r="A34" s="211"/>
      <c r="C34" s="216"/>
      <c r="D34" s="242"/>
      <c r="E34" s="242"/>
      <c r="F34" s="242"/>
      <c r="G34" s="216"/>
    </row>
    <row r="35" spans="1:7">
      <c r="A35" s="211"/>
      <c r="C35" s="216"/>
      <c r="D35" s="242"/>
      <c r="E35" s="242"/>
      <c r="F35" s="242"/>
      <c r="G35" s="259"/>
    </row>
    <row r="36" spans="1:7">
      <c r="A36" s="211">
        <f>A27+1</f>
        <v>3</v>
      </c>
      <c r="B36" s="217" t="s">
        <v>28</v>
      </c>
      <c r="D36" s="242"/>
      <c r="E36" s="242"/>
      <c r="F36" s="242"/>
      <c r="G36" s="216"/>
    </row>
    <row r="37" spans="1:7">
      <c r="A37" s="211"/>
      <c r="C37" s="217" t="s">
        <v>412</v>
      </c>
      <c r="D37" s="242"/>
      <c r="E37" s="242"/>
      <c r="F37" s="242"/>
      <c r="G37" s="216"/>
    </row>
    <row r="38" spans="1:7">
      <c r="A38" s="211"/>
      <c r="C38" s="217" t="s">
        <v>413</v>
      </c>
      <c r="D38" s="242"/>
      <c r="E38" s="242"/>
      <c r="F38" s="242"/>
      <c r="G38" s="216"/>
    </row>
    <row r="39" spans="1:7">
      <c r="A39" s="211"/>
      <c r="C39" s="216"/>
      <c r="D39" s="242"/>
      <c r="F39" s="238" t="s">
        <v>182</v>
      </c>
      <c r="G39" s="212">
        <f>A36</f>
        <v>3</v>
      </c>
    </row>
    <row r="40" spans="1:7" ht="26.4">
      <c r="A40" s="211"/>
      <c r="C40" s="216"/>
      <c r="D40" s="242"/>
      <c r="E40" s="243" t="s">
        <v>186</v>
      </c>
      <c r="F40" s="244"/>
      <c r="G40" s="214" t="s">
        <v>380</v>
      </c>
    </row>
    <row r="41" spans="1:7">
      <c r="A41" s="211"/>
      <c r="C41" s="216"/>
      <c r="D41" s="242"/>
      <c r="E41" s="245" t="s">
        <v>494</v>
      </c>
      <c r="F41" s="246"/>
      <c r="G41" s="197">
        <v>0</v>
      </c>
    </row>
    <row r="42" spans="1:7">
      <c r="A42" s="211"/>
      <c r="C42" s="216"/>
      <c r="D42" s="242"/>
      <c r="E42" s="245" t="s">
        <v>495</v>
      </c>
      <c r="F42" s="246"/>
      <c r="G42" s="197">
        <v>0</v>
      </c>
    </row>
    <row r="43" spans="1:7">
      <c r="A43" s="211"/>
      <c r="C43" s="216"/>
      <c r="D43" s="242"/>
      <c r="E43" s="263" t="s">
        <v>516</v>
      </c>
      <c r="F43" s="246"/>
      <c r="G43" s="197">
        <v>0</v>
      </c>
    </row>
    <row r="44" spans="1:7">
      <c r="A44" s="211"/>
      <c r="E44" s="263" t="s">
        <v>522</v>
      </c>
      <c r="F44" s="246"/>
      <c r="G44" s="197">
        <v>0</v>
      </c>
    </row>
    <row r="45" spans="1:7">
      <c r="A45" s="211"/>
      <c r="E45" s="247" t="s">
        <v>170</v>
      </c>
      <c r="F45" s="248"/>
      <c r="G45" s="203">
        <f>SUM(G41:G44)</f>
        <v>0</v>
      </c>
    </row>
    <row r="46" spans="1:7">
      <c r="A46" s="211"/>
      <c r="E46" s="242"/>
      <c r="F46" s="242"/>
      <c r="G46" s="242"/>
    </row>
    <row r="47" spans="1:7">
      <c r="A47" s="211">
        <f>A36+1</f>
        <v>4</v>
      </c>
      <c r="B47" s="198" t="s">
        <v>31</v>
      </c>
      <c r="G47" s="72"/>
    </row>
    <row r="48" spans="1:7">
      <c r="A48" s="211"/>
      <c r="B48" s="200"/>
      <c r="C48" s="198" t="s">
        <v>385</v>
      </c>
    </row>
    <row r="49" spans="1:9">
      <c r="A49" s="211"/>
      <c r="F49" s="238" t="s">
        <v>182</v>
      </c>
      <c r="G49" s="212">
        <f>A47</f>
        <v>4</v>
      </c>
    </row>
    <row r="50" spans="1:9">
      <c r="A50" s="211"/>
      <c r="B50" s="207">
        <v>1</v>
      </c>
      <c r="C50" s="208" t="s">
        <v>32</v>
      </c>
      <c r="D50" s="241"/>
      <c r="E50" s="241"/>
      <c r="F50" s="246"/>
      <c r="G50" s="197">
        <v>50225257</v>
      </c>
    </row>
    <row r="51" spans="1:9">
      <c r="A51" s="211"/>
      <c r="B51" s="207">
        <v>2</v>
      </c>
      <c r="C51" s="208" t="s">
        <v>185</v>
      </c>
      <c r="D51" s="241"/>
      <c r="E51" s="241"/>
      <c r="F51" s="246"/>
      <c r="G51" s="197">
        <v>125625</v>
      </c>
      <c r="I51" s="217"/>
    </row>
    <row r="52" spans="1:9">
      <c r="A52" s="211"/>
      <c r="B52" s="207">
        <v>3</v>
      </c>
      <c r="C52" s="208" t="s">
        <v>381</v>
      </c>
      <c r="D52" s="241"/>
      <c r="E52" s="241"/>
      <c r="F52" s="246"/>
      <c r="G52" s="197">
        <v>-62813</v>
      </c>
    </row>
    <row r="53" spans="1:9">
      <c r="A53" s="211"/>
      <c r="B53" s="207">
        <v>4</v>
      </c>
      <c r="C53" s="208" t="s">
        <v>33</v>
      </c>
      <c r="D53" s="241"/>
      <c r="E53" s="241"/>
      <c r="F53" s="246"/>
      <c r="G53" s="197"/>
    </row>
    <row r="54" spans="1:9">
      <c r="A54" s="211"/>
      <c r="B54" s="207">
        <v>5</v>
      </c>
      <c r="C54" s="208" t="s">
        <v>34</v>
      </c>
      <c r="D54" s="241"/>
      <c r="E54" s="241"/>
      <c r="F54" s="246"/>
      <c r="G54" s="197">
        <v>0</v>
      </c>
    </row>
    <row r="55" spans="1:9">
      <c r="A55" s="211"/>
      <c r="B55" s="207">
        <v>6</v>
      </c>
      <c r="C55" s="208" t="s">
        <v>35</v>
      </c>
      <c r="D55" s="241"/>
      <c r="E55" s="241"/>
      <c r="F55" s="246"/>
      <c r="G55" s="197">
        <v>0</v>
      </c>
    </row>
    <row r="56" spans="1:9">
      <c r="A56" s="211"/>
      <c r="B56" s="207">
        <v>7</v>
      </c>
      <c r="C56" s="208" t="s">
        <v>36</v>
      </c>
      <c r="D56" s="241"/>
      <c r="E56" s="241"/>
      <c r="F56" s="246"/>
      <c r="G56" s="197">
        <f>3290000+1100000</f>
        <v>4390000</v>
      </c>
    </row>
    <row r="57" spans="1:9">
      <c r="A57" s="211"/>
      <c r="B57" s="204"/>
      <c r="C57" s="213"/>
      <c r="D57" s="247" t="s">
        <v>180</v>
      </c>
      <c r="E57" s="241"/>
      <c r="F57" s="246"/>
      <c r="G57" s="197">
        <f>SUM(G50:G56)</f>
        <v>54678069</v>
      </c>
    </row>
    <row r="58" spans="1:9">
      <c r="A58" s="211"/>
      <c r="B58" s="217"/>
      <c r="C58" s="333"/>
      <c r="D58" s="259"/>
      <c r="E58" s="242"/>
      <c r="F58" s="242"/>
      <c r="G58" s="217"/>
    </row>
    <row r="59" spans="1:9">
      <c r="A59" s="211"/>
    </row>
    <row r="60" spans="1:9">
      <c r="A60" s="211"/>
    </row>
    <row r="61" spans="1:9">
      <c r="A61" s="211">
        <f>A47+1</f>
        <v>5</v>
      </c>
      <c r="B61" s="198" t="s">
        <v>47</v>
      </c>
    </row>
    <row r="62" spans="1:9">
      <c r="A62" s="211"/>
      <c r="C62" s="198" t="s">
        <v>397</v>
      </c>
    </row>
    <row r="63" spans="1:9">
      <c r="A63" s="211"/>
      <c r="C63" s="198" t="s">
        <v>398</v>
      </c>
    </row>
    <row r="64" spans="1:9">
      <c r="A64" s="211"/>
    </row>
    <row r="65" spans="1:7">
      <c r="A65" s="211"/>
      <c r="F65" s="238" t="s">
        <v>182</v>
      </c>
      <c r="G65" s="212">
        <f>A61</f>
        <v>5</v>
      </c>
    </row>
    <row r="66" spans="1:7" ht="26.4">
      <c r="A66" s="211"/>
      <c r="B66" s="197" t="s">
        <v>103</v>
      </c>
      <c r="C66" s="197" t="s">
        <v>186</v>
      </c>
      <c r="D66" s="249" t="s">
        <v>377</v>
      </c>
      <c r="E66" s="250" t="s">
        <v>204</v>
      </c>
      <c r="F66" s="250" t="s">
        <v>192</v>
      </c>
      <c r="G66" s="214" t="s">
        <v>380</v>
      </c>
    </row>
    <row r="67" spans="1:7">
      <c r="A67" s="211"/>
      <c r="B67" s="197">
        <v>1</v>
      </c>
      <c r="C67" s="197" t="s">
        <v>193</v>
      </c>
      <c r="D67" s="197">
        <f>AAM!D8</f>
        <v>0</v>
      </c>
      <c r="E67" s="197"/>
      <c r="F67" s="197"/>
      <c r="G67" s="197">
        <f>D67+E67-F67</f>
        <v>0</v>
      </c>
    </row>
    <row r="68" spans="1:7">
      <c r="A68" s="211"/>
      <c r="B68" s="197">
        <f>B67+1</f>
        <v>2</v>
      </c>
      <c r="C68" s="197" t="s">
        <v>49</v>
      </c>
      <c r="D68" s="197">
        <f>AAM!D10</f>
        <v>153108830</v>
      </c>
      <c r="E68" s="197">
        <f>AAM!E10</f>
        <v>0</v>
      </c>
      <c r="F68" s="197">
        <f>AAM!F10</f>
        <v>0</v>
      </c>
      <c r="G68" s="197">
        <f>D68+E68-F68</f>
        <v>153108830</v>
      </c>
    </row>
    <row r="69" spans="1:7">
      <c r="A69" s="211"/>
      <c r="B69" s="197" t="s">
        <v>20</v>
      </c>
      <c r="C69" s="197" t="s">
        <v>382</v>
      </c>
      <c r="D69" s="197">
        <f>AAM!D26</f>
        <v>5173826</v>
      </c>
      <c r="E69" s="197">
        <f>AAM!E26</f>
        <v>3564983.45</v>
      </c>
      <c r="F69" s="197">
        <f>AAM!F26</f>
        <v>0</v>
      </c>
      <c r="G69" s="197">
        <f>D69+E69-F69</f>
        <v>8738809.4499999993</v>
      </c>
    </row>
    <row r="70" spans="1:7">
      <c r="A70" s="211"/>
      <c r="B70" s="203" t="s">
        <v>20</v>
      </c>
      <c r="C70" s="203" t="s">
        <v>189</v>
      </c>
      <c r="D70" s="203">
        <f>D68-D69</f>
        <v>147935004</v>
      </c>
      <c r="E70" s="203">
        <f t="shared" ref="E70:F70" si="2">E68-E69</f>
        <v>-3564983.45</v>
      </c>
      <c r="F70" s="203">
        <f t="shared" si="2"/>
        <v>0</v>
      </c>
      <c r="G70" s="203">
        <f>G68-G69</f>
        <v>144370020.55000001</v>
      </c>
    </row>
    <row r="71" spans="1:7">
      <c r="A71" s="211"/>
      <c r="B71" s="197">
        <f>+B68+1</f>
        <v>3</v>
      </c>
      <c r="C71" s="197" t="s">
        <v>383</v>
      </c>
      <c r="D71" s="197">
        <f>'AMORTIZIMI AAM'!C13</f>
        <v>0</v>
      </c>
      <c r="E71" s="197"/>
      <c r="F71" s="197"/>
      <c r="G71" s="197">
        <f>D71+E71-F71</f>
        <v>0</v>
      </c>
    </row>
    <row r="72" spans="1:7">
      <c r="A72" s="211"/>
      <c r="B72" s="197" t="s">
        <v>20</v>
      </c>
      <c r="C72" s="197" t="s">
        <v>382</v>
      </c>
      <c r="D72" s="197">
        <f>AAM!D25</f>
        <v>0</v>
      </c>
      <c r="E72" s="197"/>
      <c r="F72" s="197"/>
      <c r="G72" s="197">
        <f>D72+E72-F72</f>
        <v>0</v>
      </c>
    </row>
    <row r="73" spans="1:7">
      <c r="A73" s="211"/>
      <c r="B73" s="203" t="s">
        <v>20</v>
      </c>
      <c r="C73" s="203" t="s">
        <v>189</v>
      </c>
      <c r="D73" s="203">
        <f>D71-D72</f>
        <v>0</v>
      </c>
      <c r="E73" s="203"/>
      <c r="F73" s="203"/>
      <c r="G73" s="203">
        <f>G71-G72</f>
        <v>0</v>
      </c>
    </row>
    <row r="74" spans="1:7">
      <c r="A74" s="211"/>
      <c r="B74" s="197">
        <f>+B71+1</f>
        <v>4</v>
      </c>
      <c r="C74" s="197" t="s">
        <v>196</v>
      </c>
      <c r="D74" s="336">
        <f>'AMORTIZIMI AAM'!C16</f>
        <v>53210418</v>
      </c>
      <c r="E74" s="197">
        <f>AAM!E11</f>
        <v>2547001</v>
      </c>
      <c r="F74" s="197">
        <f>AAM!F11</f>
        <v>0</v>
      </c>
      <c r="G74" s="197">
        <f>D74+E74-F74</f>
        <v>55757419</v>
      </c>
    </row>
    <row r="75" spans="1:7">
      <c r="A75" s="211"/>
      <c r="B75" s="197" t="s">
        <v>20</v>
      </c>
      <c r="C75" s="197" t="s">
        <v>382</v>
      </c>
      <c r="D75" s="197">
        <f>'AMORTIZIMI AAM'!H16</f>
        <v>25302044</v>
      </c>
      <c r="E75" s="197">
        <f>AAM!E27</f>
        <v>6045491.583333333</v>
      </c>
      <c r="F75" s="197">
        <f>AAM!F27</f>
        <v>0</v>
      </c>
      <c r="G75" s="197">
        <f>D75+E75-F75</f>
        <v>31347535.583333332</v>
      </c>
    </row>
    <row r="76" spans="1:7">
      <c r="A76" s="211"/>
      <c r="B76" s="203" t="s">
        <v>20</v>
      </c>
      <c r="C76" s="203" t="s">
        <v>189</v>
      </c>
      <c r="D76" s="203">
        <f>D74-D75</f>
        <v>27908374</v>
      </c>
      <c r="E76" s="203">
        <f>E74-E75</f>
        <v>-3498490.583333333</v>
      </c>
      <c r="F76" s="203">
        <f>F74-F75</f>
        <v>0</v>
      </c>
      <c r="G76" s="203">
        <f>G74-G75</f>
        <v>24409883.416666668</v>
      </c>
    </row>
    <row r="77" spans="1:7">
      <c r="A77" s="211"/>
      <c r="B77" s="197">
        <f>+B74+1</f>
        <v>5</v>
      </c>
      <c r="C77" s="197" t="s">
        <v>197</v>
      </c>
      <c r="D77" s="197">
        <f>'AMORTIZIMI AAM'!C23</f>
        <v>10204701</v>
      </c>
      <c r="E77" s="197">
        <f>AAM!E12</f>
        <v>0</v>
      </c>
      <c r="F77" s="197">
        <f>AAM!F12</f>
        <v>0</v>
      </c>
      <c r="G77" s="197">
        <f>D77+E77-F77</f>
        <v>10204701</v>
      </c>
    </row>
    <row r="78" spans="1:7">
      <c r="A78" s="211"/>
      <c r="B78" s="197" t="s">
        <v>20</v>
      </c>
      <c r="C78" s="197" t="s">
        <v>382</v>
      </c>
      <c r="D78" s="197">
        <f>'AMORTIZIMI AAM'!H23</f>
        <v>3614220</v>
      </c>
      <c r="E78" s="197">
        <f>AAM!E28</f>
        <v>1318096.2</v>
      </c>
      <c r="F78" s="197">
        <f>AAM!F28</f>
        <v>0</v>
      </c>
      <c r="G78" s="197">
        <f>D78+E78-F78</f>
        <v>4932316.2</v>
      </c>
    </row>
    <row r="79" spans="1:7">
      <c r="A79" s="211"/>
      <c r="B79" s="203" t="s">
        <v>20</v>
      </c>
      <c r="C79" s="203" t="s">
        <v>189</v>
      </c>
      <c r="D79" s="203">
        <f>D77-D78</f>
        <v>6590481</v>
      </c>
      <c r="E79" s="203">
        <f>E77-E78</f>
        <v>-1318096.2</v>
      </c>
      <c r="F79" s="203">
        <f>F77-F78</f>
        <v>0</v>
      </c>
      <c r="G79" s="203">
        <f>G77-G78</f>
        <v>5272384.8</v>
      </c>
    </row>
    <row r="80" spans="1:7">
      <c r="A80" s="211"/>
      <c r="B80" s="197">
        <f>+B77+1</f>
        <v>6</v>
      </c>
      <c r="C80" s="197" t="s">
        <v>198</v>
      </c>
      <c r="D80" s="197">
        <f>'AMORTIZIMI AAM'!C27</f>
        <v>89123</v>
      </c>
      <c r="E80" s="197">
        <f>AAM!E13</f>
        <v>0</v>
      </c>
      <c r="F80" s="197">
        <f>AAM!F17</f>
        <v>0</v>
      </c>
      <c r="G80" s="197">
        <f>D80+E80-F80</f>
        <v>89123</v>
      </c>
    </row>
    <row r="81" spans="1:7">
      <c r="A81" s="211"/>
      <c r="B81" s="197" t="s">
        <v>20</v>
      </c>
      <c r="C81" s="197" t="s">
        <v>382</v>
      </c>
      <c r="D81" s="197">
        <f>'AMORTIZIMI AAM'!H27</f>
        <v>0</v>
      </c>
      <c r="E81" s="197">
        <f>AAM!E29</f>
        <v>22280.75</v>
      </c>
      <c r="F81" s="197"/>
      <c r="G81" s="197">
        <f>D81+E81-F81</f>
        <v>22280.75</v>
      </c>
    </row>
    <row r="82" spans="1:7">
      <c r="A82" s="211"/>
      <c r="B82" s="203" t="s">
        <v>20</v>
      </c>
      <c r="C82" s="203" t="s">
        <v>189</v>
      </c>
      <c r="D82" s="203">
        <f>D80-D81</f>
        <v>89123</v>
      </c>
      <c r="E82" s="203">
        <f>E80-E81</f>
        <v>-22280.75</v>
      </c>
      <c r="F82" s="197">
        <f>AAM!F19</f>
        <v>0</v>
      </c>
      <c r="G82" s="203">
        <f>G80-G81</f>
        <v>66842.25</v>
      </c>
    </row>
    <row r="83" spans="1:7">
      <c r="A83" s="211"/>
      <c r="B83" s="197">
        <f>+B80+1</f>
        <v>7</v>
      </c>
      <c r="C83" s="197" t="s">
        <v>199</v>
      </c>
      <c r="D83" s="197">
        <f>'AMORTIZIMI AAM'!C31</f>
        <v>469000</v>
      </c>
      <c r="E83" s="197">
        <f>AAM!E14</f>
        <v>0</v>
      </c>
      <c r="F83" s="197">
        <f>AAM!F20</f>
        <v>0</v>
      </c>
      <c r="G83" s="197">
        <f>D83+E83-F83</f>
        <v>469000</v>
      </c>
    </row>
    <row r="84" spans="1:7">
      <c r="A84" s="211"/>
      <c r="B84" s="197" t="s">
        <v>20</v>
      </c>
      <c r="C84" s="197" t="s">
        <v>382</v>
      </c>
      <c r="D84" s="197">
        <f>'AMORTIZIMI AAM'!H31</f>
        <v>16800</v>
      </c>
      <c r="E84" s="197">
        <f>AAM!E30</f>
        <v>90440</v>
      </c>
      <c r="F84" s="197">
        <f>AAM!F21</f>
        <v>0</v>
      </c>
      <c r="G84" s="197">
        <f>D84+E84-F84</f>
        <v>107240</v>
      </c>
    </row>
    <row r="85" spans="1:7">
      <c r="A85" s="211"/>
      <c r="B85" s="203" t="s">
        <v>20</v>
      </c>
      <c r="C85" s="203" t="s">
        <v>189</v>
      </c>
      <c r="D85" s="203">
        <f>D83-D84</f>
        <v>452200</v>
      </c>
      <c r="E85" s="203">
        <f>E83-E84</f>
        <v>-90440</v>
      </c>
      <c r="F85" s="197"/>
      <c r="G85" s="203">
        <f>G83-G84</f>
        <v>361760</v>
      </c>
    </row>
    <row r="86" spans="1:7">
      <c r="A86" s="211"/>
      <c r="B86" s="203"/>
      <c r="C86" s="203" t="s">
        <v>389</v>
      </c>
      <c r="D86" s="203">
        <f>D67+D70+D73+D76+D79+D82+D85</f>
        <v>182975182</v>
      </c>
      <c r="E86" s="303">
        <f>E67+E68+E71+E74+E77+E80+E83</f>
        <v>2547001</v>
      </c>
      <c r="F86" s="197">
        <f>F67+F70+F73+F76+F79+F82+F85</f>
        <v>0</v>
      </c>
      <c r="G86" s="203">
        <f>G67+G70+G73+G76+G79+G82+G85</f>
        <v>174480891.01666668</v>
      </c>
    </row>
    <row r="87" spans="1:7">
      <c r="A87" s="211"/>
      <c r="D87" s="72">
        <f>D86-'AMORTIZIMI AAM'!L36</f>
        <v>0</v>
      </c>
      <c r="E87" s="72">
        <v>0</v>
      </c>
      <c r="G87" s="198">
        <v>0</v>
      </c>
    </row>
    <row r="88" spans="1:7">
      <c r="A88" s="210" t="s">
        <v>414</v>
      </c>
      <c r="B88" s="199"/>
      <c r="C88" s="199" t="s">
        <v>386</v>
      </c>
    </row>
    <row r="89" spans="1:7">
      <c r="A89" s="210"/>
      <c r="B89" s="199"/>
      <c r="C89" s="199"/>
    </row>
    <row r="90" spans="1:7">
      <c r="A90" s="211">
        <f>A61+1</f>
        <v>6</v>
      </c>
      <c r="B90" s="198" t="s">
        <v>392</v>
      </c>
    </row>
    <row r="91" spans="1:7">
      <c r="A91" s="211"/>
      <c r="C91" s="198" t="s">
        <v>390</v>
      </c>
    </row>
    <row r="92" spans="1:7">
      <c r="A92" s="211"/>
      <c r="C92" s="198" t="s">
        <v>391</v>
      </c>
    </row>
    <row r="93" spans="1:7">
      <c r="A93" s="211"/>
    </row>
    <row r="94" spans="1:7">
      <c r="A94" s="211"/>
      <c r="F94" s="238" t="s">
        <v>182</v>
      </c>
      <c r="G94" s="212">
        <f>A90</f>
        <v>6</v>
      </c>
    </row>
    <row r="95" spans="1:7" ht="26.4">
      <c r="A95" s="211"/>
      <c r="B95" s="204" t="s">
        <v>186</v>
      </c>
      <c r="C95" s="205"/>
      <c r="D95" s="249" t="s">
        <v>377</v>
      </c>
      <c r="E95" s="250" t="s">
        <v>204</v>
      </c>
      <c r="F95" s="250" t="s">
        <v>192</v>
      </c>
      <c r="G95" s="214" t="s">
        <v>380</v>
      </c>
    </row>
    <row r="96" spans="1:7">
      <c r="A96" s="211" t="s">
        <v>20</v>
      </c>
      <c r="B96" s="197" t="s">
        <v>387</v>
      </c>
      <c r="C96" s="197"/>
      <c r="D96" s="197"/>
      <c r="E96" s="197"/>
      <c r="F96" s="197">
        <f>D96+E96-G96</f>
        <v>0</v>
      </c>
      <c r="G96" s="197"/>
    </row>
    <row r="97" spans="1:11">
      <c r="A97" s="211" t="s">
        <v>20</v>
      </c>
      <c r="B97" s="197" t="s">
        <v>388</v>
      </c>
      <c r="C97" s="197"/>
      <c r="D97" s="197">
        <v>0</v>
      </c>
      <c r="E97" s="198">
        <v>0</v>
      </c>
      <c r="F97" s="197">
        <v>0</v>
      </c>
      <c r="G97" s="197">
        <f>D97+E97-F97</f>
        <v>0</v>
      </c>
    </row>
    <row r="98" spans="1:11">
      <c r="A98" s="211"/>
      <c r="B98" s="203" t="s">
        <v>170</v>
      </c>
      <c r="C98" s="203"/>
      <c r="D98" s="203">
        <f>SUM(D96:D97)</f>
        <v>0</v>
      </c>
      <c r="E98" s="203">
        <f>SUM(E96:E97)</f>
        <v>0</v>
      </c>
      <c r="F98" s="203">
        <f>SUM(F96:F97)</f>
        <v>0</v>
      </c>
      <c r="G98" s="203">
        <f>SUM(G96:G97)</f>
        <v>0</v>
      </c>
    </row>
    <row r="99" spans="1:11">
      <c r="A99" s="211"/>
      <c r="B99" s="216"/>
      <c r="C99" s="216"/>
      <c r="D99" s="259"/>
      <c r="E99" s="259"/>
      <c r="F99" s="259"/>
      <c r="G99" s="259"/>
    </row>
    <row r="100" spans="1:11">
      <c r="A100" s="211"/>
      <c r="B100" s="216"/>
      <c r="C100" s="216"/>
      <c r="D100" s="259"/>
      <c r="E100" s="259"/>
      <c r="F100" s="259"/>
      <c r="G100" s="259"/>
    </row>
    <row r="101" spans="1:11">
      <c r="A101" s="211">
        <f>A90+1</f>
        <v>7</v>
      </c>
      <c r="B101" s="198" t="s">
        <v>67</v>
      </c>
      <c r="I101" s="217"/>
      <c r="J101" s="198">
        <v>0</v>
      </c>
    </row>
    <row r="102" spans="1:11">
      <c r="A102" s="211"/>
      <c r="C102" s="198" t="s">
        <v>393</v>
      </c>
      <c r="K102" s="217"/>
    </row>
    <row r="103" spans="1:11">
      <c r="A103" s="211"/>
      <c r="F103" s="238" t="s">
        <v>182</v>
      </c>
      <c r="G103" s="212">
        <f>A101</f>
        <v>7</v>
      </c>
    </row>
    <row r="104" spans="1:11">
      <c r="A104" s="211"/>
      <c r="C104" s="204" t="s">
        <v>420</v>
      </c>
      <c r="D104" s="241"/>
      <c r="E104" s="241"/>
      <c r="F104" s="241"/>
      <c r="G104" s="197">
        <f>Pasivi!E14</f>
        <v>196443195</v>
      </c>
      <c r="I104" s="217"/>
    </row>
    <row r="105" spans="1:11">
      <c r="A105" s="211"/>
      <c r="C105" s="204" t="s">
        <v>396</v>
      </c>
      <c r="D105" s="241"/>
      <c r="E105" s="241"/>
      <c r="F105" s="241"/>
      <c r="G105" s="197">
        <f>98987534+242107+595</f>
        <v>99230236</v>
      </c>
    </row>
    <row r="106" spans="1:11">
      <c r="A106" s="211"/>
      <c r="C106" s="204" t="s">
        <v>394</v>
      </c>
      <c r="D106" s="241"/>
      <c r="E106" s="241"/>
      <c r="F106" s="241"/>
      <c r="G106" s="197">
        <v>82926714</v>
      </c>
    </row>
    <row r="107" spans="1:11">
      <c r="A107" s="211"/>
      <c r="C107" s="206" t="s">
        <v>395</v>
      </c>
      <c r="D107" s="241"/>
      <c r="E107" s="241"/>
      <c r="F107" s="241"/>
      <c r="G107" s="203">
        <f>G104+G105-G106</f>
        <v>212746717</v>
      </c>
    </row>
    <row r="108" spans="1:11">
      <c r="A108" s="211"/>
      <c r="C108" s="216"/>
      <c r="D108" s="242"/>
      <c r="E108" s="242"/>
      <c r="F108" s="242"/>
      <c r="G108" s="216"/>
    </row>
    <row r="109" spans="1:11">
      <c r="A109" s="211"/>
    </row>
    <row r="110" spans="1:11">
      <c r="A110" s="211">
        <f>A101+1</f>
        <v>8</v>
      </c>
      <c r="B110" s="198" t="s">
        <v>68</v>
      </c>
    </row>
    <row r="111" spans="1:11">
      <c r="A111" s="211"/>
      <c r="C111" s="198" t="s">
        <v>399</v>
      </c>
    </row>
    <row r="112" spans="1:11" ht="14.4">
      <c r="A112" s="211"/>
      <c r="B112"/>
      <c r="C112"/>
      <c r="D112" s="251"/>
      <c r="F112" s="238" t="s">
        <v>182</v>
      </c>
      <c r="G112" s="212">
        <f>A110</f>
        <v>8</v>
      </c>
    </row>
    <row r="113" spans="1:7" ht="26.4">
      <c r="A113" s="211"/>
      <c r="B113"/>
      <c r="C113"/>
      <c r="D113" s="251"/>
      <c r="E113" s="245" t="s">
        <v>186</v>
      </c>
      <c r="F113" s="244"/>
      <c r="G113" s="201" t="s">
        <v>380</v>
      </c>
    </row>
    <row r="114" spans="1:7" ht="14.4">
      <c r="A114" s="211"/>
      <c r="B114"/>
      <c r="C114"/>
      <c r="D114" s="252" t="s">
        <v>20</v>
      </c>
      <c r="E114" s="245" t="s">
        <v>419</v>
      </c>
      <c r="F114" s="244"/>
      <c r="G114" s="201">
        <v>12242712</v>
      </c>
    </row>
    <row r="115" spans="1:7" ht="14.4">
      <c r="A115" s="211"/>
      <c r="B115"/>
      <c r="C115"/>
      <c r="D115" s="252" t="s">
        <v>20</v>
      </c>
      <c r="E115" s="245" t="s">
        <v>403</v>
      </c>
      <c r="F115" s="244"/>
      <c r="G115" s="201"/>
    </row>
    <row r="116" spans="1:7">
      <c r="A116" s="211"/>
      <c r="E116" s="247" t="s">
        <v>180</v>
      </c>
      <c r="F116" s="253"/>
      <c r="G116" s="304">
        <f>G114+G115</f>
        <v>12242712</v>
      </c>
    </row>
    <row r="117" spans="1:7">
      <c r="A117" s="211"/>
      <c r="E117" s="259"/>
      <c r="F117" s="334"/>
      <c r="G117" s="335"/>
    </row>
    <row r="118" spans="1:7">
      <c r="A118" s="211">
        <f>A110+1</f>
        <v>9</v>
      </c>
      <c r="B118" s="198" t="s">
        <v>69</v>
      </c>
    </row>
    <row r="119" spans="1:7">
      <c r="A119" s="211"/>
      <c r="C119" s="198" t="s">
        <v>406</v>
      </c>
    </row>
    <row r="120" spans="1:7">
      <c r="A120" s="211"/>
    </row>
    <row r="121" spans="1:7" ht="14.4">
      <c r="A121" s="211"/>
      <c r="B121"/>
      <c r="C121"/>
      <c r="F121" s="238" t="s">
        <v>182</v>
      </c>
      <c r="G121" s="212">
        <f>A118</f>
        <v>9</v>
      </c>
    </row>
    <row r="122" spans="1:7" ht="26.4">
      <c r="A122" s="211"/>
      <c r="B122"/>
      <c r="C122"/>
      <c r="E122" s="245" t="s">
        <v>186</v>
      </c>
      <c r="F122" s="244"/>
      <c r="G122" s="201" t="s">
        <v>380</v>
      </c>
    </row>
    <row r="123" spans="1:7" ht="14.4">
      <c r="A123" s="211"/>
      <c r="B123"/>
      <c r="C123"/>
      <c r="D123" s="252" t="s">
        <v>20</v>
      </c>
      <c r="E123" s="245" t="s">
        <v>400</v>
      </c>
      <c r="F123" s="244"/>
      <c r="G123" s="201">
        <f>G277</f>
        <v>345416.50166666508</v>
      </c>
    </row>
    <row r="124" spans="1:7" ht="14.4">
      <c r="A124" s="211"/>
      <c r="B124"/>
      <c r="C124"/>
      <c r="D124" s="252" t="s">
        <v>20</v>
      </c>
      <c r="E124" s="245" t="s">
        <v>404</v>
      </c>
      <c r="F124" s="244"/>
      <c r="G124" s="201">
        <v>113254</v>
      </c>
    </row>
    <row r="125" spans="1:7">
      <c r="A125" s="211"/>
      <c r="D125" s="252" t="s">
        <v>20</v>
      </c>
      <c r="E125" s="245" t="s">
        <v>402</v>
      </c>
      <c r="F125" s="244"/>
      <c r="G125" s="201">
        <v>96480</v>
      </c>
    </row>
    <row r="126" spans="1:7">
      <c r="A126" s="211"/>
      <c r="D126" s="252" t="s">
        <v>20</v>
      </c>
      <c r="E126" s="245" t="s">
        <v>405</v>
      </c>
      <c r="F126" s="244"/>
      <c r="G126" s="201">
        <v>30420</v>
      </c>
    </row>
    <row r="127" spans="1:7">
      <c r="A127" s="211"/>
      <c r="D127" s="252" t="s">
        <v>20</v>
      </c>
      <c r="E127" s="245" t="s">
        <v>401</v>
      </c>
      <c r="F127" s="244"/>
      <c r="G127" s="201"/>
    </row>
    <row r="128" spans="1:7">
      <c r="A128" s="211"/>
      <c r="D128" s="252" t="s">
        <v>20</v>
      </c>
      <c r="E128" s="245" t="s">
        <v>403</v>
      </c>
      <c r="F128" s="244"/>
      <c r="G128" s="201">
        <v>0</v>
      </c>
    </row>
    <row r="129" spans="1:7">
      <c r="A129" s="211"/>
      <c r="E129" s="247" t="s">
        <v>170</v>
      </c>
      <c r="F129" s="253"/>
      <c r="G129" s="304">
        <f>SUM(G123:G128)</f>
        <v>585570.50166666508</v>
      </c>
    </row>
    <row r="130" spans="1:7">
      <c r="A130" s="211"/>
    </row>
    <row r="131" spans="1:7">
      <c r="A131" s="211">
        <f>A118+1</f>
        <v>10</v>
      </c>
      <c r="B131" s="198" t="s">
        <v>70</v>
      </c>
    </row>
    <row r="132" spans="1:7">
      <c r="A132" s="211"/>
      <c r="C132" s="198" t="s">
        <v>407</v>
      </c>
    </row>
    <row r="133" spans="1:7">
      <c r="A133" s="211"/>
      <c r="F133" s="238" t="s">
        <v>182</v>
      </c>
      <c r="G133" s="212">
        <f>A131</f>
        <v>10</v>
      </c>
    </row>
    <row r="134" spans="1:7" ht="26.4">
      <c r="A134" s="211"/>
      <c r="E134" s="245" t="s">
        <v>186</v>
      </c>
      <c r="F134" s="244"/>
      <c r="G134" s="201" t="s">
        <v>380</v>
      </c>
    </row>
    <row r="135" spans="1:7">
      <c r="A135" s="211"/>
      <c r="E135" s="245" t="s">
        <v>421</v>
      </c>
      <c r="F135" s="244"/>
      <c r="G135" s="201">
        <v>65117746</v>
      </c>
    </row>
    <row r="136" spans="1:7">
      <c r="A136" s="211"/>
      <c r="E136" s="344" t="s">
        <v>548</v>
      </c>
      <c r="F136" s="244"/>
      <c r="G136" s="201">
        <v>200000</v>
      </c>
    </row>
    <row r="137" spans="1:7">
      <c r="A137" s="211"/>
      <c r="E137" s="247" t="s">
        <v>170</v>
      </c>
      <c r="F137" s="253"/>
      <c r="G137" s="304">
        <f>SUM(G135:G136)</f>
        <v>65317746</v>
      </c>
    </row>
    <row r="138" spans="1:7">
      <c r="A138" s="211"/>
    </row>
    <row r="139" spans="1:7">
      <c r="A139" s="211">
        <f>A131+1</f>
        <v>11</v>
      </c>
      <c r="B139" s="198" t="s">
        <v>71</v>
      </c>
    </row>
    <row r="140" spans="1:7">
      <c r="A140" s="211"/>
      <c r="C140" s="198" t="s">
        <v>408</v>
      </c>
    </row>
    <row r="141" spans="1:7">
      <c r="A141" s="211"/>
      <c r="F141" s="238" t="s">
        <v>182</v>
      </c>
      <c r="G141" s="212">
        <f>A139</f>
        <v>11</v>
      </c>
    </row>
    <row r="142" spans="1:7" ht="26.4">
      <c r="A142" s="211"/>
      <c r="E142" s="245" t="s">
        <v>186</v>
      </c>
      <c r="F142" s="244"/>
      <c r="G142" s="201" t="s">
        <v>380</v>
      </c>
    </row>
    <row r="143" spans="1:7">
      <c r="A143" s="211"/>
      <c r="E143" s="344" t="s">
        <v>549</v>
      </c>
      <c r="F143" s="244"/>
      <c r="G143" s="201">
        <f>1041437+3290000+8958500</f>
        <v>13289937</v>
      </c>
    </row>
    <row r="144" spans="1:7">
      <c r="A144" s="211"/>
      <c r="E144" s="245" t="s">
        <v>403</v>
      </c>
      <c r="F144" s="244"/>
      <c r="G144" s="197">
        <v>0</v>
      </c>
    </row>
    <row r="145" spans="1:7">
      <c r="A145" s="211"/>
      <c r="E145" s="247" t="s">
        <v>170</v>
      </c>
      <c r="F145" s="253"/>
      <c r="G145" s="203">
        <f>SUM(G143:G144)</f>
        <v>13289937</v>
      </c>
    </row>
    <row r="146" spans="1:7">
      <c r="A146" s="211">
        <f>A139+1</f>
        <v>12</v>
      </c>
      <c r="B146" s="198" t="s">
        <v>76</v>
      </c>
    </row>
    <row r="147" spans="1:7">
      <c r="A147" s="211"/>
      <c r="C147" s="198" t="s">
        <v>473</v>
      </c>
    </row>
    <row r="148" spans="1:7">
      <c r="A148" s="211"/>
      <c r="C148" s="198" t="s">
        <v>417</v>
      </c>
    </row>
    <row r="149" spans="1:7">
      <c r="A149" s="211"/>
      <c r="F149" s="238" t="s">
        <v>182</v>
      </c>
      <c r="G149" s="212">
        <f>A146</f>
        <v>12</v>
      </c>
    </row>
    <row r="150" spans="1:7" ht="26.4">
      <c r="A150" s="211"/>
      <c r="B150" s="215" t="s">
        <v>103</v>
      </c>
      <c r="C150" s="215" t="s">
        <v>186</v>
      </c>
      <c r="D150" s="249" t="s">
        <v>377</v>
      </c>
      <c r="E150" s="250" t="s">
        <v>204</v>
      </c>
      <c r="F150" s="250" t="s">
        <v>192</v>
      </c>
      <c r="G150" s="214" t="s">
        <v>380</v>
      </c>
    </row>
    <row r="151" spans="1:7">
      <c r="A151" s="211"/>
      <c r="B151" s="197">
        <v>1</v>
      </c>
      <c r="C151" s="204" t="s">
        <v>409</v>
      </c>
      <c r="D151" s="197">
        <f>Pasivi!E23</f>
        <v>106885905</v>
      </c>
      <c r="E151" s="197">
        <v>162877554</v>
      </c>
      <c r="F151" s="197">
        <v>186571104</v>
      </c>
      <c r="G151" s="197">
        <f>D151+E151-F151</f>
        <v>83192355</v>
      </c>
    </row>
    <row r="152" spans="1:7">
      <c r="A152" s="211"/>
      <c r="B152" s="197">
        <v>2</v>
      </c>
      <c r="C152" s="204" t="s">
        <v>410</v>
      </c>
      <c r="D152" s="197"/>
      <c r="E152" s="197"/>
      <c r="F152" s="197">
        <v>0</v>
      </c>
      <c r="G152" s="197">
        <f>D152+F152-E152</f>
        <v>0</v>
      </c>
    </row>
    <row r="153" spans="1:7">
      <c r="A153" s="211"/>
      <c r="B153" s="197">
        <v>3</v>
      </c>
      <c r="C153" s="204" t="s">
        <v>411</v>
      </c>
      <c r="D153" s="197"/>
      <c r="E153" s="197"/>
      <c r="F153" s="197">
        <v>0</v>
      </c>
      <c r="G153" s="197">
        <f>D153+F153-E153</f>
        <v>0</v>
      </c>
    </row>
    <row r="154" spans="1:7">
      <c r="A154" s="211"/>
      <c r="B154" s="197">
        <v>4</v>
      </c>
      <c r="C154" s="204" t="s">
        <v>403</v>
      </c>
      <c r="D154" s="197"/>
      <c r="E154" s="197"/>
      <c r="F154" s="197">
        <v>0</v>
      </c>
      <c r="G154" s="197">
        <f>D154+F154-E154</f>
        <v>0</v>
      </c>
    </row>
    <row r="155" spans="1:7">
      <c r="A155" s="211"/>
      <c r="B155" s="203" t="s">
        <v>170</v>
      </c>
      <c r="C155" s="203"/>
      <c r="D155" s="203">
        <f>SUM(D151:D154)</f>
        <v>106885905</v>
      </c>
      <c r="E155" s="203">
        <f>SUM(E151:E154)</f>
        <v>162877554</v>
      </c>
      <c r="F155" s="203">
        <f>SUM(F151:F154)</f>
        <v>186571104</v>
      </c>
      <c r="G155" s="203">
        <f t="shared" ref="G155" si="3">SUM(G151:G154)</f>
        <v>83192355</v>
      </c>
    </row>
    <row r="156" spans="1:7">
      <c r="A156" s="211"/>
    </row>
    <row r="157" spans="1:7">
      <c r="A157" s="211"/>
    </row>
    <row r="158" spans="1:7">
      <c r="A158" s="210" t="s">
        <v>416</v>
      </c>
      <c r="B158" s="199"/>
      <c r="C158" s="199" t="s">
        <v>415</v>
      </c>
    </row>
    <row r="159" spans="1:7">
      <c r="A159" s="211"/>
    </row>
    <row r="160" spans="1:7">
      <c r="A160" s="211">
        <f>A146+1</f>
        <v>13</v>
      </c>
      <c r="B160" s="198" t="s">
        <v>108</v>
      </c>
    </row>
    <row r="161" spans="1:7">
      <c r="A161" s="211"/>
      <c r="C161" s="198" t="s">
        <v>451</v>
      </c>
    </row>
    <row r="162" spans="1:7">
      <c r="A162" s="211"/>
      <c r="C162" s="198" t="s">
        <v>452</v>
      </c>
    </row>
    <row r="163" spans="1:7">
      <c r="A163" s="211"/>
      <c r="F163" s="238" t="s">
        <v>182</v>
      </c>
      <c r="G163" s="219">
        <f>A160</f>
        <v>13</v>
      </c>
    </row>
    <row r="164" spans="1:7" ht="26.4">
      <c r="A164" s="211"/>
      <c r="D164" s="245" t="s">
        <v>186</v>
      </c>
      <c r="E164" s="241"/>
      <c r="F164" s="244"/>
      <c r="G164" s="201" t="s">
        <v>380</v>
      </c>
    </row>
    <row r="165" spans="1:7">
      <c r="D165" s="245" t="s">
        <v>443</v>
      </c>
      <c r="E165" s="241"/>
      <c r="F165" s="246"/>
      <c r="G165" s="197">
        <v>81530320</v>
      </c>
    </row>
    <row r="166" spans="1:7">
      <c r="D166" s="245" t="s">
        <v>444</v>
      </c>
      <c r="E166" s="241"/>
      <c r="F166" s="246"/>
      <c r="G166" s="197">
        <v>97282666</v>
      </c>
    </row>
    <row r="167" spans="1:7">
      <c r="D167" s="245" t="s">
        <v>445</v>
      </c>
      <c r="E167" s="241"/>
      <c r="F167" s="246"/>
      <c r="G167" s="197">
        <v>173750</v>
      </c>
    </row>
    <row r="168" spans="1:7">
      <c r="D168" s="245" t="s">
        <v>446</v>
      </c>
      <c r="E168" s="241"/>
      <c r="F168" s="246"/>
      <c r="G168" s="197">
        <v>0</v>
      </c>
    </row>
    <row r="169" spans="1:7">
      <c r="D169" s="263" t="s">
        <v>509</v>
      </c>
      <c r="E169" s="241"/>
      <c r="F169" s="246"/>
      <c r="G169" s="197">
        <v>0</v>
      </c>
    </row>
    <row r="170" spans="1:7">
      <c r="D170" s="263" t="s">
        <v>508</v>
      </c>
      <c r="E170" s="241"/>
      <c r="F170" s="246"/>
      <c r="G170" s="197">
        <v>0</v>
      </c>
    </row>
    <row r="171" spans="1:7">
      <c r="D171" s="263" t="s">
        <v>510</v>
      </c>
      <c r="E171" s="241"/>
      <c r="F171" s="246"/>
      <c r="G171" s="197">
        <v>0</v>
      </c>
    </row>
    <row r="172" spans="1:7">
      <c r="D172" s="247"/>
      <c r="E172" s="254" t="s">
        <v>170</v>
      </c>
      <c r="F172" s="248"/>
      <c r="G172" s="203">
        <f>SUM(G165:G171)</f>
        <v>178986736</v>
      </c>
    </row>
    <row r="174" spans="1:7">
      <c r="A174" s="209">
        <f>A160+1</f>
        <v>14</v>
      </c>
      <c r="B174" s="198" t="s">
        <v>109</v>
      </c>
    </row>
    <row r="175" spans="1:7">
      <c r="C175" s="198" t="s">
        <v>453</v>
      </c>
    </row>
    <row r="177" spans="1:7">
      <c r="F177" s="238" t="s">
        <v>182</v>
      </c>
      <c r="G177" s="219">
        <f>A174</f>
        <v>14</v>
      </c>
    </row>
    <row r="178" spans="1:7" ht="26.4">
      <c r="D178" s="245" t="s">
        <v>186</v>
      </c>
      <c r="E178" s="241"/>
      <c r="F178" s="244"/>
      <c r="G178" s="201" t="s">
        <v>380</v>
      </c>
    </row>
    <row r="179" spans="1:7">
      <c r="D179" s="245" t="s">
        <v>448</v>
      </c>
      <c r="E179" s="241"/>
      <c r="F179" s="246"/>
      <c r="G179" s="197">
        <v>0</v>
      </c>
    </row>
    <row r="180" spans="1:7">
      <c r="D180" s="245" t="s">
        <v>449</v>
      </c>
      <c r="E180" s="241"/>
      <c r="F180" s="246"/>
      <c r="G180" s="197"/>
    </row>
    <row r="181" spans="1:7">
      <c r="D181" s="263" t="s">
        <v>523</v>
      </c>
      <c r="E181" s="241"/>
      <c r="F181" s="246"/>
      <c r="G181" s="197">
        <v>0</v>
      </c>
    </row>
    <row r="182" spans="1:7">
      <c r="D182" s="247"/>
      <c r="E182" s="254" t="s">
        <v>170</v>
      </c>
      <c r="F182" s="248"/>
      <c r="G182" s="203">
        <f>SUM(G179:G181)</f>
        <v>0</v>
      </c>
    </row>
    <row r="184" spans="1:7">
      <c r="A184" s="209">
        <f>A174+1</f>
        <v>15</v>
      </c>
      <c r="B184" s="198" t="s">
        <v>455</v>
      </c>
    </row>
    <row r="185" spans="1:7">
      <c r="C185" s="198" t="s">
        <v>454</v>
      </c>
    </row>
    <row r="186" spans="1:7">
      <c r="C186" s="198" t="s">
        <v>456</v>
      </c>
    </row>
    <row r="188" spans="1:7">
      <c r="F188" s="238" t="s">
        <v>182</v>
      </c>
      <c r="G188" s="219">
        <f>A184</f>
        <v>15</v>
      </c>
    </row>
    <row r="189" spans="1:7" ht="26.4">
      <c r="D189" s="245" t="s">
        <v>186</v>
      </c>
      <c r="E189" s="241"/>
      <c r="F189" s="244"/>
      <c r="G189" s="201" t="s">
        <v>380</v>
      </c>
    </row>
    <row r="190" spans="1:7">
      <c r="D190" s="263" t="s">
        <v>497</v>
      </c>
      <c r="E190" s="241"/>
      <c r="F190" s="246"/>
      <c r="G190" s="76">
        <v>0</v>
      </c>
    </row>
    <row r="191" spans="1:7">
      <c r="D191" s="245" t="s">
        <v>447</v>
      </c>
      <c r="E191" s="241"/>
      <c r="F191" s="246"/>
      <c r="G191" s="197">
        <v>0</v>
      </c>
    </row>
    <row r="192" spans="1:7">
      <c r="D192" s="245"/>
      <c r="E192" s="254" t="s">
        <v>170</v>
      </c>
      <c r="F192" s="246"/>
      <c r="G192" s="203">
        <f>SUM(G190:G191)</f>
        <v>0</v>
      </c>
    </row>
    <row r="193" spans="1:7">
      <c r="G193" s="72"/>
    </row>
    <row r="194" spans="1:7">
      <c r="A194" s="209">
        <f>A184+1</f>
        <v>16</v>
      </c>
      <c r="B194" s="198" t="s">
        <v>113</v>
      </c>
    </row>
    <row r="195" spans="1:7">
      <c r="C195" s="198" t="s">
        <v>457</v>
      </c>
    </row>
    <row r="196" spans="1:7">
      <c r="C196" s="198" t="s">
        <v>458</v>
      </c>
    </row>
    <row r="197" spans="1:7">
      <c r="F197" s="238" t="s">
        <v>182</v>
      </c>
      <c r="G197" s="219">
        <f>A194</f>
        <v>16</v>
      </c>
    </row>
    <row r="198" spans="1:7" ht="26.4">
      <c r="D198" s="245" t="s">
        <v>186</v>
      </c>
      <c r="E198" s="241"/>
      <c r="F198" s="244"/>
      <c r="G198" s="201" t="s">
        <v>380</v>
      </c>
    </row>
    <row r="199" spans="1:7">
      <c r="D199" s="245" t="s">
        <v>423</v>
      </c>
      <c r="E199" s="241"/>
      <c r="F199" s="246"/>
      <c r="G199" s="198">
        <v>108217934</v>
      </c>
    </row>
    <row r="200" spans="1:7">
      <c r="D200" s="245" t="s">
        <v>496</v>
      </c>
      <c r="E200" s="241"/>
      <c r="F200" s="246"/>
      <c r="G200" s="197">
        <v>62813</v>
      </c>
    </row>
    <row r="201" spans="1:7">
      <c r="D201" s="245" t="s">
        <v>424</v>
      </c>
      <c r="E201" s="241"/>
      <c r="F201" s="246"/>
      <c r="G201" s="197">
        <v>0</v>
      </c>
    </row>
    <row r="202" spans="1:7">
      <c r="D202" s="245" t="s">
        <v>425</v>
      </c>
      <c r="E202" s="241"/>
      <c r="F202" s="246"/>
      <c r="G202" s="197">
        <v>616238</v>
      </c>
    </row>
    <row r="203" spans="1:7">
      <c r="D203" s="263" t="s">
        <v>512</v>
      </c>
      <c r="E203" s="241"/>
      <c r="F203" s="246"/>
      <c r="G203" s="197">
        <f>8000+60000+27880</f>
        <v>95880</v>
      </c>
    </row>
    <row r="204" spans="1:7">
      <c r="D204" s="344" t="s">
        <v>525</v>
      </c>
      <c r="E204" s="241"/>
      <c r="F204" s="246"/>
      <c r="G204" s="197">
        <f>4395669+4650</f>
        <v>4400319</v>
      </c>
    </row>
    <row r="205" spans="1:7">
      <c r="D205" s="245" t="s">
        <v>432</v>
      </c>
      <c r="E205" s="241"/>
      <c r="F205" s="246"/>
      <c r="G205" s="197">
        <v>1160258</v>
      </c>
    </row>
    <row r="206" spans="1:7">
      <c r="D206" s="245"/>
      <c r="E206" s="254" t="s">
        <v>170</v>
      </c>
      <c r="F206" s="246"/>
      <c r="G206" s="203">
        <f>SUM(G199:G205)</f>
        <v>114553442</v>
      </c>
    </row>
    <row r="207" spans="1:7" ht="14.4">
      <c r="D207" s="251"/>
      <c r="E207" s="251"/>
      <c r="F207" s="251"/>
      <c r="G207"/>
    </row>
    <row r="208" spans="1:7">
      <c r="A208" s="209">
        <f>A194+1</f>
        <v>17</v>
      </c>
      <c r="B208" s="198" t="s">
        <v>114</v>
      </c>
    </row>
    <row r="209" spans="3:7">
      <c r="C209" s="198" t="s">
        <v>460</v>
      </c>
    </row>
    <row r="210" spans="3:7">
      <c r="C210" s="198" t="s">
        <v>459</v>
      </c>
    </row>
    <row r="212" spans="3:7">
      <c r="F212" s="238" t="s">
        <v>182</v>
      </c>
      <c r="G212" s="219">
        <f>A208</f>
        <v>17</v>
      </c>
    </row>
    <row r="213" spans="3:7" ht="26.4">
      <c r="D213" s="245" t="s">
        <v>186</v>
      </c>
      <c r="E213" s="241"/>
      <c r="F213" s="244"/>
      <c r="G213" s="201" t="s">
        <v>380</v>
      </c>
    </row>
    <row r="214" spans="3:7">
      <c r="D214" s="245" t="s">
        <v>431</v>
      </c>
      <c r="E214" s="241"/>
      <c r="F214" s="246"/>
      <c r="G214" s="197">
        <v>0</v>
      </c>
    </row>
    <row r="215" spans="3:7">
      <c r="D215" s="245" t="s">
        <v>426</v>
      </c>
      <c r="E215" s="241"/>
      <c r="F215" s="246"/>
      <c r="G215" s="197">
        <v>0</v>
      </c>
    </row>
    <row r="216" spans="3:7">
      <c r="D216" s="245" t="s">
        <v>427</v>
      </c>
      <c r="E216" s="241"/>
      <c r="F216" s="246"/>
      <c r="G216" s="197">
        <v>9334</v>
      </c>
    </row>
    <row r="217" spans="3:7">
      <c r="D217" s="245" t="s">
        <v>428</v>
      </c>
      <c r="E217" s="241"/>
      <c r="F217" s="246"/>
      <c r="G217" s="197">
        <v>121766</v>
      </c>
    </row>
    <row r="218" spans="3:7">
      <c r="D218" s="263" t="s">
        <v>517</v>
      </c>
      <c r="E218" s="241"/>
      <c r="F218" s="246"/>
      <c r="G218" s="197">
        <v>160000</v>
      </c>
    </row>
    <row r="219" spans="3:7">
      <c r="D219" s="245" t="s">
        <v>429</v>
      </c>
      <c r="E219" s="241"/>
      <c r="F219" s="246"/>
      <c r="G219" s="197"/>
    </row>
    <row r="220" spans="3:7">
      <c r="D220" s="245" t="s">
        <v>439</v>
      </c>
      <c r="E220" s="241"/>
      <c r="F220" s="246"/>
      <c r="G220" s="197">
        <v>0</v>
      </c>
    </row>
    <row r="221" spans="3:7">
      <c r="D221" s="245" t="s">
        <v>430</v>
      </c>
      <c r="E221" s="241"/>
      <c r="F221" s="246"/>
      <c r="G221" s="197"/>
    </row>
    <row r="222" spans="3:7">
      <c r="D222" s="245" t="s">
        <v>440</v>
      </c>
      <c r="E222" s="241"/>
      <c r="F222" s="246"/>
      <c r="G222" s="197"/>
    </row>
    <row r="223" spans="3:7">
      <c r="D223" s="245" t="s">
        <v>436</v>
      </c>
      <c r="E223" s="241"/>
      <c r="F223" s="246"/>
      <c r="G223" s="197"/>
    </row>
    <row r="224" spans="3:7">
      <c r="D224" s="245" t="s">
        <v>437</v>
      </c>
      <c r="E224" s="241"/>
      <c r="F224" s="246"/>
      <c r="G224" s="197"/>
    </row>
    <row r="225" spans="1:7">
      <c r="D225" s="245" t="s">
        <v>438</v>
      </c>
      <c r="E225" s="241"/>
      <c r="F225" s="246"/>
      <c r="G225" s="197">
        <v>193866</v>
      </c>
    </row>
    <row r="226" spans="1:7">
      <c r="D226" s="344" t="s">
        <v>530</v>
      </c>
      <c r="E226" s="241"/>
      <c r="F226" s="246"/>
      <c r="G226" s="197">
        <f>21993+200000</f>
        <v>221993</v>
      </c>
    </row>
    <row r="227" spans="1:7">
      <c r="D227" s="263" t="s">
        <v>511</v>
      </c>
      <c r="E227" s="241"/>
      <c r="F227" s="246"/>
      <c r="G227" s="197">
        <f>639977+165858</f>
        <v>805835</v>
      </c>
    </row>
    <row r="228" spans="1:7">
      <c r="D228" s="245" t="s">
        <v>462</v>
      </c>
      <c r="E228" s="241"/>
      <c r="F228" s="246"/>
      <c r="G228" s="197">
        <v>4579</v>
      </c>
    </row>
    <row r="229" spans="1:7">
      <c r="D229" s="245"/>
      <c r="E229" s="254" t="s">
        <v>170</v>
      </c>
      <c r="F229" s="246"/>
      <c r="G229" s="203">
        <f>SUM(G214:G228)</f>
        <v>1517373</v>
      </c>
    </row>
    <row r="231" spans="1:7">
      <c r="A231" s="209">
        <f>'Shenimet shpjeguese'!A208+1</f>
        <v>18</v>
      </c>
      <c r="B231" s="198" t="s">
        <v>115</v>
      </c>
    </row>
    <row r="232" spans="1:7" ht="14.4">
      <c r="C232" s="198" t="s">
        <v>461</v>
      </c>
      <c r="E232" s="251"/>
      <c r="F232" s="251"/>
      <c r="G232"/>
    </row>
    <row r="233" spans="1:7">
      <c r="F233" s="238" t="s">
        <v>182</v>
      </c>
      <c r="G233" s="219">
        <f>A231</f>
        <v>18</v>
      </c>
    </row>
    <row r="234" spans="1:7" ht="26.4">
      <c r="D234" s="245" t="s">
        <v>186</v>
      </c>
      <c r="E234" s="241"/>
      <c r="F234" s="244"/>
      <c r="G234" s="201" t="s">
        <v>380</v>
      </c>
    </row>
    <row r="235" spans="1:7">
      <c r="D235" s="245" t="s">
        <v>434</v>
      </c>
      <c r="E235" s="241"/>
      <c r="F235" s="246"/>
      <c r="G235" s="197">
        <v>2936190</v>
      </c>
    </row>
    <row r="236" spans="1:7">
      <c r="D236" s="245" t="s">
        <v>435</v>
      </c>
      <c r="E236" s="241"/>
      <c r="F236" s="246"/>
      <c r="G236" s="197">
        <v>490018</v>
      </c>
    </row>
    <row r="237" spans="1:7">
      <c r="D237" s="245"/>
      <c r="E237" s="254" t="s">
        <v>170</v>
      </c>
      <c r="F237" s="246"/>
      <c r="G237" s="203">
        <f>SUM(G235:G236)</f>
        <v>3426208</v>
      </c>
    </row>
    <row r="238" spans="1:7">
      <c r="G238" s="72"/>
    </row>
    <row r="239" spans="1:7">
      <c r="A239" s="209">
        <f>A231+1</f>
        <v>19</v>
      </c>
      <c r="B239" s="198" t="s">
        <v>119</v>
      </c>
    </row>
    <row r="240" spans="1:7">
      <c r="C240" s="198" t="s">
        <v>464</v>
      </c>
    </row>
    <row r="241" spans="1:7">
      <c r="C241" s="198" t="s">
        <v>465</v>
      </c>
    </row>
    <row r="242" spans="1:7">
      <c r="F242" s="238" t="s">
        <v>182</v>
      </c>
      <c r="G242" s="219">
        <f>A239</f>
        <v>19</v>
      </c>
    </row>
    <row r="243" spans="1:7" ht="26.4">
      <c r="D243" s="245" t="s">
        <v>186</v>
      </c>
      <c r="E243" s="241"/>
      <c r="F243" s="244"/>
      <c r="G243" s="201" t="s">
        <v>380</v>
      </c>
    </row>
    <row r="244" spans="1:7">
      <c r="D244" s="245" t="s">
        <v>466</v>
      </c>
      <c r="E244" s="241"/>
      <c r="F244" s="246"/>
      <c r="G244" s="197">
        <f>'AMORTIZIMI AAM'!I12</f>
        <v>3564983.45</v>
      </c>
    </row>
    <row r="245" spans="1:7">
      <c r="D245" s="245" t="s">
        <v>467</v>
      </c>
      <c r="E245" s="241"/>
      <c r="F245" s="246"/>
      <c r="G245" s="197">
        <f>'AMORTIZIMI AAM'!I22</f>
        <v>6045491.583333333</v>
      </c>
    </row>
    <row r="246" spans="1:7">
      <c r="D246" s="245" t="s">
        <v>468</v>
      </c>
      <c r="E246" s="241"/>
      <c r="F246" s="246"/>
      <c r="G246" s="197">
        <f>'AMORTIZIMI AAM'!I26</f>
        <v>1318096.2</v>
      </c>
    </row>
    <row r="247" spans="1:7">
      <c r="D247" s="245" t="s">
        <v>469</v>
      </c>
      <c r="E247" s="241"/>
      <c r="F247" s="246" t="s">
        <v>463</v>
      </c>
      <c r="G247" s="197">
        <f>'AMORTIZIMI AAM'!I30</f>
        <v>22280.75</v>
      </c>
    </row>
    <row r="248" spans="1:7">
      <c r="D248" s="245" t="s">
        <v>470</v>
      </c>
      <c r="E248" s="241"/>
      <c r="F248" s="246"/>
      <c r="G248" s="197">
        <f>'AMORTIZIMI AAM'!I35</f>
        <v>90440</v>
      </c>
    </row>
    <row r="249" spans="1:7">
      <c r="D249" s="245"/>
      <c r="E249" s="254" t="s">
        <v>170</v>
      </c>
      <c r="F249" s="246"/>
      <c r="G249" s="203">
        <f>SUM(G244:G248)</f>
        <v>11041291.983333332</v>
      </c>
    </row>
    <row r="250" spans="1:7">
      <c r="G250" s="72"/>
    </row>
    <row r="251" spans="1:7">
      <c r="A251" s="209">
        <f>A239+1</f>
        <v>20</v>
      </c>
      <c r="B251" s="198" t="s">
        <v>121</v>
      </c>
    </row>
    <row r="252" spans="1:7">
      <c r="C252" s="198" t="s">
        <v>471</v>
      </c>
    </row>
    <row r="253" spans="1:7">
      <c r="C253" s="198" t="s">
        <v>472</v>
      </c>
    </row>
    <row r="254" spans="1:7">
      <c r="F254" s="238" t="s">
        <v>182</v>
      </c>
      <c r="G254" s="219">
        <f>A251</f>
        <v>20</v>
      </c>
    </row>
    <row r="255" spans="1:7" ht="26.4">
      <c r="D255" s="245" t="s">
        <v>186</v>
      </c>
      <c r="E255" s="241"/>
      <c r="F255" s="244"/>
      <c r="G255" s="201" t="s">
        <v>380</v>
      </c>
    </row>
    <row r="256" spans="1:7">
      <c r="D256" s="245" t="s">
        <v>450</v>
      </c>
      <c r="E256" s="241"/>
      <c r="F256" s="246"/>
      <c r="G256" s="197">
        <v>129</v>
      </c>
    </row>
    <row r="257" spans="1:7">
      <c r="D257" s="263" t="s">
        <v>515</v>
      </c>
      <c r="E257" s="241"/>
      <c r="F257" s="246"/>
      <c r="G257" s="197">
        <v>0</v>
      </c>
    </row>
    <row r="258" spans="1:7">
      <c r="D258" s="263" t="s">
        <v>506</v>
      </c>
      <c r="E258" s="241"/>
      <c r="F258" s="246"/>
      <c r="G258" s="197">
        <v>161522</v>
      </c>
    </row>
    <row r="259" spans="1:7">
      <c r="D259" s="245" t="s">
        <v>433</v>
      </c>
      <c r="E259" s="241"/>
      <c r="F259" s="246"/>
      <c r="G259" s="197">
        <v>66291</v>
      </c>
    </row>
    <row r="260" spans="1:7">
      <c r="D260" s="245" t="s">
        <v>442</v>
      </c>
      <c r="E260" s="241"/>
      <c r="F260" s="246"/>
      <c r="G260" s="197">
        <v>6339815</v>
      </c>
    </row>
    <row r="261" spans="1:7">
      <c r="D261" s="245" t="s">
        <v>441</v>
      </c>
      <c r="E261" s="241"/>
      <c r="F261" s="246"/>
      <c r="G261" s="197"/>
    </row>
    <row r="262" spans="1:7">
      <c r="D262" s="263" t="s">
        <v>507</v>
      </c>
      <c r="E262" s="241"/>
      <c r="F262" s="246"/>
      <c r="G262" s="197">
        <v>4067</v>
      </c>
    </row>
    <row r="263" spans="1:7">
      <c r="D263" s="245"/>
      <c r="E263" s="254" t="s">
        <v>170</v>
      </c>
      <c r="F263" s="246"/>
      <c r="G263" s="203">
        <f>SUM(G259:G262)</f>
        <v>6410173</v>
      </c>
    </row>
    <row r="265" spans="1:7">
      <c r="A265" s="209">
        <f>A251+1</f>
        <v>21</v>
      </c>
      <c r="B265" s="198" t="s">
        <v>127</v>
      </c>
    </row>
    <row r="266" spans="1:7">
      <c r="C266" s="198" t="s">
        <v>474</v>
      </c>
    </row>
    <row r="267" spans="1:7">
      <c r="F267" s="255" t="s">
        <v>182</v>
      </c>
      <c r="G267" s="219">
        <f>A265</f>
        <v>21</v>
      </c>
    </row>
    <row r="268" spans="1:7">
      <c r="C268" s="225" t="s">
        <v>475</v>
      </c>
      <c r="D268" s="260"/>
      <c r="E268" s="256" t="s">
        <v>484</v>
      </c>
      <c r="F268" s="257"/>
      <c r="G268" s="226" t="s">
        <v>476</v>
      </c>
    </row>
    <row r="269" spans="1:7">
      <c r="C269" s="204" t="s">
        <v>477</v>
      </c>
      <c r="D269" s="246"/>
      <c r="E269" s="197">
        <f>G172+G256+G257+G258+G182</f>
        <v>179148387</v>
      </c>
      <c r="F269" s="242"/>
      <c r="G269" s="197">
        <f>E269</f>
        <v>179148387</v>
      </c>
    </row>
    <row r="270" spans="1:7">
      <c r="C270" s="204" t="s">
        <v>478</v>
      </c>
      <c r="D270" s="246"/>
      <c r="E270" s="197">
        <f>G206+G229+G237+G249+G263+G192</f>
        <v>136948487.98333335</v>
      </c>
      <c r="F270" s="242"/>
      <c r="G270" s="197">
        <f>E270</f>
        <v>136948487.98333335</v>
      </c>
    </row>
    <row r="271" spans="1:7">
      <c r="C271" s="204" t="s">
        <v>479</v>
      </c>
      <c r="D271" s="246"/>
      <c r="E271" s="264"/>
      <c r="F271" s="242"/>
      <c r="G271" s="197">
        <f>G225</f>
        <v>193866</v>
      </c>
    </row>
    <row r="272" spans="1:7">
      <c r="C272" s="204" t="s">
        <v>485</v>
      </c>
      <c r="D272" s="246"/>
      <c r="E272" s="197">
        <f>E269-E270</f>
        <v>42199899.016666651</v>
      </c>
      <c r="F272" s="242"/>
      <c r="G272" s="197">
        <f>G269-G270+G271</f>
        <v>42393765.016666651</v>
      </c>
    </row>
    <row r="273" spans="3:7" ht="14.4">
      <c r="C273" s="204" t="s">
        <v>480</v>
      </c>
      <c r="D273" s="246"/>
      <c r="E273" s="251"/>
      <c r="F273" s="242"/>
      <c r="G273" s="197"/>
    </row>
    <row r="274" spans="3:7" ht="14.4">
      <c r="C274" s="204" t="s">
        <v>481</v>
      </c>
      <c r="D274" s="246"/>
      <c r="E274" s="251"/>
      <c r="F274" s="242"/>
      <c r="G274" s="197">
        <f>G272-G273</f>
        <v>42393765.016666651</v>
      </c>
    </row>
    <row r="275" spans="3:7" ht="14.4">
      <c r="C275" s="204" t="s">
        <v>482</v>
      </c>
      <c r="D275" s="246"/>
      <c r="E275" s="251"/>
      <c r="F275" s="242"/>
      <c r="G275" s="197">
        <f>G274*0.1</f>
        <v>4239376.5016666651</v>
      </c>
    </row>
    <row r="276" spans="3:7" ht="14.4">
      <c r="C276" s="204" t="s">
        <v>483</v>
      </c>
      <c r="D276" s="246"/>
      <c r="E276" s="251"/>
      <c r="F276" s="242"/>
      <c r="G276" s="197">
        <v>3893960</v>
      </c>
    </row>
    <row r="277" spans="3:7" ht="14.4">
      <c r="C277" s="204" t="s">
        <v>486</v>
      </c>
      <c r="D277" s="246"/>
      <c r="E277" s="251"/>
      <c r="G277" s="197">
        <f>G275-G276</f>
        <v>345416.50166666508</v>
      </c>
    </row>
    <row r="280" spans="3:7">
      <c r="E280" s="258" t="s">
        <v>487</v>
      </c>
    </row>
  </sheetData>
  <protectedRanges>
    <protectedRange sqref="C15:C23" name="Range2"/>
    <protectedRange sqref="D15:F24 G30:G32 G41:G44 I51 D71:F72 D75:E75 D77:D78 D80:E81 D83:D84 F97 G96 G114:G115 G123:G128 G135:G136 G143:G144 D151:D154 D96:D97 E96 G50 G52:G56 D67:F69 D74 I101 I104 G104:G106" name="Range1"/>
  </protectedRanges>
  <phoneticPr fontId="0" type="noConversion"/>
  <pageMargins left="0.55118110236220474" right="0.31496062992125984" top="0.43307086614173229" bottom="0.51181102362204722" header="0.31496062992125984" footer="0.31496062992125984"/>
  <pageSetup paperSize="9" scale="90" orientation="portrait" r:id="rId1"/>
  <ignoredErrors>
    <ignoredError sqref="G70:G74 G76:G8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showGridLines="0" topLeftCell="B22" workbookViewId="0">
      <selection activeCell="Q15" sqref="Q15"/>
    </sheetView>
  </sheetViews>
  <sheetFormatPr defaultColWidth="8" defaultRowHeight="13.2"/>
  <cols>
    <col min="1" max="1" width="3.109375" style="89" customWidth="1"/>
    <col min="2" max="2" width="20.109375" style="89" customWidth="1"/>
    <col min="3" max="3" width="12.88671875" style="89" customWidth="1"/>
    <col min="4" max="4" width="9.88671875" style="89" customWidth="1"/>
    <col min="5" max="6" width="10.21875" style="89" customWidth="1"/>
    <col min="7" max="7" width="14.109375" style="89" customWidth="1"/>
    <col min="8" max="8" width="12.88671875" style="89" customWidth="1"/>
    <col min="9" max="9" width="12.77734375" style="89" customWidth="1"/>
    <col min="10" max="10" width="10.33203125" style="89" customWidth="1"/>
    <col min="11" max="11" width="11.88671875" style="89" customWidth="1"/>
    <col min="12" max="12" width="14.44140625" style="89" customWidth="1"/>
    <col min="13" max="13" width="10.33203125" style="89" customWidth="1"/>
    <col min="14" max="14" width="8.109375" style="89" customWidth="1"/>
    <col min="15" max="15" width="3" style="89" bestFit="1" customWidth="1"/>
    <col min="16" max="16" width="8" style="89" customWidth="1"/>
    <col min="17" max="17" width="10.44140625" style="89" bestFit="1" customWidth="1"/>
    <col min="18" max="20" width="8" style="89" customWidth="1"/>
    <col min="21" max="21" width="11.21875" style="89" bestFit="1" customWidth="1"/>
    <col min="22" max="16384" width="8" style="89"/>
  </cols>
  <sheetData>
    <row r="1" spans="1:17" ht="22.5" customHeight="1">
      <c r="A1" s="88"/>
      <c r="B1" s="88" t="str">
        <f>Kopertina!C4</f>
        <v>SHOQERIA "EKSPRES- BETON LEZHE "SHPK</v>
      </c>
      <c r="Q1" s="90">
        <v>41274</v>
      </c>
    </row>
    <row r="2" spans="1:17" ht="15.6">
      <c r="A2" s="88"/>
      <c r="B2" s="88" t="str">
        <f>Kopertina!C5</f>
        <v>NIPT: K58515501V</v>
      </c>
    </row>
    <row r="4" spans="1:17" ht="15.6">
      <c r="B4" s="391" t="s">
        <v>541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</row>
    <row r="5" spans="1:17">
      <c r="B5" s="91"/>
      <c r="C5" s="91"/>
      <c r="D5" s="91"/>
      <c r="E5" s="91"/>
      <c r="F5" s="91"/>
      <c r="G5" s="91"/>
      <c r="H5" s="91"/>
      <c r="I5" s="91"/>
    </row>
    <row r="6" spans="1:17">
      <c r="A6" s="392" t="s">
        <v>103</v>
      </c>
      <c r="B6" s="392" t="s">
        <v>186</v>
      </c>
      <c r="C6" s="393" t="s">
        <v>187</v>
      </c>
      <c r="D6" s="393"/>
      <c r="E6" s="393"/>
      <c r="F6" s="393"/>
      <c r="G6" s="393"/>
      <c r="H6" s="394" t="s">
        <v>188</v>
      </c>
      <c r="I6" s="394"/>
      <c r="J6" s="394"/>
      <c r="K6" s="394"/>
      <c r="L6" s="393" t="s">
        <v>189</v>
      </c>
      <c r="M6" s="393"/>
    </row>
    <row r="7" spans="1:17" ht="21">
      <c r="A7" s="392"/>
      <c r="B7" s="392"/>
      <c r="C7" s="93" t="s">
        <v>520</v>
      </c>
      <c r="D7" s="94" t="s">
        <v>190</v>
      </c>
      <c r="E7" s="93" t="s">
        <v>191</v>
      </c>
      <c r="F7" s="93" t="s">
        <v>192</v>
      </c>
      <c r="G7" s="93" t="s">
        <v>542</v>
      </c>
      <c r="H7" s="93" t="s">
        <v>520</v>
      </c>
      <c r="I7" s="93" t="s">
        <v>191</v>
      </c>
      <c r="J7" s="93" t="s">
        <v>192</v>
      </c>
      <c r="K7" s="93" t="s">
        <v>542</v>
      </c>
      <c r="L7" s="93" t="s">
        <v>520</v>
      </c>
      <c r="M7" s="93" t="s">
        <v>542</v>
      </c>
    </row>
    <row r="8" spans="1:17" ht="18.75" customHeight="1">
      <c r="A8" s="92">
        <v>1</v>
      </c>
      <c r="B8" s="95" t="s">
        <v>193</v>
      </c>
      <c r="C8" s="262">
        <v>0</v>
      </c>
      <c r="D8" s="297"/>
      <c r="E8" s="262"/>
      <c r="F8" s="262"/>
      <c r="G8" s="262">
        <f>C8+E8-F8</f>
        <v>0</v>
      </c>
      <c r="H8" s="298"/>
      <c r="I8" s="262">
        <f>C8*O8/100</f>
        <v>0</v>
      </c>
      <c r="J8" s="298"/>
      <c r="K8" s="299">
        <f>H8+I8-J8</f>
        <v>0</v>
      </c>
      <c r="L8" s="299">
        <f>C8-H8</f>
        <v>0</v>
      </c>
      <c r="M8" s="299">
        <f>G8-K8</f>
        <v>0</v>
      </c>
      <c r="O8" s="89">
        <v>0</v>
      </c>
    </row>
    <row r="9" spans="1:17" ht="18.75" customHeight="1">
      <c r="A9" s="92">
        <v>2</v>
      </c>
      <c r="B9" s="95" t="s">
        <v>49</v>
      </c>
      <c r="C9" s="262">
        <v>76473495</v>
      </c>
      <c r="D9" s="297">
        <v>0</v>
      </c>
      <c r="E9" s="262"/>
      <c r="F9" s="262"/>
      <c r="G9" s="262">
        <f>C9+E9-F9</f>
        <v>76473495</v>
      </c>
      <c r="H9" s="262">
        <v>5173826</v>
      </c>
      <c r="I9" s="262">
        <f>L9*O9/100</f>
        <v>3564983.45</v>
      </c>
      <c r="J9" s="313">
        <v>0</v>
      </c>
      <c r="K9" s="299">
        <f>H9+I9-J9</f>
        <v>8738809.4499999993</v>
      </c>
      <c r="L9" s="299">
        <f>C9-H9</f>
        <v>71299669</v>
      </c>
      <c r="M9" s="299">
        <f t="shared" ref="M9:M34" si="0">G9-K9</f>
        <v>67734685.549999997</v>
      </c>
      <c r="O9" s="89">
        <v>5</v>
      </c>
    </row>
    <row r="10" spans="1:17" ht="18.75" customHeight="1">
      <c r="A10" s="377"/>
      <c r="B10" s="95" t="s">
        <v>531</v>
      </c>
      <c r="C10" s="262">
        <v>76635335</v>
      </c>
      <c r="D10" s="297"/>
      <c r="E10" s="262">
        <v>0</v>
      </c>
      <c r="F10" s="262"/>
      <c r="G10" s="262">
        <f t="shared" ref="G10:G11" si="1">C10+E10-F10</f>
        <v>76635335</v>
      </c>
      <c r="H10" s="262">
        <v>0</v>
      </c>
      <c r="I10" s="262"/>
      <c r="J10" s="313"/>
      <c r="K10" s="299"/>
      <c r="L10" s="299">
        <f>C10-H10</f>
        <v>76635335</v>
      </c>
      <c r="M10" s="299">
        <f t="shared" si="0"/>
        <v>76635335</v>
      </c>
      <c r="O10" s="89">
        <v>0</v>
      </c>
    </row>
    <row r="11" spans="1:17" ht="18.75" customHeight="1">
      <c r="A11" s="96" t="s">
        <v>20</v>
      </c>
      <c r="B11" s="97" t="s">
        <v>194</v>
      </c>
      <c r="C11" s="262">
        <v>0</v>
      </c>
      <c r="D11" s="297">
        <v>0</v>
      </c>
      <c r="E11" s="262">
        <v>0</v>
      </c>
      <c r="F11" s="262"/>
      <c r="G11" s="262">
        <f t="shared" si="1"/>
        <v>0</v>
      </c>
      <c r="H11" s="262">
        <v>0</v>
      </c>
      <c r="I11" s="262">
        <f>(E11*O11)/100*(12-D11)/12</f>
        <v>0</v>
      </c>
      <c r="J11" s="299"/>
      <c r="K11" s="299">
        <f>H11+I11-J11</f>
        <v>0</v>
      </c>
      <c r="L11" s="299">
        <f>C11-H11</f>
        <v>0</v>
      </c>
      <c r="M11" s="299">
        <f t="shared" si="0"/>
        <v>0</v>
      </c>
      <c r="O11" s="89">
        <v>5</v>
      </c>
    </row>
    <row r="12" spans="1:17" s="320" customFormat="1" ht="18.75" customHeight="1">
      <c r="A12" s="317"/>
      <c r="B12" s="318" t="s">
        <v>505</v>
      </c>
      <c r="C12" s="319"/>
      <c r="D12" s="319"/>
      <c r="E12" s="319"/>
      <c r="F12" s="319"/>
      <c r="G12" s="319"/>
      <c r="H12" s="319"/>
      <c r="I12" s="319">
        <f>I11+I9</f>
        <v>3564983.45</v>
      </c>
      <c r="J12" s="319"/>
      <c r="K12" s="319"/>
      <c r="L12" s="319"/>
      <c r="M12" s="319"/>
    </row>
    <row r="13" spans="1:17" ht="18.75" customHeight="1">
      <c r="A13" s="92">
        <v>3</v>
      </c>
      <c r="B13" s="95" t="s">
        <v>195</v>
      </c>
      <c r="C13" s="262">
        <v>0</v>
      </c>
      <c r="D13" s="297"/>
      <c r="E13" s="262"/>
      <c r="F13" s="262"/>
      <c r="G13" s="262">
        <f>C13+E13-F13</f>
        <v>0</v>
      </c>
      <c r="H13" s="262">
        <v>0</v>
      </c>
      <c r="I13" s="262">
        <f>L13*O13/100</f>
        <v>0</v>
      </c>
      <c r="J13" s="299"/>
      <c r="K13" s="299">
        <f>H13+I13-J13</f>
        <v>0</v>
      </c>
      <c r="L13" s="299">
        <f>C13-H13</f>
        <v>0</v>
      </c>
      <c r="M13" s="299">
        <f t="shared" si="0"/>
        <v>0</v>
      </c>
      <c r="O13" s="89">
        <v>5</v>
      </c>
    </row>
    <row r="14" spans="1:17" ht="18.75" customHeight="1">
      <c r="A14" s="96" t="s">
        <v>20</v>
      </c>
      <c r="B14" s="97" t="s">
        <v>194</v>
      </c>
      <c r="C14" s="262">
        <v>0</v>
      </c>
      <c r="D14" s="297"/>
      <c r="E14" s="262"/>
      <c r="F14" s="262"/>
      <c r="G14" s="262">
        <f>C14+E14-F14</f>
        <v>0</v>
      </c>
      <c r="H14" s="262">
        <v>0</v>
      </c>
      <c r="I14" s="262">
        <f>L14*O14/100</f>
        <v>0</v>
      </c>
      <c r="J14" s="299"/>
      <c r="K14" s="299">
        <f>H14+I14-J14</f>
        <v>0</v>
      </c>
      <c r="L14" s="299">
        <f>C14-H14</f>
        <v>0</v>
      </c>
      <c r="M14" s="299">
        <f t="shared" si="0"/>
        <v>0</v>
      </c>
      <c r="O14" s="89">
        <v>5</v>
      </c>
    </row>
    <row r="15" spans="1:17" s="320" customFormat="1" ht="18.75" customHeight="1">
      <c r="A15" s="317"/>
      <c r="B15" s="318" t="s">
        <v>504</v>
      </c>
      <c r="C15" s="319"/>
      <c r="D15" s="319"/>
      <c r="E15" s="319"/>
      <c r="F15" s="319"/>
      <c r="G15" s="319"/>
      <c r="H15" s="319"/>
      <c r="I15" s="319">
        <f>I13</f>
        <v>0</v>
      </c>
      <c r="J15" s="319"/>
      <c r="K15" s="319"/>
      <c r="L15" s="319"/>
      <c r="M15" s="319"/>
    </row>
    <row r="16" spans="1:17" ht="18.75" customHeight="1">
      <c r="A16" s="92">
        <v>4</v>
      </c>
      <c r="B16" s="95" t="s">
        <v>196</v>
      </c>
      <c r="C16" s="262">
        <v>53210418</v>
      </c>
      <c r="D16" s="297">
        <v>0</v>
      </c>
      <c r="E16" s="262">
        <v>0</v>
      </c>
      <c r="F16" s="262"/>
      <c r="G16" s="262">
        <f>C16+E16-F16</f>
        <v>53210418</v>
      </c>
      <c r="H16" s="262">
        <v>25302044</v>
      </c>
      <c r="I16" s="262">
        <f>L16*O16/100</f>
        <v>5581674.7999999998</v>
      </c>
      <c r="J16" s="299">
        <v>0</v>
      </c>
      <c r="K16" s="299">
        <f t="shared" ref="K16:K21" si="2">H16+I16-J16</f>
        <v>30883718.800000001</v>
      </c>
      <c r="L16" s="299">
        <f>C16-H16</f>
        <v>27908374</v>
      </c>
      <c r="M16" s="299">
        <f>G16-K16</f>
        <v>22326699.199999999</v>
      </c>
      <c r="O16" s="89">
        <v>20</v>
      </c>
      <c r="Q16" s="315"/>
    </row>
    <row r="17" spans="1:17" ht="18.75" customHeight="1">
      <c r="A17" s="96" t="s">
        <v>20</v>
      </c>
      <c r="B17" s="97" t="s">
        <v>194</v>
      </c>
      <c r="C17" s="262"/>
      <c r="D17" s="297">
        <v>1</v>
      </c>
      <c r="E17" s="262">
        <v>2500000</v>
      </c>
      <c r="F17" s="262">
        <v>0</v>
      </c>
      <c r="G17" s="262">
        <f>C17+E17-F17</f>
        <v>2500000</v>
      </c>
      <c r="H17" s="262"/>
      <c r="I17" s="262">
        <f>(E17*O17/100*(12-D17))/12</f>
        <v>458333.33333333331</v>
      </c>
      <c r="J17" s="299"/>
      <c r="K17" s="299">
        <f t="shared" si="2"/>
        <v>458333.33333333331</v>
      </c>
      <c r="L17" s="299">
        <f t="shared" ref="L17:L34" si="3">C17-H17</f>
        <v>0</v>
      </c>
      <c r="M17" s="299">
        <f t="shared" si="0"/>
        <v>2041666.6666666667</v>
      </c>
      <c r="O17" s="89">
        <v>20</v>
      </c>
      <c r="Q17" s="315"/>
    </row>
    <row r="18" spans="1:17" ht="18.75" customHeight="1">
      <c r="A18" s="96"/>
      <c r="B18" s="97" t="s">
        <v>194</v>
      </c>
      <c r="C18" s="262"/>
      <c r="D18" s="297">
        <v>5</v>
      </c>
      <c r="E18" s="262">
        <v>47001</v>
      </c>
      <c r="F18" s="262"/>
      <c r="G18" s="262">
        <f>C18+E18-F18</f>
        <v>47001</v>
      </c>
      <c r="H18" s="262"/>
      <c r="I18" s="262">
        <f>(E18*O18/100*(12-D18))/12</f>
        <v>5483.4500000000007</v>
      </c>
      <c r="J18" s="299"/>
      <c r="K18" s="299">
        <f t="shared" si="2"/>
        <v>5483.4500000000007</v>
      </c>
      <c r="L18" s="299">
        <f t="shared" si="3"/>
        <v>0</v>
      </c>
      <c r="M18" s="299">
        <f t="shared" si="0"/>
        <v>41517.550000000003</v>
      </c>
      <c r="O18" s="89">
        <v>20</v>
      </c>
      <c r="Q18" s="315"/>
    </row>
    <row r="19" spans="1:17" ht="18.75" customHeight="1">
      <c r="A19" s="96"/>
      <c r="B19" s="97" t="s">
        <v>194</v>
      </c>
      <c r="C19" s="262"/>
      <c r="D19" s="297">
        <v>0</v>
      </c>
      <c r="E19" s="262">
        <v>0</v>
      </c>
      <c r="F19" s="262"/>
      <c r="G19" s="262">
        <f t="shared" ref="G19:G35" si="4">C19+E19-F19</f>
        <v>0</v>
      </c>
      <c r="H19" s="262"/>
      <c r="I19" s="262">
        <f>(E19*O19/100*(12-D19))/12</f>
        <v>0</v>
      </c>
      <c r="J19" s="299"/>
      <c r="K19" s="299">
        <f t="shared" si="2"/>
        <v>0</v>
      </c>
      <c r="L19" s="299">
        <f t="shared" si="3"/>
        <v>0</v>
      </c>
      <c r="M19" s="299">
        <f t="shared" si="0"/>
        <v>0</v>
      </c>
      <c r="O19" s="89">
        <v>20</v>
      </c>
      <c r="Q19" s="315"/>
    </row>
    <row r="20" spans="1:17" ht="18.75" customHeight="1">
      <c r="A20" s="96"/>
      <c r="B20" s="97" t="s">
        <v>194</v>
      </c>
      <c r="C20" s="262"/>
      <c r="D20" s="297">
        <v>0</v>
      </c>
      <c r="E20" s="262">
        <v>0</v>
      </c>
      <c r="F20" s="262"/>
      <c r="G20" s="262">
        <f t="shared" si="4"/>
        <v>0</v>
      </c>
      <c r="H20" s="262"/>
      <c r="I20" s="262">
        <f>(E20*O20/100*(12-D20))/12</f>
        <v>0</v>
      </c>
      <c r="J20" s="299"/>
      <c r="K20" s="299">
        <f t="shared" si="2"/>
        <v>0</v>
      </c>
      <c r="L20" s="299">
        <f t="shared" si="3"/>
        <v>0</v>
      </c>
      <c r="M20" s="299">
        <f t="shared" si="0"/>
        <v>0</v>
      </c>
      <c r="O20" s="89">
        <v>20</v>
      </c>
    </row>
    <row r="21" spans="1:17" ht="18.75" customHeight="1">
      <c r="A21" s="96"/>
      <c r="B21" s="97" t="s">
        <v>194</v>
      </c>
      <c r="C21" s="262"/>
      <c r="D21" s="297">
        <v>0</v>
      </c>
      <c r="E21" s="262">
        <v>0</v>
      </c>
      <c r="F21" s="262"/>
      <c r="G21" s="262">
        <f t="shared" si="4"/>
        <v>0</v>
      </c>
      <c r="H21" s="262"/>
      <c r="I21" s="262">
        <f>(E21*O21/100*(12-D21))/12</f>
        <v>0</v>
      </c>
      <c r="J21" s="299"/>
      <c r="K21" s="299">
        <f t="shared" si="2"/>
        <v>0</v>
      </c>
      <c r="L21" s="299">
        <f t="shared" si="3"/>
        <v>0</v>
      </c>
      <c r="M21" s="299">
        <f t="shared" si="0"/>
        <v>0</v>
      </c>
      <c r="O21" s="89">
        <v>20</v>
      </c>
    </row>
    <row r="22" spans="1:17" s="320" customFormat="1" ht="18.75" customHeight="1">
      <c r="A22" s="317"/>
      <c r="B22" s="318" t="s">
        <v>503</v>
      </c>
      <c r="C22" s="319">
        <v>0</v>
      </c>
      <c r="D22" s="319"/>
      <c r="E22" s="319"/>
      <c r="F22" s="319"/>
      <c r="G22" s="319">
        <v>0</v>
      </c>
      <c r="H22" s="319">
        <v>0</v>
      </c>
      <c r="I22" s="319">
        <f>SUM(I16:I21)</f>
        <v>6045491.583333333</v>
      </c>
      <c r="J22" s="319"/>
      <c r="K22" s="319">
        <v>0</v>
      </c>
      <c r="L22" s="319">
        <v>0</v>
      </c>
      <c r="M22" s="319">
        <f t="shared" si="0"/>
        <v>0</v>
      </c>
    </row>
    <row r="23" spans="1:17" ht="18.75" customHeight="1">
      <c r="A23" s="92">
        <v>5</v>
      </c>
      <c r="B23" s="95" t="s">
        <v>197</v>
      </c>
      <c r="C23" s="262">
        <v>10204701</v>
      </c>
      <c r="D23" s="297"/>
      <c r="E23" s="262"/>
      <c r="F23" s="262">
        <v>0</v>
      </c>
      <c r="G23" s="262">
        <f t="shared" si="4"/>
        <v>10204701</v>
      </c>
      <c r="H23" s="262">
        <v>3614220</v>
      </c>
      <c r="I23" s="262">
        <f>L23*O23/100</f>
        <v>1318096.2</v>
      </c>
      <c r="J23" s="299">
        <v>0</v>
      </c>
      <c r="K23" s="299">
        <f>H23+I23-J23</f>
        <v>4932316.2</v>
      </c>
      <c r="L23" s="299">
        <f t="shared" si="3"/>
        <v>6590481</v>
      </c>
      <c r="M23" s="299">
        <f t="shared" si="0"/>
        <v>5272384.8</v>
      </c>
      <c r="O23" s="89">
        <v>20</v>
      </c>
    </row>
    <row r="24" spans="1:17" ht="18.75" customHeight="1">
      <c r="A24" s="96" t="s">
        <v>20</v>
      </c>
      <c r="B24" s="97" t="s">
        <v>194</v>
      </c>
      <c r="C24" s="262"/>
      <c r="D24" s="297">
        <v>0</v>
      </c>
      <c r="E24" s="262">
        <v>0</v>
      </c>
      <c r="F24" s="262"/>
      <c r="G24" s="262">
        <f t="shared" si="4"/>
        <v>0</v>
      </c>
      <c r="H24" s="262"/>
      <c r="I24" s="262">
        <f>(E24*O24/100*(12-D24))/12</f>
        <v>0</v>
      </c>
      <c r="J24" s="299"/>
      <c r="K24" s="299">
        <f>H24+I24-J24</f>
        <v>0</v>
      </c>
      <c r="L24" s="299">
        <f t="shared" si="3"/>
        <v>0</v>
      </c>
      <c r="M24" s="299">
        <f t="shared" si="0"/>
        <v>0</v>
      </c>
      <c r="O24" s="89">
        <v>5</v>
      </c>
    </row>
    <row r="25" spans="1:17" ht="18.75" customHeight="1">
      <c r="A25" s="96"/>
      <c r="B25" s="97" t="s">
        <v>194</v>
      </c>
      <c r="C25" s="262"/>
      <c r="D25" s="297"/>
      <c r="E25" s="262"/>
      <c r="F25" s="262"/>
      <c r="G25" s="262"/>
      <c r="H25" s="262"/>
      <c r="I25" s="262"/>
      <c r="J25" s="299"/>
      <c r="K25" s="299"/>
      <c r="L25" s="299"/>
      <c r="M25" s="299"/>
    </row>
    <row r="26" spans="1:17" s="320" customFormat="1" ht="18.75" customHeight="1">
      <c r="A26" s="317"/>
      <c r="B26" s="318" t="s">
        <v>502</v>
      </c>
      <c r="C26" s="319"/>
      <c r="D26" s="319"/>
      <c r="E26" s="319"/>
      <c r="F26" s="319"/>
      <c r="G26" s="319"/>
      <c r="H26" s="319"/>
      <c r="I26" s="319">
        <f>SUM(I23:I24)</f>
        <v>1318096.2</v>
      </c>
      <c r="J26" s="319"/>
      <c r="K26" s="319"/>
      <c r="L26" s="319"/>
      <c r="M26" s="319"/>
    </row>
    <row r="27" spans="1:17" ht="18.75" customHeight="1">
      <c r="A27" s="92">
        <v>6</v>
      </c>
      <c r="B27" s="95" t="s">
        <v>198</v>
      </c>
      <c r="C27" s="262">
        <v>89123</v>
      </c>
      <c r="D27" s="297"/>
      <c r="E27" s="262">
        <v>0</v>
      </c>
      <c r="F27" s="262"/>
      <c r="G27" s="262">
        <f t="shared" si="4"/>
        <v>89123</v>
      </c>
      <c r="H27" s="262">
        <v>0</v>
      </c>
      <c r="I27" s="262">
        <f>L27*O27/100</f>
        <v>22280.75</v>
      </c>
      <c r="J27" s="299"/>
      <c r="K27" s="299">
        <f>H27+I27-J27</f>
        <v>22280.75</v>
      </c>
      <c r="L27" s="299">
        <f t="shared" si="3"/>
        <v>89123</v>
      </c>
      <c r="M27" s="299">
        <f t="shared" si="0"/>
        <v>66842.25</v>
      </c>
      <c r="O27" s="89">
        <v>25</v>
      </c>
      <c r="Q27" s="315"/>
    </row>
    <row r="28" spans="1:17" ht="18.75" customHeight="1">
      <c r="A28" s="96" t="s">
        <v>20</v>
      </c>
      <c r="B28" s="97" t="s">
        <v>194</v>
      </c>
      <c r="C28" s="262"/>
      <c r="D28" s="297">
        <v>0</v>
      </c>
      <c r="E28" s="262">
        <v>0</v>
      </c>
      <c r="F28" s="262"/>
      <c r="G28" s="262">
        <f t="shared" si="4"/>
        <v>0</v>
      </c>
      <c r="H28" s="262"/>
      <c r="I28" s="262">
        <f>(E28*O28/100*(12-D28))/12</f>
        <v>0</v>
      </c>
      <c r="J28" s="299"/>
      <c r="K28" s="299">
        <f>H28+I28-J28</f>
        <v>0</v>
      </c>
      <c r="L28" s="299">
        <f t="shared" si="3"/>
        <v>0</v>
      </c>
      <c r="M28" s="299">
        <f>G28-K28</f>
        <v>0</v>
      </c>
      <c r="O28" s="89">
        <v>25</v>
      </c>
    </row>
    <row r="29" spans="1:17" ht="18.75" customHeight="1">
      <c r="A29" s="96" t="s">
        <v>20</v>
      </c>
      <c r="B29" s="97" t="s">
        <v>194</v>
      </c>
      <c r="C29" s="262"/>
      <c r="D29" s="297"/>
      <c r="E29" s="262"/>
      <c r="F29" s="262"/>
      <c r="G29" s="262">
        <f t="shared" si="4"/>
        <v>0</v>
      </c>
      <c r="H29" s="262"/>
      <c r="I29" s="262">
        <f>(E29*O29/100*(12-D29))/12</f>
        <v>0</v>
      </c>
      <c r="J29" s="299"/>
      <c r="K29" s="299">
        <f>H29+I29-J29</f>
        <v>0</v>
      </c>
      <c r="L29" s="299">
        <f t="shared" si="3"/>
        <v>0</v>
      </c>
      <c r="M29" s="299">
        <f t="shared" si="0"/>
        <v>0</v>
      </c>
      <c r="O29" s="89">
        <v>25</v>
      </c>
      <c r="Q29" s="315"/>
    </row>
    <row r="30" spans="1:17" s="320" customFormat="1" ht="18.75" customHeight="1">
      <c r="A30" s="317" t="s">
        <v>20</v>
      </c>
      <c r="B30" s="318" t="s">
        <v>501</v>
      </c>
      <c r="C30" s="319">
        <v>0</v>
      </c>
      <c r="D30" s="319"/>
      <c r="E30" s="319"/>
      <c r="F30" s="319"/>
      <c r="G30" s="319">
        <f t="shared" si="4"/>
        <v>0</v>
      </c>
      <c r="H30" s="319">
        <v>0</v>
      </c>
      <c r="I30" s="319">
        <f>SUM(I27:I29)</f>
        <v>22280.75</v>
      </c>
      <c r="J30" s="319"/>
      <c r="K30" s="319"/>
      <c r="L30" s="319">
        <f t="shared" si="3"/>
        <v>0</v>
      </c>
      <c r="M30" s="319">
        <f t="shared" si="0"/>
        <v>0</v>
      </c>
      <c r="O30" s="320">
        <v>25</v>
      </c>
    </row>
    <row r="31" spans="1:17" ht="18.75" customHeight="1">
      <c r="A31" s="92">
        <v>7</v>
      </c>
      <c r="B31" s="95" t="s">
        <v>199</v>
      </c>
      <c r="C31" s="262">
        <v>469000</v>
      </c>
      <c r="D31" s="297">
        <v>0</v>
      </c>
      <c r="E31" s="262">
        <v>0</v>
      </c>
      <c r="F31" s="262"/>
      <c r="G31" s="262">
        <f t="shared" si="4"/>
        <v>469000</v>
      </c>
      <c r="H31" s="262">
        <v>16800</v>
      </c>
      <c r="I31" s="262">
        <f>L31*O31/100</f>
        <v>90440</v>
      </c>
      <c r="J31" s="299"/>
      <c r="K31" s="299">
        <f>H31+I31-J31</f>
        <v>107240</v>
      </c>
      <c r="L31" s="299">
        <f t="shared" si="3"/>
        <v>452200</v>
      </c>
      <c r="M31" s="299">
        <f t="shared" si="0"/>
        <v>361760</v>
      </c>
      <c r="O31" s="89">
        <v>20</v>
      </c>
      <c r="Q31" s="315"/>
    </row>
    <row r="32" spans="1:17" ht="18.75" customHeight="1">
      <c r="A32" s="96" t="s">
        <v>20</v>
      </c>
      <c r="B32" s="97" t="s">
        <v>194</v>
      </c>
      <c r="C32" s="262"/>
      <c r="D32" s="297">
        <v>0</v>
      </c>
      <c r="E32" s="202">
        <v>0</v>
      </c>
      <c r="F32" s="262"/>
      <c r="G32" s="262">
        <f t="shared" si="4"/>
        <v>0</v>
      </c>
      <c r="H32" s="262"/>
      <c r="I32" s="262">
        <f>(E32*O32/100*(12-D32))/12</f>
        <v>0</v>
      </c>
      <c r="J32" s="299"/>
      <c r="K32" s="299">
        <f>H32+I32-J32</f>
        <v>0</v>
      </c>
      <c r="L32" s="299">
        <f t="shared" si="3"/>
        <v>0</v>
      </c>
      <c r="M32" s="299">
        <f t="shared" si="0"/>
        <v>0</v>
      </c>
      <c r="O32" s="89">
        <v>20</v>
      </c>
      <c r="Q32" s="315"/>
    </row>
    <row r="33" spans="1:17" ht="18.75" customHeight="1">
      <c r="A33" s="96"/>
      <c r="B33" s="97" t="s">
        <v>194</v>
      </c>
      <c r="C33" s="262"/>
      <c r="D33" s="297">
        <v>0</v>
      </c>
      <c r="E33" s="262">
        <v>0</v>
      </c>
      <c r="F33" s="262"/>
      <c r="G33" s="262">
        <f t="shared" si="4"/>
        <v>0</v>
      </c>
      <c r="H33" s="262"/>
      <c r="I33" s="262">
        <f>(E33*O33/100*(12-D33))/12</f>
        <v>0</v>
      </c>
      <c r="J33" s="299"/>
      <c r="K33" s="299">
        <f>H33+I33-J33</f>
        <v>0</v>
      </c>
      <c r="L33" s="299">
        <f t="shared" si="3"/>
        <v>0</v>
      </c>
      <c r="M33" s="299">
        <f t="shared" si="0"/>
        <v>0</v>
      </c>
      <c r="O33" s="89">
        <v>20</v>
      </c>
      <c r="Q33" s="315"/>
    </row>
    <row r="34" spans="1:17" ht="18.75" customHeight="1">
      <c r="A34" s="96"/>
      <c r="B34" s="97" t="s">
        <v>194</v>
      </c>
      <c r="C34" s="262"/>
      <c r="D34" s="297">
        <v>0</v>
      </c>
      <c r="E34" s="262">
        <v>0</v>
      </c>
      <c r="F34" s="262"/>
      <c r="G34" s="262">
        <f t="shared" si="4"/>
        <v>0</v>
      </c>
      <c r="H34" s="262"/>
      <c r="I34" s="262">
        <f>(E34*O34/100*(12-D34))/12</f>
        <v>0</v>
      </c>
      <c r="J34" s="299"/>
      <c r="K34" s="299">
        <f>H34+I34-J34</f>
        <v>0</v>
      </c>
      <c r="L34" s="299">
        <f t="shared" si="3"/>
        <v>0</v>
      </c>
      <c r="M34" s="299">
        <f t="shared" si="0"/>
        <v>0</v>
      </c>
      <c r="O34" s="89">
        <v>20</v>
      </c>
      <c r="Q34" s="315"/>
    </row>
    <row r="35" spans="1:17" s="320" customFormat="1" ht="18.75" customHeight="1">
      <c r="A35" s="317"/>
      <c r="B35" s="318" t="s">
        <v>500</v>
      </c>
      <c r="C35" s="319"/>
      <c r="D35" s="319"/>
      <c r="E35" s="319">
        <v>0</v>
      </c>
      <c r="F35" s="319"/>
      <c r="G35" s="319">
        <f t="shared" si="4"/>
        <v>0</v>
      </c>
      <c r="H35" s="319"/>
      <c r="I35" s="319">
        <f>SUM(I31:I34)</f>
        <v>90440</v>
      </c>
      <c r="J35" s="319"/>
      <c r="K35" s="319"/>
      <c r="L35" s="319"/>
      <c r="M35" s="319"/>
    </row>
    <row r="36" spans="1:17" ht="21.75" customHeight="1">
      <c r="A36" s="98"/>
      <c r="B36" s="99" t="s">
        <v>170</v>
      </c>
      <c r="C36" s="300">
        <f t="shared" ref="C36:H36" si="5">SUM(C8:C35)</f>
        <v>217082072</v>
      </c>
      <c r="D36" s="300"/>
      <c r="E36" s="300">
        <f t="shared" si="5"/>
        <v>2547001</v>
      </c>
      <c r="F36" s="300">
        <f t="shared" si="5"/>
        <v>0</v>
      </c>
      <c r="G36" s="300">
        <f t="shared" si="5"/>
        <v>219629073</v>
      </c>
      <c r="H36" s="300">
        <f t="shared" si="5"/>
        <v>34106890</v>
      </c>
      <c r="I36" s="300">
        <f>I12+I15+I22+I26+I30+I35</f>
        <v>11041291.983333332</v>
      </c>
      <c r="J36" s="300">
        <f>SUM(J8:J35)</f>
        <v>0</v>
      </c>
      <c r="K36" s="300">
        <f>SUM(K8:K35)</f>
        <v>45148181.983333342</v>
      </c>
      <c r="L36" s="300">
        <f>SUM(L8:L35)</f>
        <v>182975182</v>
      </c>
      <c r="M36" s="300">
        <f>SUM(M8:M35)</f>
        <v>174480891.01666668</v>
      </c>
      <c r="Q36" s="315"/>
    </row>
    <row r="37" spans="1:17" ht="18" customHeight="1">
      <c r="B37" s="100"/>
      <c r="C37" s="101"/>
      <c r="D37" s="101"/>
      <c r="E37" s="101"/>
      <c r="F37" s="101"/>
      <c r="G37" s="101"/>
      <c r="H37" s="101"/>
      <c r="I37" s="101"/>
      <c r="J37" s="102"/>
      <c r="K37" s="102"/>
      <c r="L37" s="102"/>
      <c r="M37" s="301">
        <v>0</v>
      </c>
    </row>
    <row r="38" spans="1:17" ht="15.6">
      <c r="B38" s="100"/>
      <c r="C38" s="103"/>
      <c r="D38" s="103"/>
      <c r="E38" s="103"/>
      <c r="F38" s="103"/>
      <c r="G38" s="103"/>
      <c r="H38" s="104" t="s">
        <v>200</v>
      </c>
      <c r="I38" s="103"/>
      <c r="J38" s="314"/>
    </row>
    <row r="39" spans="1:17" ht="15.6">
      <c r="B39" s="100"/>
      <c r="C39" s="103"/>
      <c r="D39" s="103"/>
      <c r="E39" s="103"/>
      <c r="F39" s="103"/>
      <c r="G39" s="103"/>
      <c r="H39" s="104" t="str">
        <f>Kopertina!C45</f>
        <v>DRITAN KOLA</v>
      </c>
      <c r="I39" s="103"/>
    </row>
    <row r="40" spans="1:17">
      <c r="B40" s="100"/>
      <c r="C40" s="103"/>
      <c r="D40" s="103"/>
      <c r="E40" s="103"/>
      <c r="F40" s="103"/>
      <c r="H40" s="105"/>
      <c r="I40" s="103"/>
    </row>
    <row r="41" spans="1:17" ht="15">
      <c r="C41" s="106"/>
      <c r="D41" s="106"/>
      <c r="F41" s="103"/>
      <c r="G41" s="103"/>
      <c r="H41" s="103"/>
      <c r="I41" s="103"/>
    </row>
    <row r="42" spans="1:17">
      <c r="C42" s="107"/>
      <c r="D42" s="107"/>
      <c r="F42" s="103"/>
      <c r="G42" s="103"/>
      <c r="H42" s="103"/>
      <c r="I42" s="103"/>
    </row>
    <row r="43" spans="1:17" ht="15">
      <c r="C43" s="106"/>
      <c r="D43" s="106"/>
      <c r="G43" s="103"/>
      <c r="H43" s="103"/>
      <c r="I43" s="103"/>
    </row>
    <row r="44" spans="1:17">
      <c r="G44" s="103"/>
    </row>
  </sheetData>
  <mergeCells count="6">
    <mergeCell ref="B4:M4"/>
    <mergeCell ref="A6:A7"/>
    <mergeCell ref="B6:B7"/>
    <mergeCell ref="C6:G6"/>
    <mergeCell ref="H6:K6"/>
    <mergeCell ref="L6:M6"/>
  </mergeCells>
  <phoneticPr fontId="0" type="noConversion"/>
  <pageMargins left="0.27559055118110237" right="0.15748031496062992" top="0.62992125984251968" bottom="0.6692913385826772" header="0.51181102362204722" footer="0.51181102362204722"/>
  <pageSetup paperSize="9" scale="7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4"/>
  <sheetViews>
    <sheetView topLeftCell="A28" workbookViewId="0">
      <selection activeCell="E28" sqref="E28"/>
    </sheetView>
  </sheetViews>
  <sheetFormatPr defaultColWidth="9.109375" defaultRowHeight="13.2"/>
  <cols>
    <col min="1" max="1" width="5.109375" style="105" customWidth="1"/>
    <col min="2" max="2" width="21.109375" style="105" customWidth="1"/>
    <col min="3" max="3" width="9.33203125" style="105" customWidth="1"/>
    <col min="4" max="4" width="11.6640625" style="105" customWidth="1"/>
    <col min="5" max="5" width="11" style="105" customWidth="1"/>
    <col min="6" max="6" width="12" style="105" customWidth="1"/>
    <col min="7" max="7" width="13.33203125" style="105" customWidth="1"/>
    <col min="8" max="8" width="9.109375" style="105" customWidth="1"/>
    <col min="9" max="10" width="10.109375" style="105" bestFit="1" customWidth="1"/>
    <col min="11" max="12" width="9.109375" style="105" customWidth="1"/>
    <col min="13" max="13" width="12.21875" style="105" customWidth="1"/>
    <col min="14" max="16384" width="9.109375" style="105"/>
  </cols>
  <sheetData>
    <row r="1" spans="1:9" ht="15.6">
      <c r="B1" s="108" t="str">
        <f>Kopertina!C4</f>
        <v>SHOQERIA "EKSPRES- BETON LEZHE "SHPK</v>
      </c>
    </row>
    <row r="2" spans="1:9">
      <c r="B2" s="109" t="str">
        <f>Kopertina!C5</f>
        <v>NIPT: K58515501V</v>
      </c>
    </row>
    <row r="3" spans="1:9">
      <c r="B3" s="109"/>
    </row>
    <row r="4" spans="1:9" ht="15.6">
      <c r="B4" s="395" t="s">
        <v>543</v>
      </c>
      <c r="C4" s="395"/>
      <c r="D4" s="395"/>
      <c r="E4" s="395"/>
      <c r="F4" s="395"/>
      <c r="G4" s="395"/>
    </row>
    <row r="6" spans="1:9">
      <c r="A6" s="396" t="s">
        <v>201</v>
      </c>
      <c r="B6" s="398" t="s">
        <v>186</v>
      </c>
      <c r="C6" s="396" t="s">
        <v>202</v>
      </c>
      <c r="D6" s="110" t="s">
        <v>203</v>
      </c>
      <c r="E6" s="396" t="s">
        <v>204</v>
      </c>
      <c r="F6" s="396" t="s">
        <v>192</v>
      </c>
      <c r="G6" s="110" t="s">
        <v>203</v>
      </c>
    </row>
    <row r="7" spans="1:9">
      <c r="A7" s="397"/>
      <c r="B7" s="399"/>
      <c r="C7" s="397"/>
      <c r="D7" s="111">
        <v>40909</v>
      </c>
      <c r="E7" s="397"/>
      <c r="F7" s="397"/>
      <c r="G7" s="111">
        <v>41274</v>
      </c>
      <c r="H7" s="112"/>
      <c r="I7" s="112"/>
    </row>
    <row r="8" spans="1:9">
      <c r="A8" s="113">
        <v>1</v>
      </c>
      <c r="B8" s="118" t="s">
        <v>48</v>
      </c>
      <c r="C8" s="113"/>
      <c r="D8" s="115">
        <f>'AMORTIZIMI AAM'!C8</f>
        <v>0</v>
      </c>
      <c r="E8" s="115"/>
      <c r="F8" s="115"/>
      <c r="G8" s="115">
        <f t="shared" ref="G8:G17" si="0">D8+E8-F8</f>
        <v>0</v>
      </c>
      <c r="H8" s="112"/>
      <c r="I8" s="112"/>
    </row>
    <row r="9" spans="1:9">
      <c r="A9" s="113">
        <f>A8+1</f>
        <v>2</v>
      </c>
      <c r="B9" s="114" t="s">
        <v>524</v>
      </c>
      <c r="C9" s="113"/>
      <c r="D9" s="115">
        <f>'AMORTIZIMI AAM'!C13</f>
        <v>0</v>
      </c>
      <c r="E9" s="115"/>
      <c r="F9" s="115"/>
      <c r="G9" s="115"/>
      <c r="H9" s="112"/>
      <c r="I9" s="112"/>
    </row>
    <row r="10" spans="1:9">
      <c r="A10" s="113">
        <f t="shared" ref="A10:A17" si="1">A9+1</f>
        <v>3</v>
      </c>
      <c r="B10" s="118" t="s">
        <v>205</v>
      </c>
      <c r="C10" s="113">
        <v>1</v>
      </c>
      <c r="D10" s="115">
        <f>'AMORTIZIMI AAM'!C9+'AMORTIZIMI AAM'!C10</f>
        <v>153108830</v>
      </c>
      <c r="E10" s="343">
        <f>'AMORTIZIMI AAM'!E10</f>
        <v>0</v>
      </c>
      <c r="F10" s="115"/>
      <c r="G10" s="115">
        <f>D10+E10-F10</f>
        <v>153108830</v>
      </c>
      <c r="H10" s="116"/>
      <c r="I10" s="117"/>
    </row>
    <row r="11" spans="1:9">
      <c r="A11" s="113">
        <f t="shared" si="1"/>
        <v>4</v>
      </c>
      <c r="B11" s="118" t="s">
        <v>206</v>
      </c>
      <c r="C11" s="113">
        <v>24</v>
      </c>
      <c r="D11" s="115">
        <f>'AMORTIZIMI AAM'!C16</f>
        <v>53210418</v>
      </c>
      <c r="E11" s="115">
        <f>'AMORTIZIMI AAM'!E16+'AMORTIZIMI AAM'!E17+'AMORTIZIMI AAM'!E19+'AMORTIZIMI AAM'!E20+'AMORTIZIMI AAM'!E18+'AMORTIZIMI AAM'!E21</f>
        <v>2547001</v>
      </c>
      <c r="F11" s="115">
        <f>'AMORTIZIMI AAM'!F17+'AMORTIZIMI AAM'!F20</f>
        <v>0</v>
      </c>
      <c r="G11" s="115">
        <f t="shared" si="0"/>
        <v>55757419</v>
      </c>
      <c r="H11" s="116"/>
      <c r="I11" s="117"/>
    </row>
    <row r="12" spans="1:9">
      <c r="A12" s="113">
        <f t="shared" si="1"/>
        <v>5</v>
      </c>
      <c r="B12" s="118" t="s">
        <v>197</v>
      </c>
      <c r="C12" s="113">
        <v>4</v>
      </c>
      <c r="D12" s="115">
        <f>'AMORTIZIMI AAM'!C23</f>
        <v>10204701</v>
      </c>
      <c r="E12" s="115">
        <f>'AMORTIZIMI AAM'!E24</f>
        <v>0</v>
      </c>
      <c r="F12" s="343">
        <f>'AMORTIZIMI AAM'!F23</f>
        <v>0</v>
      </c>
      <c r="G12" s="115">
        <f t="shared" si="0"/>
        <v>10204701</v>
      </c>
      <c r="H12" s="116"/>
      <c r="I12" s="117"/>
    </row>
    <row r="13" spans="1:9">
      <c r="A13" s="113">
        <f t="shared" si="1"/>
        <v>6</v>
      </c>
      <c r="B13" s="118" t="s">
        <v>207</v>
      </c>
      <c r="C13" s="113">
        <v>2</v>
      </c>
      <c r="D13" s="115">
        <f>'AMORTIZIMI AAM'!C27</f>
        <v>89123</v>
      </c>
      <c r="E13" s="316">
        <f>'AMORTIZIMI AAM'!E28+'AMORTIZIMI AAM'!E29</f>
        <v>0</v>
      </c>
      <c r="F13" s="115">
        <v>0</v>
      </c>
      <c r="G13" s="115">
        <f t="shared" si="0"/>
        <v>89123</v>
      </c>
      <c r="H13" s="116"/>
      <c r="I13" s="117"/>
    </row>
    <row r="14" spans="1:9">
      <c r="A14" s="113">
        <f t="shared" si="1"/>
        <v>7</v>
      </c>
      <c r="B14" s="118" t="s">
        <v>208</v>
      </c>
      <c r="C14" s="113">
        <v>2</v>
      </c>
      <c r="D14" s="115">
        <f>'AMORTIZIMI AAM'!C31</f>
        <v>469000</v>
      </c>
      <c r="E14" s="115">
        <f>'AMORTIZIMI AAM'!E32+'AMORTIZIMI AAM'!E33+'AMORTIZIMI AAM'!E34</f>
        <v>0</v>
      </c>
      <c r="F14" s="115">
        <f>'AMORTIZIMI AAM'!F22+'AMORTIZIMI AAM'!F24</f>
        <v>0</v>
      </c>
      <c r="G14" s="115">
        <f t="shared" si="0"/>
        <v>469000</v>
      </c>
      <c r="H14" s="116"/>
      <c r="I14" s="117"/>
    </row>
    <row r="15" spans="1:9">
      <c r="A15" s="113">
        <f t="shared" si="1"/>
        <v>8</v>
      </c>
      <c r="B15" s="120"/>
      <c r="C15" s="113"/>
      <c r="D15" s="115"/>
      <c r="E15" s="115"/>
      <c r="F15" s="115"/>
      <c r="G15" s="115">
        <f t="shared" si="0"/>
        <v>0</v>
      </c>
      <c r="H15" s="112"/>
      <c r="I15" s="112"/>
    </row>
    <row r="16" spans="1:9">
      <c r="A16" s="113">
        <f t="shared" si="1"/>
        <v>9</v>
      </c>
      <c r="B16" s="120"/>
      <c r="C16" s="113"/>
      <c r="D16" s="115"/>
      <c r="E16" s="115"/>
      <c r="F16" s="115"/>
      <c r="G16" s="115">
        <f t="shared" si="0"/>
        <v>0</v>
      </c>
      <c r="H16" s="112"/>
      <c r="I16" s="112"/>
    </row>
    <row r="17" spans="1:9">
      <c r="A17" s="113">
        <f t="shared" si="1"/>
        <v>10</v>
      </c>
      <c r="B17" s="120"/>
      <c r="C17" s="113"/>
      <c r="D17" s="115"/>
      <c r="E17" s="115"/>
      <c r="F17" s="115"/>
      <c r="G17" s="115">
        <f t="shared" si="0"/>
        <v>0</v>
      </c>
      <c r="H17" s="112"/>
      <c r="I17" s="112"/>
    </row>
    <row r="18" spans="1:9" ht="13.8" thickBot="1">
      <c r="A18" s="220"/>
      <c r="B18" s="221" t="s">
        <v>209</v>
      </c>
      <c r="C18" s="222"/>
      <c r="D18" s="223">
        <f>SUM(D8:D17)</f>
        <v>217082072</v>
      </c>
      <c r="E18" s="223">
        <f>SUM(E8:E17)</f>
        <v>2547001</v>
      </c>
      <c r="F18" s="223">
        <f>SUM(F8:F17)</f>
        <v>0</v>
      </c>
      <c r="G18" s="224">
        <f>SUM(G8:G17)</f>
        <v>219629073</v>
      </c>
      <c r="I18" s="129"/>
    </row>
    <row r="20" spans="1:9" ht="15.6">
      <c r="B20" s="395" t="s">
        <v>544</v>
      </c>
      <c r="C20" s="395"/>
      <c r="D20" s="395"/>
      <c r="E20" s="395"/>
      <c r="F20" s="395"/>
      <c r="G20" s="395"/>
      <c r="I20" s="129"/>
    </row>
    <row r="22" spans="1:9">
      <c r="A22" s="396" t="s">
        <v>201</v>
      </c>
      <c r="B22" s="398" t="s">
        <v>186</v>
      </c>
      <c r="C22" s="396" t="s">
        <v>202</v>
      </c>
      <c r="D22" s="110" t="s">
        <v>203</v>
      </c>
      <c r="E22" s="396" t="s">
        <v>204</v>
      </c>
      <c r="F22" s="396" t="s">
        <v>192</v>
      </c>
      <c r="G22" s="110" t="s">
        <v>203</v>
      </c>
    </row>
    <row r="23" spans="1:9">
      <c r="A23" s="397"/>
      <c r="B23" s="399"/>
      <c r="C23" s="397"/>
      <c r="D23" s="111">
        <f>D7</f>
        <v>40909</v>
      </c>
      <c r="E23" s="397"/>
      <c r="F23" s="397"/>
      <c r="G23" s="111">
        <f>G7</f>
        <v>41274</v>
      </c>
    </row>
    <row r="24" spans="1:9">
      <c r="A24" s="113">
        <v>1</v>
      </c>
      <c r="B24" s="114" t="s">
        <v>48</v>
      </c>
      <c r="C24" s="113"/>
      <c r="D24" s="115">
        <v>0</v>
      </c>
      <c r="E24" s="115">
        <v>0</v>
      </c>
      <c r="F24" s="115"/>
      <c r="G24" s="115">
        <f>D24+E24</f>
        <v>0</v>
      </c>
    </row>
    <row r="25" spans="1:9">
      <c r="A25" s="113">
        <f>A24+1</f>
        <v>2</v>
      </c>
      <c r="B25" s="114" t="s">
        <v>524</v>
      </c>
      <c r="C25" s="113"/>
      <c r="D25" s="115">
        <f>'AMORTIZIMI AAM'!H13</f>
        <v>0</v>
      </c>
      <c r="E25" s="115"/>
      <c r="F25" s="115"/>
      <c r="G25" s="115">
        <f t="shared" ref="G25:G26" si="2">D25+E25</f>
        <v>0</v>
      </c>
    </row>
    <row r="26" spans="1:9">
      <c r="A26" s="113">
        <f t="shared" ref="A26:A33" si="3">A25+1</f>
        <v>3</v>
      </c>
      <c r="B26" s="114" t="s">
        <v>205</v>
      </c>
      <c r="C26" s="113">
        <v>0</v>
      </c>
      <c r="D26" s="115">
        <f>'AMORTIZIMI AAM'!H9</f>
        <v>5173826</v>
      </c>
      <c r="E26" s="343">
        <f>'AMORTIZIMI AAM'!I9</f>
        <v>3564983.45</v>
      </c>
      <c r="F26" s="343">
        <f>'AMORTIZIMI AAM'!J9</f>
        <v>0</v>
      </c>
      <c r="G26" s="115">
        <f t="shared" si="2"/>
        <v>8738809.4499999993</v>
      </c>
    </row>
    <row r="27" spans="1:9">
      <c r="A27" s="113">
        <f t="shared" si="3"/>
        <v>4</v>
      </c>
      <c r="B27" s="118" t="s">
        <v>210</v>
      </c>
      <c r="C27" s="113">
        <f>C11</f>
        <v>24</v>
      </c>
      <c r="D27" s="115">
        <f>'AMORTIZIMI AAM'!H16</f>
        <v>25302044</v>
      </c>
      <c r="E27" s="343">
        <f>'AMORTIZIMI AAM'!I22</f>
        <v>6045491.583333333</v>
      </c>
      <c r="F27" s="343">
        <f>'AMORTIZIMI AAM'!J16</f>
        <v>0</v>
      </c>
      <c r="G27" s="115">
        <f>D27+E27-F27</f>
        <v>31347535.583333332</v>
      </c>
    </row>
    <row r="28" spans="1:9">
      <c r="A28" s="113">
        <f t="shared" si="3"/>
        <v>5</v>
      </c>
      <c r="B28" s="118" t="s">
        <v>197</v>
      </c>
      <c r="C28" s="113">
        <f>C12</f>
        <v>4</v>
      </c>
      <c r="D28" s="115">
        <f>'AMORTIZIMI AAM'!H23</f>
        <v>3614220</v>
      </c>
      <c r="E28" s="269">
        <f>'AMORTIZIMI AAM'!I23</f>
        <v>1318096.2</v>
      </c>
      <c r="F28" s="130">
        <f>'AMORTIZIMI AAM'!J23</f>
        <v>0</v>
      </c>
      <c r="G28" s="115">
        <f t="shared" ref="G28:G33" si="4">D28+E28-F28</f>
        <v>4932316.2</v>
      </c>
    </row>
    <row r="29" spans="1:9">
      <c r="A29" s="113">
        <f t="shared" si="3"/>
        <v>6</v>
      </c>
      <c r="B29" s="118" t="s">
        <v>207</v>
      </c>
      <c r="C29" s="113">
        <f>C13</f>
        <v>2</v>
      </c>
      <c r="D29" s="269">
        <f>'AMORTIZIMI AAM'!H27</f>
        <v>0</v>
      </c>
      <c r="E29" s="269">
        <f>'AMORTIZIMI AAM'!I27</f>
        <v>22280.75</v>
      </c>
      <c r="F29" s="269">
        <f>'AMORTIZIMI AAM'!J27</f>
        <v>0</v>
      </c>
      <c r="G29" s="269">
        <f>'AMORTIZIMI AAM'!K27</f>
        <v>22280.75</v>
      </c>
    </row>
    <row r="30" spans="1:9">
      <c r="A30" s="113">
        <f t="shared" si="3"/>
        <v>7</v>
      </c>
      <c r="B30" s="118" t="s">
        <v>208</v>
      </c>
      <c r="C30" s="113">
        <f>C14</f>
        <v>2</v>
      </c>
      <c r="D30" s="115">
        <f>'AMORTIZIMI AAM'!H31</f>
        <v>16800</v>
      </c>
      <c r="E30" s="343">
        <f>'AMORTIZIMI AAM'!I31</f>
        <v>90440</v>
      </c>
      <c r="F30" s="343">
        <f>'AMORTIZIMI AAM'!J31</f>
        <v>0</v>
      </c>
      <c r="G30" s="343">
        <f>'AMORTIZIMI AAM'!K31</f>
        <v>107240</v>
      </c>
    </row>
    <row r="31" spans="1:9">
      <c r="A31" s="113">
        <f t="shared" si="3"/>
        <v>8</v>
      </c>
      <c r="B31" s="120"/>
      <c r="C31" s="113"/>
      <c r="D31" s="115"/>
      <c r="E31" s="115"/>
      <c r="F31" s="115"/>
      <c r="G31" s="115">
        <f t="shared" si="4"/>
        <v>0</v>
      </c>
    </row>
    <row r="32" spans="1:9">
      <c r="A32" s="113">
        <f t="shared" si="3"/>
        <v>9</v>
      </c>
      <c r="B32" s="120"/>
      <c r="C32" s="113"/>
      <c r="D32" s="115"/>
      <c r="E32" s="115"/>
      <c r="F32" s="115"/>
      <c r="G32" s="115">
        <f t="shared" si="4"/>
        <v>0</v>
      </c>
    </row>
    <row r="33" spans="1:14" ht="13.8" thickBot="1">
      <c r="A33" s="113">
        <f t="shared" si="3"/>
        <v>10</v>
      </c>
      <c r="B33" s="122"/>
      <c r="C33" s="121"/>
      <c r="D33" s="123"/>
      <c r="E33" s="123"/>
      <c r="F33" s="123"/>
      <c r="G33" s="123">
        <f t="shared" si="4"/>
        <v>0</v>
      </c>
    </row>
    <row r="34" spans="1:14" ht="13.8" thickBot="1">
      <c r="A34" s="124"/>
      <c r="B34" s="125" t="s">
        <v>209</v>
      </c>
      <c r="C34" s="126"/>
      <c r="D34" s="127">
        <f>SUM(D24:D33)</f>
        <v>34106890</v>
      </c>
      <c r="E34" s="127">
        <f>SUM(E24:E33)</f>
        <v>11041291.983333332</v>
      </c>
      <c r="F34" s="127">
        <f>SUM(F24:F33)</f>
        <v>0</v>
      </c>
      <c r="G34" s="128">
        <f>SUM(G24:G33)</f>
        <v>45148181.983333334</v>
      </c>
      <c r="H34" s="131"/>
      <c r="I34" s="129"/>
      <c r="J34" s="129"/>
    </row>
    <row r="35" spans="1:14">
      <c r="G35" s="131"/>
    </row>
    <row r="36" spans="1:14" ht="15.6">
      <c r="B36" s="395" t="s">
        <v>545</v>
      </c>
      <c r="C36" s="395"/>
      <c r="D36" s="395"/>
      <c r="E36" s="395"/>
      <c r="F36" s="395"/>
      <c r="G36" s="395"/>
    </row>
    <row r="38" spans="1:14">
      <c r="A38" s="396" t="s">
        <v>201</v>
      </c>
      <c r="B38" s="398" t="s">
        <v>186</v>
      </c>
      <c r="C38" s="396" t="s">
        <v>202</v>
      </c>
      <c r="D38" s="110" t="s">
        <v>203</v>
      </c>
      <c r="E38" s="396" t="s">
        <v>204</v>
      </c>
      <c r="F38" s="396" t="s">
        <v>192</v>
      </c>
      <c r="G38" s="110" t="s">
        <v>203</v>
      </c>
    </row>
    <row r="39" spans="1:14">
      <c r="A39" s="397"/>
      <c r="B39" s="399"/>
      <c r="C39" s="397"/>
      <c r="D39" s="111">
        <f>D23</f>
        <v>40909</v>
      </c>
      <c r="E39" s="397"/>
      <c r="F39" s="397"/>
      <c r="G39" s="111">
        <f>G7</f>
        <v>41274</v>
      </c>
    </row>
    <row r="40" spans="1:14">
      <c r="A40" s="113">
        <v>1</v>
      </c>
      <c r="B40" s="114" t="s">
        <v>48</v>
      </c>
      <c r="C40" s="113"/>
      <c r="D40" s="115">
        <f>D8-D24</f>
        <v>0</v>
      </c>
      <c r="E40" s="115"/>
      <c r="F40" s="115"/>
      <c r="G40" s="115">
        <f t="shared" ref="G40:G49" si="5">D40+E40-F40</f>
        <v>0</v>
      </c>
    </row>
    <row r="41" spans="1:14">
      <c r="A41" s="338">
        <f>A40+1</f>
        <v>2</v>
      </c>
      <c r="B41" s="114" t="s">
        <v>524</v>
      </c>
      <c r="C41" s="113"/>
      <c r="D41" s="343">
        <f t="shared" ref="D41:G42" si="6">D9-D25</f>
        <v>0</v>
      </c>
      <c r="E41" s="343">
        <f t="shared" si="6"/>
        <v>0</v>
      </c>
      <c r="F41" s="343">
        <f t="shared" si="6"/>
        <v>0</v>
      </c>
      <c r="G41" s="343">
        <f t="shared" si="6"/>
        <v>0</v>
      </c>
    </row>
    <row r="42" spans="1:14">
      <c r="A42" s="338">
        <f t="shared" ref="A42:A49" si="7">A41+1</f>
        <v>3</v>
      </c>
      <c r="B42" s="118" t="s">
        <v>205</v>
      </c>
      <c r="C42" s="113">
        <v>0</v>
      </c>
      <c r="D42" s="343">
        <f t="shared" si="6"/>
        <v>147935004</v>
      </c>
      <c r="E42" s="343">
        <f t="shared" si="6"/>
        <v>-3564983.45</v>
      </c>
      <c r="F42" s="343">
        <f t="shared" si="6"/>
        <v>0</v>
      </c>
      <c r="G42" s="343">
        <f t="shared" si="6"/>
        <v>144370020.55000001</v>
      </c>
      <c r="M42" s="112"/>
      <c r="N42" s="112"/>
    </row>
    <row r="43" spans="1:14">
      <c r="A43" s="338">
        <f t="shared" si="7"/>
        <v>4</v>
      </c>
      <c r="B43" s="118" t="s">
        <v>210</v>
      </c>
      <c r="C43" s="113">
        <f>C11</f>
        <v>24</v>
      </c>
      <c r="D43" s="115">
        <f>D11-D27</f>
        <v>27908374</v>
      </c>
      <c r="E43" s="343">
        <f t="shared" ref="E43:G43" si="8">E11-E27</f>
        <v>-3498490.583333333</v>
      </c>
      <c r="F43" s="343">
        <f t="shared" si="8"/>
        <v>0</v>
      </c>
      <c r="G43" s="343">
        <f t="shared" si="8"/>
        <v>24409883.416666668</v>
      </c>
      <c r="M43" s="112"/>
      <c r="N43" s="112"/>
    </row>
    <row r="44" spans="1:14">
      <c r="A44" s="338">
        <f t="shared" si="7"/>
        <v>5</v>
      </c>
      <c r="B44" s="118" t="s">
        <v>197</v>
      </c>
      <c r="C44" s="113">
        <f>C12</f>
        <v>4</v>
      </c>
      <c r="D44" s="115">
        <f>D12-D28</f>
        <v>6590481</v>
      </c>
      <c r="E44" s="343">
        <f t="shared" ref="E44:G44" si="9">E12-E28</f>
        <v>-1318096.2</v>
      </c>
      <c r="F44" s="343">
        <f t="shared" si="9"/>
        <v>0</v>
      </c>
      <c r="G44" s="343">
        <f t="shared" si="9"/>
        <v>5272384.8</v>
      </c>
      <c r="M44" s="112"/>
      <c r="N44" s="112"/>
    </row>
    <row r="45" spans="1:14">
      <c r="A45" s="338">
        <f t="shared" si="7"/>
        <v>6</v>
      </c>
      <c r="B45" s="118" t="s">
        <v>207</v>
      </c>
      <c r="C45" s="113">
        <f>C13</f>
        <v>2</v>
      </c>
      <c r="D45" s="115">
        <f>D13-D29</f>
        <v>89123</v>
      </c>
      <c r="E45" s="343">
        <f t="shared" ref="E45:G45" si="10">E13-E29</f>
        <v>-22280.75</v>
      </c>
      <c r="F45" s="343">
        <f t="shared" si="10"/>
        <v>0</v>
      </c>
      <c r="G45" s="343">
        <f t="shared" si="10"/>
        <v>66842.25</v>
      </c>
      <c r="M45" s="112"/>
      <c r="N45" s="112"/>
    </row>
    <row r="46" spans="1:14">
      <c r="A46" s="338">
        <f t="shared" si="7"/>
        <v>7</v>
      </c>
      <c r="B46" s="118" t="s">
        <v>208</v>
      </c>
      <c r="C46" s="113">
        <f>C14</f>
        <v>2</v>
      </c>
      <c r="D46" s="115">
        <f>D14-D30</f>
        <v>452200</v>
      </c>
      <c r="E46" s="343">
        <f t="shared" ref="E46:G46" si="11">E14-E30</f>
        <v>-90440</v>
      </c>
      <c r="F46" s="343">
        <f t="shared" si="11"/>
        <v>0</v>
      </c>
      <c r="G46" s="343">
        <f t="shared" si="11"/>
        <v>361760</v>
      </c>
      <c r="M46" s="112"/>
      <c r="N46" s="112"/>
    </row>
    <row r="47" spans="1:14">
      <c r="A47" s="338">
        <f t="shared" si="7"/>
        <v>8</v>
      </c>
      <c r="B47" s="118"/>
      <c r="C47" s="113"/>
      <c r="D47" s="115"/>
      <c r="E47" s="115"/>
      <c r="F47" s="115"/>
      <c r="G47" s="115">
        <f t="shared" si="5"/>
        <v>0</v>
      </c>
      <c r="M47" s="112"/>
      <c r="N47" s="112"/>
    </row>
    <row r="48" spans="1:14">
      <c r="A48" s="338">
        <f t="shared" si="7"/>
        <v>9</v>
      </c>
      <c r="B48" s="120"/>
      <c r="C48" s="113"/>
      <c r="D48" s="115"/>
      <c r="E48" s="115"/>
      <c r="F48" s="115"/>
      <c r="G48" s="115">
        <f t="shared" si="5"/>
        <v>0</v>
      </c>
      <c r="M48" s="112"/>
      <c r="N48" s="112"/>
    </row>
    <row r="49" spans="1:14" ht="13.8" thickBot="1">
      <c r="A49" s="338">
        <f t="shared" si="7"/>
        <v>10</v>
      </c>
      <c r="B49" s="122"/>
      <c r="C49" s="121"/>
      <c r="D49" s="123"/>
      <c r="E49" s="123"/>
      <c r="F49" s="123"/>
      <c r="G49" s="123">
        <f t="shared" si="5"/>
        <v>0</v>
      </c>
      <c r="M49" s="112"/>
      <c r="N49" s="112"/>
    </row>
    <row r="50" spans="1:14" ht="13.8" thickBot="1">
      <c r="A50" s="124"/>
      <c r="B50" s="125" t="s">
        <v>209</v>
      </c>
      <c r="C50" s="126"/>
      <c r="D50" s="127">
        <f>SUM(D40:D49)</f>
        <v>182975182</v>
      </c>
      <c r="E50" s="127">
        <f>SUM(E40:E49)</f>
        <v>-8494290.9833333343</v>
      </c>
      <c r="F50" s="127">
        <f>SUM(F40:F49)</f>
        <v>0</v>
      </c>
      <c r="G50" s="128">
        <f>SUM(G40:G49)</f>
        <v>174480891.01666668</v>
      </c>
      <c r="I50" s="131"/>
      <c r="J50" s="129"/>
      <c r="M50" s="132"/>
      <c r="N50" s="112"/>
    </row>
    <row r="51" spans="1:14" s="112" customFormat="1">
      <c r="F51" s="117"/>
      <c r="G51" s="133"/>
      <c r="J51" s="117"/>
    </row>
    <row r="52" spans="1:14">
      <c r="D52" s="129"/>
      <c r="G52" s="129"/>
      <c r="I52" s="129"/>
      <c r="M52" s="112"/>
      <c r="N52" s="112"/>
    </row>
    <row r="53" spans="1:14" ht="15.6">
      <c r="E53" s="400" t="s">
        <v>211</v>
      </c>
      <c r="F53" s="400"/>
      <c r="G53" s="400"/>
      <c r="M53" s="112"/>
      <c r="N53" s="112"/>
    </row>
    <row r="54" spans="1:14">
      <c r="E54" s="401" t="str">
        <f>Kopertina!C45</f>
        <v>DRITAN KOLA</v>
      </c>
      <c r="F54" s="401"/>
      <c r="G54" s="401"/>
    </row>
  </sheetData>
  <mergeCells count="20"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0" type="noConversion"/>
  <pageMargins left="0.55118110236220474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Kopertina</vt:lpstr>
      <vt:lpstr>Aktivi</vt:lpstr>
      <vt:lpstr>Pasivi</vt:lpstr>
      <vt:lpstr>Ardhura-Shpenzime</vt:lpstr>
      <vt:lpstr>Cash Flow</vt:lpstr>
      <vt:lpstr>Kap_veta</vt:lpstr>
      <vt:lpstr>Shenimet shpjeguese</vt:lpstr>
      <vt:lpstr>AMORTIZIMI AAM</vt:lpstr>
      <vt:lpstr>AAM</vt:lpstr>
      <vt:lpstr>Aneks Statistikor</vt:lpstr>
      <vt:lpstr>aktivitet per BM</vt:lpstr>
      <vt:lpstr>Sheet1</vt:lpstr>
      <vt:lpstr>'Aneks Statistikor'!Print_Area</vt:lpstr>
    </vt:vector>
  </TitlesOfParts>
  <Company>Raiffeisen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alakara</dc:creator>
  <cp:lastModifiedBy>Hikmet</cp:lastModifiedBy>
  <cp:lastPrinted>2013-03-26T14:16:25Z</cp:lastPrinted>
  <dcterms:created xsi:type="dcterms:W3CDTF">2011-03-10T07:36:50Z</dcterms:created>
  <dcterms:modified xsi:type="dcterms:W3CDTF">2013-03-26T14:17:07Z</dcterms:modified>
</cp:coreProperties>
</file>