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596" firstSheet="9" activeTab="10"/>
  </bookViews>
  <sheets>
    <sheet name="Risku i kursit te kembimit" sheetId="1" r:id="rId1"/>
    <sheet name="Risku i likuiditetit" sheetId="2" r:id="rId2"/>
    <sheet name="Chart1" sheetId="3" r:id="rId3"/>
    <sheet name="BK" sheetId="4" r:id="rId4"/>
    <sheet name="ardh-shpenz" sheetId="5" r:id="rId5"/>
    <sheet name="Sheet2" sheetId="6" r:id="rId6"/>
    <sheet name="cash-flow" sheetId="7" r:id="rId7"/>
    <sheet name="kap veta" sheetId="8" r:id="rId8"/>
    <sheet name="AQ" sheetId="9" r:id="rId9"/>
    <sheet name="tjera" sheetId="10" r:id="rId10"/>
    <sheet name="shpa" sheetId="11" r:id="rId11"/>
    <sheet name="sigurimet pagat" sheetId="12" r:id="rId12"/>
    <sheet name="fdp2010" sheetId="13" r:id="rId13"/>
    <sheet name="fd08" sheetId="14" r:id="rId14"/>
    <sheet name="TVSH" sheetId="15" r:id="rId15"/>
  </sheets>
  <definedNames/>
  <calcPr fullCalcOnLoad="1"/>
</workbook>
</file>

<file path=xl/sharedStrings.xml><?xml version="1.0" encoding="utf-8"?>
<sst xmlns="http://schemas.openxmlformats.org/spreadsheetml/2006/main" count="882" uniqueCount="652">
  <si>
    <t>Totali</t>
  </si>
  <si>
    <t>Rezerva te tjera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</si>
  <si>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</si>
  <si>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</si>
  <si>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</si>
  <si>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</si>
  <si>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</si>
  <si>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</si>
  <si>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</si>
  <si>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</si>
  <si>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</si>
  <si>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</si>
  <si>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</si>
  <si>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</si>
  <si>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</si>
  <si>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</si>
  <si>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</si>
  <si>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</si>
  <si>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</si>
  <si>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</si>
  <si>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</si>
  <si>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</si>
  <si>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</si>
  <si>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</si>
  <si>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</si>
  <si>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Te pagueshme ndaj furnitoreve</t>
  </si>
  <si>
    <t>Parapagime te arketuara</t>
  </si>
  <si>
    <t>Rezerva Ligjore</t>
  </si>
  <si>
    <t>Fitime te pa shperndara</t>
  </si>
  <si>
    <t>Puna e kryer nga njesia ekonomike raportuese per qellimet e veta dhe e kapitalizuar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</si>
  <si>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</si>
  <si>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</si>
  <si>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</si>
  <si>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</si>
  <si>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</si>
  <si>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</si>
  <si>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</si>
  <si>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</si>
  <si>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Investime financiare  te vlefshme per shitje</t>
  </si>
  <si>
    <t>Total aktive afatgjate</t>
  </si>
  <si>
    <t>Total Iventari</t>
  </si>
  <si>
    <t>Total aktive te tjera afatshkurtet</t>
  </si>
  <si>
    <t>Te ardhura te tjera</t>
  </si>
  <si>
    <t xml:space="preserve">Fit/humbja e vitit </t>
  </si>
  <si>
    <t>Te pagueshme ndaj punonjesve</t>
  </si>
  <si>
    <t>Blerja e aktiveve afatgjata materiale</t>
  </si>
  <si>
    <t>Shpenzime te nisjes e zgjerimit</t>
  </si>
  <si>
    <t>Inventar Ekonomik</t>
  </si>
  <si>
    <t>Aktive te Trupezuara</t>
  </si>
  <si>
    <t xml:space="preserve">Shtesa </t>
  </si>
  <si>
    <t>Pakesime</t>
  </si>
  <si>
    <t>Amortizimi</t>
  </si>
  <si>
    <t>Shtesa llogaritur</t>
  </si>
  <si>
    <t>Para ne dore</t>
  </si>
  <si>
    <t>Para ne Banka</t>
  </si>
  <si>
    <t>Magazinat</t>
  </si>
  <si>
    <t>Klientet</t>
  </si>
  <si>
    <t>Sigurime shoqerore</t>
  </si>
  <si>
    <t>Tatim Page</t>
  </si>
  <si>
    <t>Materiale te para</t>
  </si>
  <si>
    <t xml:space="preserve">Paga  </t>
  </si>
  <si>
    <t>Fitim nga kembime valutore</t>
  </si>
  <si>
    <t>Te ardhura nga interesat</t>
  </si>
  <si>
    <t>Shpenzim nga kembime valutore</t>
  </si>
  <si>
    <t>Fitim Bruto</t>
  </si>
  <si>
    <t>Shpenzime te pa njohura</t>
  </si>
  <si>
    <t>Baza llogaritjes Tatimit</t>
  </si>
  <si>
    <t>% e tatim Fitimit</t>
  </si>
  <si>
    <t>Tatim Fitimi</t>
  </si>
  <si>
    <t>Fitimi NETO</t>
  </si>
  <si>
    <t>Kerkesa te arketueshme</t>
  </si>
  <si>
    <t>Te tjera Kerkesa te arketueshme</t>
  </si>
  <si>
    <t>Te tjera shpenzime</t>
  </si>
  <si>
    <t>(shumat ne Leke)</t>
  </si>
  <si>
    <t>Te pagueshme ndaj taksave</t>
  </si>
  <si>
    <t>shenime</t>
  </si>
  <si>
    <t>Rritje/renie ne tepricen e detyrimeve, per t'u paguar nga aktiviteti</t>
  </si>
  <si>
    <t>Paraja neto e verdorur ne aktivitetet financiare</t>
  </si>
  <si>
    <t>5a</t>
  </si>
  <si>
    <t>5c</t>
  </si>
  <si>
    <t>5b</t>
  </si>
  <si>
    <t>7a</t>
  </si>
  <si>
    <t>7b</t>
  </si>
  <si>
    <t xml:space="preserve"> Shoqeria  "Albanian Motor Company"  sh p k </t>
  </si>
  <si>
    <t xml:space="preserve"> Shoqeria  "Albanian Motor Company"   sh p k </t>
  </si>
  <si>
    <t>Ndryshime ne politika kontabel</t>
  </si>
  <si>
    <t>tatim fitimi</t>
  </si>
  <si>
    <t>tatim qeraje</t>
  </si>
  <si>
    <t>Tvsh</t>
  </si>
  <si>
    <t>shoqata e makinave</t>
  </si>
  <si>
    <t>Trajnime</t>
  </si>
  <si>
    <t>parkime</t>
  </si>
  <si>
    <t>TE PERJASHTUARA</t>
  </si>
  <si>
    <t>EKSPORTE</t>
  </si>
  <si>
    <t xml:space="preserve">VLEFTE  E TATUSHME </t>
  </si>
  <si>
    <t>TVSH SHITJE</t>
  </si>
  <si>
    <t>BLERJE PA TVSH</t>
  </si>
  <si>
    <t>IMPORTE</t>
  </si>
  <si>
    <t>TVSH</t>
  </si>
  <si>
    <t>BLERJE BREND</t>
  </si>
  <si>
    <t xml:space="preserve">TVSH </t>
  </si>
  <si>
    <t>TVSH ZBRIT</t>
  </si>
  <si>
    <t>TVSH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</si>
  <si>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</si>
  <si>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</si>
  <si>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</si>
  <si>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</si>
  <si>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</si>
  <si>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</si>
  <si>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</si>
  <si>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</si>
  <si>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</si>
  <si>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 xml:space="preserve">TETOR </t>
  </si>
  <si>
    <t>NENTOR</t>
  </si>
  <si>
    <t>DHJETOR</t>
  </si>
  <si>
    <t>parapagimet 2007</t>
  </si>
  <si>
    <t>parapagimet 2008</t>
  </si>
  <si>
    <t xml:space="preserve">total te ardhura </t>
  </si>
  <si>
    <t>Periudha</t>
  </si>
  <si>
    <t>paga  baze</t>
  </si>
  <si>
    <t xml:space="preserve">tatim te ardhura </t>
  </si>
  <si>
    <t>paga neto</t>
  </si>
  <si>
    <t>total sigurimet</t>
  </si>
  <si>
    <t>Gjendje malli makinat</t>
  </si>
  <si>
    <t xml:space="preserve">gjendje malli  servisi minus povigjoni </t>
  </si>
  <si>
    <t>gjendje mall mjete uji</t>
  </si>
  <si>
    <t>Gjendje malli pjese kembimi brp</t>
  </si>
  <si>
    <t>materiale te para per konsum  servisi</t>
  </si>
  <si>
    <t xml:space="preserve">Inventari imet  per servisin </t>
  </si>
  <si>
    <t>Kibe laboratori</t>
  </si>
  <si>
    <t>Enel Sh.p.k</t>
  </si>
  <si>
    <t>Genci  Bregu</t>
  </si>
  <si>
    <t>Euron Aditiv</t>
  </si>
  <si>
    <t>Erion  Harizi</t>
  </si>
  <si>
    <t>Donika Aliaj</t>
  </si>
  <si>
    <t>Intergaz</t>
  </si>
  <si>
    <t>Luci Grup</t>
  </si>
  <si>
    <t>Enina  Juniku</t>
  </si>
  <si>
    <t xml:space="preserve">Mariana Daka </t>
  </si>
  <si>
    <t xml:space="preserve">Eldisa Zhebo </t>
  </si>
  <si>
    <t>Vodafone</t>
  </si>
  <si>
    <t>Kosova  Motor Company</t>
  </si>
  <si>
    <t>TOTALI</t>
  </si>
  <si>
    <t>Overdrafti nga banka linja  Instituti Credins</t>
  </si>
  <si>
    <t>Detyrimi hua  Dalewesst  Limited</t>
  </si>
  <si>
    <t>Detyrimi  Raiffeisen Leasing</t>
  </si>
  <si>
    <t>Ford Otomotiv  Sanay</t>
  </si>
  <si>
    <t>Intereuropa</t>
  </si>
  <si>
    <t>Ford  Werke  GBMBH</t>
  </si>
  <si>
    <t>Aeskjaer</t>
  </si>
  <si>
    <t>Guava  International</t>
  </si>
  <si>
    <t>Sumit Auto</t>
  </si>
  <si>
    <t>Te tjere furnitore</t>
  </si>
  <si>
    <t>total</t>
  </si>
  <si>
    <t>Furnitoret</t>
  </si>
  <si>
    <t>Kostua e targimit makinave</t>
  </si>
  <si>
    <t>provigjoni mall servisi</t>
  </si>
  <si>
    <t>amortizimi I inventarit imet + daljet jasht perd</t>
  </si>
  <si>
    <t xml:space="preserve">Materiale te para </t>
  </si>
  <si>
    <t>Kosto malli servisi + brp</t>
  </si>
  <si>
    <t xml:space="preserve"> Kosto Malli mjete uji </t>
  </si>
  <si>
    <t>mallrat</t>
  </si>
  <si>
    <t>Te tjera shpenzime sigurimi suplementar</t>
  </si>
  <si>
    <t>Blerje energji uje</t>
  </si>
  <si>
    <t>blerje broshura katallogje makinash</t>
  </si>
  <si>
    <t>blerje te tjera</t>
  </si>
  <si>
    <t>blerje te tjera te panjohura</t>
  </si>
  <si>
    <t>perkthim noterizime</t>
  </si>
  <si>
    <t>agjensite doganore</t>
  </si>
  <si>
    <t xml:space="preserve">Shpenzime avokatie </t>
  </si>
  <si>
    <t>Konsulence profesionale</t>
  </si>
  <si>
    <t>Mirembajtje ambienti + pastrimi</t>
  </si>
  <si>
    <t xml:space="preserve">Sherbim servisi ed </t>
  </si>
  <si>
    <t xml:space="preserve">Qera  </t>
  </si>
  <si>
    <t>Mirembajtje riparime</t>
  </si>
  <si>
    <t>Sherbim rojesh</t>
  </si>
  <si>
    <t>komisionerite</t>
  </si>
  <si>
    <t>Reklame publicitet + materiale publicitare</t>
  </si>
  <si>
    <t>udhetime dieta</t>
  </si>
  <si>
    <t>sherbime bankare + komisionet e garancise</t>
  </si>
  <si>
    <t>taksa   + siguracione</t>
  </si>
  <si>
    <t>daljet  jashte perdorimit</t>
  </si>
  <si>
    <t>sponsorizime</t>
  </si>
  <si>
    <t xml:space="preserve">Shpenzime  pritje dhurata + humbje </t>
  </si>
  <si>
    <t>Provigjini kosova</t>
  </si>
  <si>
    <t>Provigjoni kliente</t>
  </si>
  <si>
    <t xml:space="preserve">shpenzime te tjera panjohura </t>
  </si>
  <si>
    <t>Shpenzime postare  telefonike</t>
  </si>
  <si>
    <t>Vlera kontabel e aktiveve te shitura</t>
  </si>
  <si>
    <t>detyrime</t>
  </si>
  <si>
    <t xml:space="preserve">detyrime fiskale </t>
  </si>
  <si>
    <t>Makineri paisje</t>
  </si>
  <si>
    <t xml:space="preserve">Mjete Transporti </t>
  </si>
  <si>
    <t>Ndertesa punime shtese</t>
  </si>
  <si>
    <t>7c</t>
  </si>
  <si>
    <t>7d</t>
  </si>
  <si>
    <t>8.a</t>
  </si>
  <si>
    <t>8.b</t>
  </si>
  <si>
    <t>shitjet neto perfshire 2007 ndryshim politikash</t>
  </si>
  <si>
    <t>ilje fitimi + ndryshim politikash</t>
  </si>
  <si>
    <t>humbje ngsa kembimet valutore</t>
  </si>
  <si>
    <t>5a1</t>
  </si>
  <si>
    <t>5a2</t>
  </si>
  <si>
    <t>5a3</t>
  </si>
  <si>
    <t>te ardhura te  shtyra diferenc mak lizi</t>
  </si>
  <si>
    <t>te ardhura neto    lizing  2007 dif kosto cmim</t>
  </si>
  <si>
    <t>Te ardhura nga qerate</t>
  </si>
  <si>
    <t>Te ardhura Komisioneri shitje jashte</t>
  </si>
  <si>
    <t>8b</t>
  </si>
  <si>
    <t>te ardhura te perjashtuara ( perfshire 2007)</t>
  </si>
  <si>
    <t xml:space="preserve">kursit të këmbimit </t>
  </si>
  <si>
    <t xml:space="preserve"> në EURO </t>
  </si>
  <si>
    <t xml:space="preserve"> në LEK </t>
  </si>
  <si>
    <t>te tjera</t>
  </si>
  <si>
    <t xml:space="preserve"> Totali </t>
  </si>
  <si>
    <t>AKTIVET</t>
  </si>
  <si>
    <t>Totali i aktiveve</t>
  </si>
  <si>
    <t>DETYRIMET</t>
  </si>
  <si>
    <t>Totali i detyrimeve</t>
  </si>
  <si>
    <t>Pozicioni neto i monedhës</t>
  </si>
  <si>
    <t>Rreziku i likuiditetit</t>
  </si>
  <si>
    <t>deri në 1 muaj</t>
  </si>
  <si>
    <t xml:space="preserve"> 1 – 3</t>
  </si>
  <si>
    <t xml:space="preserve"> 3 - 12 </t>
  </si>
  <si>
    <t xml:space="preserve"> 1 - 5 </t>
  </si>
  <si>
    <t xml:space="preserve"> muaj </t>
  </si>
  <si>
    <t>muaj</t>
  </si>
  <si>
    <t xml:space="preserve">vjet </t>
  </si>
  <si>
    <t>Sensitiviteti i interesit</t>
  </si>
  <si>
    <t>Gjendje malli magazine doganore</t>
  </si>
  <si>
    <t>Viti 2009</t>
  </si>
  <si>
    <t>60514</t>
  </si>
  <si>
    <t>Targat  e makinave</t>
  </si>
  <si>
    <t>60515</t>
  </si>
  <si>
    <t>BLERJE TE PANJOHURMAKINAT</t>
  </si>
  <si>
    <t>60523</t>
  </si>
  <si>
    <t>servisi te panjohura</t>
  </si>
  <si>
    <t>6085</t>
  </si>
  <si>
    <t xml:space="preserve">Blerje te panjohura </t>
  </si>
  <si>
    <t>611071</t>
  </si>
  <si>
    <t xml:space="preserve">Parkim  ne dogane te panjohura </t>
  </si>
  <si>
    <t>62201</t>
  </si>
  <si>
    <t xml:space="preserve">Komisioneri </t>
  </si>
  <si>
    <t>6251</t>
  </si>
  <si>
    <t>Udhetime dieta te panjohura</t>
  </si>
  <si>
    <t>62711</t>
  </si>
  <si>
    <t>transporte te panjohura</t>
  </si>
  <si>
    <t>645</t>
  </si>
  <si>
    <t>Kontribute dhe kuota te tjera  per personelin</t>
  </si>
  <si>
    <t>654</t>
  </si>
  <si>
    <t>Shpenzime per pritje dhe perfaqesime</t>
  </si>
  <si>
    <t>65411</t>
  </si>
  <si>
    <t>6542</t>
  </si>
  <si>
    <t>6561</t>
  </si>
  <si>
    <t>657</t>
  </si>
  <si>
    <t>Gjoba dhe demshperblime</t>
  </si>
  <si>
    <t>6672</t>
  </si>
  <si>
    <t>68111</t>
  </si>
  <si>
    <t>amortzim i panjohur</t>
  </si>
  <si>
    <t>%</t>
  </si>
  <si>
    <t>Shtator</t>
  </si>
  <si>
    <t>Tetor</t>
  </si>
  <si>
    <t>31 Dhjetor 2009</t>
  </si>
  <si>
    <t>Pasqyra e levizjes se kapitaleve te veta  me 31 Dhjetor 2008 dhe 2009</t>
  </si>
  <si>
    <t>Landeslease</t>
  </si>
  <si>
    <t>Kredia Procredit</t>
  </si>
  <si>
    <t>shoqerite motra</t>
  </si>
  <si>
    <t>Autopasioni</t>
  </si>
  <si>
    <t>lagermax</t>
  </si>
  <si>
    <t>iceberg publicity</t>
  </si>
  <si>
    <t>Artan Dulaku per qerate</t>
  </si>
  <si>
    <t>Tirana leasing</t>
  </si>
  <si>
    <t>30 Dhjetor 2009</t>
  </si>
  <si>
    <t>te ardhur nga diference kosto cmim makinat leasing vodafon</t>
  </si>
  <si>
    <t>Rimbursim Reklama Ford + Guava</t>
  </si>
  <si>
    <t>rimbursim fordi garancia</t>
  </si>
  <si>
    <t xml:space="preserve">e drejte perdorimi programi </t>
  </si>
  <si>
    <t>Ekspertiza+ auditime</t>
  </si>
  <si>
    <t>Lagermax</t>
  </si>
  <si>
    <t xml:space="preserve">penalitete  </t>
  </si>
  <si>
    <t>World   Wision</t>
  </si>
  <si>
    <t xml:space="preserve">united albanian breweris </t>
  </si>
  <si>
    <t>Tirana Inerte</t>
  </si>
  <si>
    <t>Prifti shpk</t>
  </si>
  <si>
    <t>Mektrin Motors</t>
  </si>
  <si>
    <t>Gareden line</t>
  </si>
  <si>
    <t>Shefki  Karamuca</t>
  </si>
  <si>
    <t>kibe 1 shpk</t>
  </si>
  <si>
    <t>Tirana Leasing</t>
  </si>
  <si>
    <t xml:space="preserve">Alisia </t>
  </si>
  <si>
    <t>Emporiki bank</t>
  </si>
  <si>
    <t>Eriol Tafa</t>
  </si>
  <si>
    <t xml:space="preserve"> Albert Dimce</t>
  </si>
  <si>
    <t>Sinteza Co</t>
  </si>
  <si>
    <t>Enver Dalipaj</t>
  </si>
  <si>
    <t>parapagesat per furnizime</t>
  </si>
  <si>
    <t>tatime te shtyra              203917</t>
  </si>
  <si>
    <t>tvsh e zbriteshme         3207593</t>
  </si>
  <si>
    <t>Paradhenie ( Hua te dhena )</t>
  </si>
  <si>
    <t>shpenzime te shtyra</t>
  </si>
  <si>
    <t>Te tjera detyrime  fitimi I periudhes-31.12.08  mbasi eshte paguartatim  dividenti</t>
  </si>
  <si>
    <t>VITI 2009</t>
  </si>
  <si>
    <t xml:space="preserve">total invent </t>
  </si>
  <si>
    <t>Total  hua marje afat gjate</t>
  </si>
  <si>
    <t>detyrim afat shkurter</t>
  </si>
  <si>
    <t>makinat</t>
  </si>
  <si>
    <t>provigjonet e krijuar</t>
  </si>
  <si>
    <t>elektronik h&amp;L</t>
  </si>
  <si>
    <t xml:space="preserve">Intersig </t>
  </si>
  <si>
    <t>total 2009 provigjon I krijuar</t>
  </si>
  <si>
    <t>Zbritet provigjon 2008 arket 2009 Orges Kilica</t>
  </si>
  <si>
    <t>ASSETS</t>
  </si>
  <si>
    <t>Property, plant and equipment</t>
  </si>
  <si>
    <t>Inventory</t>
  </si>
  <si>
    <t>Trade receivables</t>
  </si>
  <si>
    <t>Due from related parties</t>
  </si>
  <si>
    <t>Other assets</t>
  </si>
  <si>
    <t>Cash and cash equivalents</t>
  </si>
  <si>
    <t>Financial liabilities</t>
  </si>
  <si>
    <t>Due to related parties</t>
  </si>
  <si>
    <t>Trade payables</t>
  </si>
  <si>
    <t>Deferred income</t>
  </si>
  <si>
    <t>Accrued and other liabilities</t>
  </si>
  <si>
    <t xml:space="preserve"> në dollare</t>
  </si>
  <si>
    <t>ne dollare</t>
  </si>
  <si>
    <t>Properety, Plant&amp;Equipment</t>
  </si>
  <si>
    <t>Inventories</t>
  </si>
  <si>
    <t>Profit/loss from Year</t>
  </si>
  <si>
    <t>Profit/loss from  the previous Year</t>
  </si>
  <si>
    <t>Share Kapital</t>
  </si>
  <si>
    <t>Share premium</t>
  </si>
  <si>
    <t>raw materials</t>
  </si>
  <si>
    <t>in process produce</t>
  </si>
  <si>
    <t>End - Products</t>
  </si>
  <si>
    <t>wares for resales (-devolution)</t>
  </si>
  <si>
    <t>providing prepayments</t>
  </si>
  <si>
    <t xml:space="preserve">Short -terms </t>
  </si>
  <si>
    <t>Accouts/Credit requests - devaluation</t>
  </si>
  <si>
    <t xml:space="preserve">Accouts/other credit requests </t>
  </si>
  <si>
    <t xml:space="preserve">Other indebted instruments  </t>
  </si>
  <si>
    <t>Other financial instruments</t>
  </si>
  <si>
    <t>long-term financial investemts</t>
  </si>
  <si>
    <t>Immaterial long-term assets</t>
  </si>
  <si>
    <t>Monetary elements</t>
  </si>
  <si>
    <t>financial derivations and assets for trade holding</t>
  </si>
  <si>
    <t xml:space="preserve">prepayments and delayed expenses </t>
  </si>
  <si>
    <t>Short-term activities holded for sale</t>
  </si>
  <si>
    <t>SHORT-TERM ASSETS TOTAL 1</t>
  </si>
  <si>
    <t>ASSETS TOTAL I+II</t>
  </si>
  <si>
    <t>Total    Monetary elements</t>
  </si>
  <si>
    <t>Long-term assets</t>
  </si>
  <si>
    <t xml:space="preserve">LONG-TERM OBLIGATIONS TOTAL </t>
  </si>
  <si>
    <t>Long-term loans</t>
  </si>
  <si>
    <t>Long-term provisions</t>
  </si>
  <si>
    <t xml:space="preserve"> delayed incomes</t>
  </si>
  <si>
    <t>Other long-term borrowings</t>
  </si>
  <si>
    <t>SHORT-TERM OBLIGATIONS</t>
  </si>
  <si>
    <t>Borrowings</t>
  </si>
  <si>
    <t>payed by suppliers</t>
  </si>
  <si>
    <t>Payed by employees</t>
  </si>
  <si>
    <t>Taxing obligations</t>
  </si>
  <si>
    <t>Other loans (dividenti )</t>
  </si>
  <si>
    <t>Credit prepayments</t>
  </si>
  <si>
    <t>Grands and delayed incomes</t>
  </si>
  <si>
    <t>Short-term provisions</t>
  </si>
  <si>
    <t xml:space="preserve">SHORT-TERM OBLIGATIONS TOTAL </t>
  </si>
  <si>
    <t>Legal rezerve</t>
  </si>
  <si>
    <t>Statute reserve</t>
  </si>
  <si>
    <t>2009  EURO</t>
  </si>
  <si>
    <t xml:space="preserve">PASIVES AND KAPITAL </t>
  </si>
  <si>
    <t>CAPITAL</t>
  </si>
  <si>
    <t>Net sales</t>
  </si>
  <si>
    <t>Other incomes from utilization activity</t>
  </si>
  <si>
    <t>changes in the PG and PP inventory</t>
  </si>
  <si>
    <t>Wares, raw materials for services</t>
  </si>
  <si>
    <t>Other expenses from utilization activity</t>
  </si>
  <si>
    <t xml:space="preserve">Personnel salary </t>
  </si>
  <si>
    <t xml:space="preserve">Amortizations and devaluations </t>
  </si>
  <si>
    <t>Profit (loss)  from utilization activity</t>
  </si>
  <si>
    <t>control units</t>
  </si>
  <si>
    <t>Financial incomes and expenses from  control unit</t>
  </si>
  <si>
    <t>Incomes and expenses from interest andfrom course changings</t>
  </si>
  <si>
    <t>from course changings</t>
  </si>
  <si>
    <t xml:space="preserve">10% taxing over profits expenses </t>
  </si>
  <si>
    <t>Net profit (loss) of financial year</t>
  </si>
  <si>
    <t>Incomes and expenses 2010</t>
  </si>
  <si>
    <t>Viti 2009  Euro</t>
  </si>
  <si>
    <t>Joint- capital stocks</t>
  </si>
  <si>
    <t>Legal Reserve</t>
  </si>
  <si>
    <t>Undisposed profit(Loss)</t>
  </si>
  <si>
    <t>Total</t>
  </si>
  <si>
    <t>Financial year profit(los)</t>
  </si>
  <si>
    <t xml:space="preserve">Dividendet </t>
  </si>
  <si>
    <t>Financial  year profit(loss)</t>
  </si>
  <si>
    <t>Other Reserve</t>
  </si>
  <si>
    <t>suspended positive excange rates</t>
  </si>
  <si>
    <t>Other long-term   borrowing ( Dalewest- Iner )</t>
  </si>
  <si>
    <t>2009  ALL</t>
  </si>
  <si>
    <t xml:space="preserve"> "Albanian Motor Company"   sh p k </t>
  </si>
  <si>
    <t>AKTlVET</t>
  </si>
  <si>
    <t>Aktivet afatgjata</t>
  </si>
  <si>
    <t>Aktive afatgjata materiale</t>
  </si>
  <si>
    <t>Aktivet afatgjata jomateriale</t>
  </si>
  <si>
    <t>Investimet financiare afatgjata</t>
  </si>
  <si>
    <t>Aktivet afatshkurtra</t>
  </si>
  <si>
    <t>Inventari</t>
  </si>
  <si>
    <t>Prodhim ne proces</t>
  </si>
  <si>
    <t>Produkte te Ratshme</t>
  </si>
  <si>
    <t>Mallra per rishitje</t>
  </si>
  <si>
    <t>Parapagesat per furnizime</t>
  </si>
  <si>
    <t>Aktive te tjera financiare afatshkurtra</t>
  </si>
  <si>
    <t>Llogari / Kerkesa te arketueshme</t>
  </si>
  <si>
    <t>Llogari/Kerkesa te tjera te arketueshme</t>
  </si>
  <si>
    <t>lnstrumente te tjera borxhi</t>
  </si>
  <si>
    <t>lnvestime te tjera financiare</t>
  </si>
  <si>
    <t>Mjete monetare</t>
  </si>
  <si>
    <t>Derivative dhe aktive financiare te mbajtura per tregtim</t>
  </si>
  <si>
    <t>Total mjete monetare</t>
  </si>
  <si>
    <t>Diferenca konvertimi Aktive</t>
  </si>
  <si>
    <t>Aktivet afatshkurtra te mbajtura per shitje</t>
  </si>
  <si>
    <t>Parapagimet dhe shpenzimet e shtyra</t>
  </si>
  <si>
    <t>Aktivet totale afatshkurtra</t>
  </si>
  <si>
    <t>TOTALl I AKTIVEVE</t>
  </si>
  <si>
    <t xml:space="preserve">P ASIVET DHE KAPIT ALl </t>
  </si>
  <si>
    <t>KAPITALI</t>
  </si>
  <si>
    <t>Prime te lidhura me Kapitalin</t>
  </si>
  <si>
    <t>Rezerva Statutore</t>
  </si>
  <si>
    <t>Pasivet Afatgjata</t>
  </si>
  <si>
    <t>Hua Afatgjata</t>
  </si>
  <si>
    <t>Huamarje te tjera Afatgjata</t>
  </si>
  <si>
    <t>Provizione Afatgjata</t>
  </si>
  <si>
    <t>Grande dhe te ardhura te shtyra</t>
  </si>
  <si>
    <t>Totali i pasiveve Afatgjata</t>
  </si>
  <si>
    <t>Huamarjet</t>
  </si>
  <si>
    <t>Huate dhe parapagimet</t>
  </si>
  <si>
    <t>Hua afatshkurter</t>
  </si>
  <si>
    <t>Kesti afatshklurter i huase afatgjate</t>
  </si>
  <si>
    <t>Provizionet afatshkurter</t>
  </si>
  <si>
    <t>Dif konv pasive</t>
  </si>
  <si>
    <t>Totali i pasiveve Afatshkurter</t>
  </si>
  <si>
    <t>TOTALl I PASIVEVE DHE KAPITALIT</t>
  </si>
  <si>
    <t>Other short -terms financial  assets</t>
  </si>
  <si>
    <t>Shitjet neto</t>
  </si>
  <si>
    <t>Te ardhura te tjera nga veprimtarite e shfrytezimit</t>
  </si>
  <si>
    <t>Ndryshimet ne inventarin e produkteve te gatshme dhe punes ne proces</t>
  </si>
  <si>
    <t>Mallrat, lendet e para dhe sherbimet</t>
  </si>
  <si>
    <t>Shpenzime te tjera nga veprimtarite e shfrytezimit</t>
  </si>
  <si>
    <t>Shpenzime te personelit</t>
  </si>
  <si>
    <t>Renia ne vlere (zhvleresimi) dhe amortizimi</t>
  </si>
  <si>
    <t>Te ardhurat dhe shpenzimet financiare nga njesite e kontrolluara</t>
  </si>
  <si>
    <t>Te ardhurat dhe shpenzimet financiare nga pjesmarrjet</t>
  </si>
  <si>
    <t>Te ardhurat dhe shpenzimet financiare</t>
  </si>
  <si>
    <t>Fitimi (humbja) para tatimit</t>
  </si>
  <si>
    <t>Shpenzimet e tatimit mbi fitimin</t>
  </si>
  <si>
    <t>Fitimi (humbja) neto e vitit financiar</t>
  </si>
  <si>
    <r>
      <t>Lendet e para</t>
    </r>
    <r>
      <rPr>
        <i/>
        <sz val="13"/>
        <rFont val="Times New Roman"/>
        <family val="1"/>
      </rPr>
      <t xml:space="preserve"> </t>
    </r>
  </si>
  <si>
    <r>
      <t>Returns</t>
    </r>
    <r>
      <rPr>
        <i/>
        <sz val="13"/>
        <rFont val="Arial"/>
        <family val="0"/>
      </rPr>
      <t>/Long-term loans repayments</t>
    </r>
  </si>
  <si>
    <r>
      <t>Te tjera detyrime    (</t>
    </r>
    <r>
      <rPr>
        <b/>
        <i/>
        <sz val="13"/>
        <rFont val="Times New Roman"/>
        <family val="1"/>
      </rPr>
      <t>dividenti</t>
    </r>
    <r>
      <rPr>
        <i/>
        <sz val="13"/>
        <rFont val="Times New Roman"/>
        <family val="1"/>
      </rPr>
      <t>)</t>
    </r>
  </si>
  <si>
    <r>
      <t>PASSIVES</t>
    </r>
    <r>
      <rPr>
        <b/>
        <sz val="13"/>
        <rFont val="Arial"/>
        <family val="0"/>
      </rPr>
      <t xml:space="preserve"> AND CAPITAL TOTAL </t>
    </r>
  </si>
  <si>
    <t>Viti 2010  Euro</t>
  </si>
  <si>
    <t>Llogaria te Ardhura &amp; Shpenzime per vitin e mbyllur me 31 Dhjetor 2010</t>
  </si>
  <si>
    <t>te tjera 2010</t>
  </si>
  <si>
    <t>30 Dhjetor 2010</t>
  </si>
  <si>
    <t>Shitjet Neto</t>
  </si>
  <si>
    <t>Shitje makinat landrover</t>
  </si>
  <si>
    <t>Shitje makina Ford</t>
  </si>
  <si>
    <t>Shitje Mjete uji</t>
  </si>
  <si>
    <t>Shitje mallra  pjese kembimi+ pjeset e fuzionit</t>
  </si>
  <si>
    <t>Shitje pjese kembimi  mjete uji</t>
  </si>
  <si>
    <t xml:space="preserve">Totali </t>
  </si>
  <si>
    <t>F.D.P.  VITI 2010</t>
  </si>
  <si>
    <t xml:space="preserve">total </t>
  </si>
  <si>
    <t>auto faturimet</t>
  </si>
  <si>
    <t>tvsh autofat</t>
  </si>
  <si>
    <t>detajimi I te ardhurave sipas bilancit</t>
  </si>
  <si>
    <t>TE ARDHURAT SIPAS BILANCIT 701-70814</t>
  </si>
  <si>
    <t>te ardhura shitje AQT   llog 752</t>
  </si>
  <si>
    <t>Te ardhura rimbursim reklama  lloga 768</t>
  </si>
  <si>
    <t>te ardhura  bonus nga shitja</t>
  </si>
  <si>
    <t>llog 758</t>
  </si>
  <si>
    <t>totali I shifres se afarizmit</t>
  </si>
  <si>
    <t>SIPAS FDP  XHIRO E TATUSHME</t>
  </si>
  <si>
    <t>Kesaj xhiro I zbriten parapagimet -31.12</t>
  </si>
  <si>
    <t>I shtohen parapagimet -31.12.09</t>
  </si>
  <si>
    <t>I zbriten auto faturimet</t>
  </si>
  <si>
    <t>I zbriten faturimet leasbek sipas  pasqyres me poshte</t>
  </si>
  <si>
    <t>totali I te ardhurave  per 2010</t>
  </si>
  <si>
    <t xml:space="preserve">Ne shifren e Afarizmit  jane deklaruar  faturimet per makinat me leasbek </t>
  </si>
  <si>
    <t>qe sipas standarteve shitja dhe rimarja me qera nuk eshte veprim  shitje po eshte veprim financimi</t>
  </si>
  <si>
    <t>konkretisht:</t>
  </si>
  <si>
    <t xml:space="preserve">nr llog </t>
  </si>
  <si>
    <t>emertimi</t>
  </si>
  <si>
    <t xml:space="preserve">nr fat </t>
  </si>
  <si>
    <t xml:space="preserve">date </t>
  </si>
  <si>
    <t>vlefte pa tvsh euro</t>
  </si>
  <si>
    <t>vlefte pa tvsh lek</t>
  </si>
  <si>
    <t>credins leasinmg makinat tuborg</t>
  </si>
  <si>
    <t>credins leasing makina vodafon</t>
  </si>
  <si>
    <t>totali I faturimeve me me leasback</t>
  </si>
  <si>
    <t>Pasqyra  permbledhese e sigurimeve  2010</t>
  </si>
  <si>
    <t>Ndalesa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</si>
  <si>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</si>
  <si>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</si>
  <si>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</si>
  <si>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</si>
  <si>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</si>
  <si>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</si>
  <si>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</si>
  <si>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</si>
  <si>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Nentor</t>
  </si>
  <si>
    <t>dhjetor</t>
  </si>
  <si>
    <t>Te ardhura te patatushme</t>
  </si>
  <si>
    <t>7088</t>
  </si>
  <si>
    <t>Te tjera EVERESTE ME LEASING</t>
  </si>
  <si>
    <t>te tjera  MAKINAT vodafon me landeslease</t>
  </si>
  <si>
    <t>Shpenzime te panjohura</t>
  </si>
  <si>
    <t>JAGUAR I PANJOHUR</t>
  </si>
  <si>
    <t>6051161</t>
  </si>
  <si>
    <t>TRANSIT TE PANJOHURA</t>
  </si>
  <si>
    <t>605141</t>
  </si>
  <si>
    <t>TAKSE SHITJE MAKINA</t>
  </si>
  <si>
    <t>60881</t>
  </si>
  <si>
    <t>Suporti+ licenc Guava e panjohur</t>
  </si>
  <si>
    <t>61301</t>
  </si>
  <si>
    <t>QERA  E PANJOHUR # KURSI</t>
  </si>
  <si>
    <t>6153</t>
  </si>
  <si>
    <t xml:space="preserve">Mirembajtje riparime TE PANJOHURA  everestet me qera </t>
  </si>
  <si>
    <t>63511</t>
  </si>
  <si>
    <t>Kontrolli fizik i panjohur</t>
  </si>
  <si>
    <t>Shpenzime Pritje Te Panjohura</t>
  </si>
  <si>
    <t xml:space="preserve"> Bakshishe</t>
  </si>
  <si>
    <t>Provigjoni Klient</t>
  </si>
  <si>
    <t>6670</t>
  </si>
  <si>
    <t>intersa te panjohura # kursit interesat fordi</t>
  </si>
  <si>
    <t>Interesat penalitet I panjohur Fordi</t>
  </si>
  <si>
    <t>diferenca kosto cmim ne bilanc  per tatim fitimin    466990.33 leke</t>
  </si>
  <si>
    <t>llogarisim tatim fitimi  paraprak</t>
  </si>
  <si>
    <t>ftimit te vitit  I shtohen  shpenzimet e panjohura  dhe I hiqen  te ardhurat e patatushme</t>
  </si>
  <si>
    <t xml:space="preserve">fitimi </t>
  </si>
  <si>
    <t>zbriten te ardhurat e tatuara ne 2007 makinatr me raiff leasing</t>
  </si>
  <si>
    <t>Zbriten te ardhurat e tatuara ne 2009 me landeslaese</t>
  </si>
  <si>
    <t>Shtohen  shpenzimet e panjohura</t>
  </si>
  <si>
    <t>total I fitimit per tu  tatuar</t>
  </si>
  <si>
    <t>tatim fitimi 10%</t>
  </si>
  <si>
    <t xml:space="preserve">Fitimi neto </t>
  </si>
  <si>
    <t>faturimet me Leasing</t>
  </si>
  <si>
    <t xml:space="preserve">Kostua e makinave </t>
  </si>
  <si>
    <t>cmimi I faturimit</t>
  </si>
  <si>
    <t xml:space="preserve">Diferenca </t>
  </si>
  <si>
    <t xml:space="preserve">Kaluar ne rezultatin e 2010 </t>
  </si>
  <si>
    <t xml:space="preserve">Pjese per tu llogaritur tatim fitim  paraprak </t>
  </si>
  <si>
    <t>TATIM FITIM PER TU PAGUAR PARAPRAKISHT</t>
  </si>
  <si>
    <t>Transporte+ nafta</t>
  </si>
  <si>
    <t xml:space="preserve">te ndrysheme+ leje higjeno sanitare analiza tekn </t>
  </si>
  <si>
    <t>mjeku</t>
  </si>
  <si>
    <t>31 Dhjetor 2010</t>
  </si>
  <si>
    <t>Kosto malli makinat+ sherb+ makinat leas</t>
  </si>
  <si>
    <t>Viti 2010</t>
  </si>
  <si>
    <t xml:space="preserve">tatim fitimi  mbi </t>
  </si>
  <si>
    <t>dogane e paguar me teper</t>
  </si>
  <si>
    <t>credins leasing</t>
  </si>
  <si>
    <t>te ardhura  tatuara 2009</t>
  </si>
  <si>
    <t>Te ardhura  bonus landesleaSE</t>
  </si>
  <si>
    <t>te ardhura  nga shitja e Aqt (752-652)</t>
  </si>
  <si>
    <t>takse shitje makina</t>
  </si>
  <si>
    <t>Koha e punes sherbime servisi</t>
  </si>
  <si>
    <t>2010 EURO</t>
  </si>
  <si>
    <t>2010 ALL</t>
  </si>
  <si>
    <t>Pozicioni me 31dhjetor 2008</t>
  </si>
  <si>
    <t>Pozicioni me 31 dhjetor 2009</t>
  </si>
  <si>
    <t>Pozicioni me 31 Dhjetor 2010</t>
  </si>
  <si>
    <t xml:space="preserve">te ardhura per tu shperndare </t>
  </si>
  <si>
    <t>diference kosto  faturim evereste</t>
  </si>
  <si>
    <t>diference kosto  faturim me landeslease</t>
  </si>
  <si>
    <t>diference kosto  faturim me tirana leasing</t>
  </si>
  <si>
    <t>diference kosto  faturim credins tuborg</t>
  </si>
  <si>
    <t>diference kosto  faturim  credins vodafon</t>
  </si>
  <si>
    <t>Periudha kontabel     01 Janar-31 Dhjetor 2010</t>
  </si>
  <si>
    <t>Pasqyra e levizjes se kapitaleve te veta  me 31 Dhjetor 2010</t>
  </si>
  <si>
    <t>Gjendje 01.01.2010</t>
  </si>
  <si>
    <t>Gjendje 31.12.2010</t>
  </si>
  <si>
    <t>Gjendje ne 01.01.2010</t>
  </si>
  <si>
    <t>Gjendje ne 31.12.2010</t>
  </si>
  <si>
    <t>Antoneta Sota</t>
  </si>
  <si>
    <t>Arben  &amp;lorena haxhihyseni</t>
  </si>
  <si>
    <t>Carconex</t>
  </si>
  <si>
    <t xml:space="preserve">Cez </t>
  </si>
  <si>
    <t>David Bellala</t>
  </si>
  <si>
    <t>Fiqiri fejzo</t>
  </si>
  <si>
    <t>Geco 2003</t>
  </si>
  <si>
    <t>Gert konstruksion</t>
  </si>
  <si>
    <t>Ite  grup</t>
  </si>
  <si>
    <t>Jona Sota</t>
  </si>
  <si>
    <t>Justela &amp;geraldo shkodra</t>
  </si>
  <si>
    <t>lastrada</t>
  </si>
  <si>
    <t>Migena Bego</t>
  </si>
  <si>
    <t>Migen kushi</t>
  </si>
  <si>
    <t>Tring tv</t>
  </si>
  <si>
    <t>Xhejni shehaj</t>
  </si>
  <si>
    <t>Intersig</t>
  </si>
  <si>
    <t>Raimond Xhamia</t>
  </si>
  <si>
    <t>Atlantik sha</t>
  </si>
  <si>
    <t>Media vizion</t>
  </si>
  <si>
    <t>Perparim Cani</t>
  </si>
  <si>
    <t>Albanian vizion</t>
  </si>
  <si>
    <t>Odisea travel</t>
  </si>
  <si>
    <t>provizion klient</t>
  </si>
  <si>
    <t>Kliente te tjere</t>
  </si>
  <si>
    <t>VITI 2010</t>
  </si>
  <si>
    <t>Detyrim tatim fitimi per situaten tetor 2010</t>
  </si>
  <si>
    <t>tatim fitimi per rivleresim situate kontrolli tetor 2010</t>
  </si>
  <si>
    <t>tatim fitim rivleresiom  sit</t>
  </si>
  <si>
    <t>fitimi neto</t>
  </si>
  <si>
    <t>Vil oil</t>
  </si>
  <si>
    <t>Hope Trade</t>
  </si>
  <si>
    <t>Gazmir Maksuti</t>
  </si>
  <si>
    <t>Ema Lako</t>
  </si>
  <si>
    <t>Alpin Pq</t>
  </si>
  <si>
    <t>Erbiron</t>
  </si>
  <si>
    <t>Andreus Arsen</t>
  </si>
  <si>
    <t>Armo</t>
  </si>
  <si>
    <t>Edmond Kotorri</t>
  </si>
  <si>
    <t>Aklen</t>
  </si>
  <si>
    <t>Reparti Ushtarak 4405</t>
  </si>
  <si>
    <t>Total shpenzim provigjon  2010</t>
  </si>
  <si>
    <t>Tatim I shtyre  nga tatim fitim 2009 hequr nga tatimet</t>
  </si>
  <si>
    <t>balance Sheet 2010</t>
  </si>
  <si>
    <t>Viti 2010 ALL</t>
  </si>
  <si>
    <t>5d</t>
  </si>
  <si>
    <t>7-a</t>
  </si>
  <si>
    <t>7-b</t>
  </si>
  <si>
    <t>Aktivet Afatgjata</t>
  </si>
  <si>
    <t>Aktivet afatshkurtera</t>
  </si>
  <si>
    <t>Aktive te tjera aftashkurtera</t>
  </si>
  <si>
    <t>PASIVET DHE KAPITALI</t>
  </si>
  <si>
    <t>Pasivet afatgjata</t>
  </si>
  <si>
    <t>Huamarrjet</t>
  </si>
  <si>
    <t>Llogaria te Ardhura Shpenzime  ;per vitin e mbyllur 2010</t>
  </si>
  <si>
    <t xml:space="preserve">Shoqeria"Albanian motor Company" shpk </t>
  </si>
  <si>
    <t>Bilanci Kontabel  me 31.12.2010</t>
  </si>
  <si>
    <t>Viti 2009  All</t>
  </si>
  <si>
    <t>shitjet neto perfshire 2007 + 2009+2010ndryshim politikash</t>
  </si>
  <si>
    <t>Vlera neto 01.01.2010</t>
  </si>
  <si>
    <t>Vlera neto 31.12.2010</t>
  </si>
  <si>
    <t>FINANCIERIA</t>
  </si>
  <si>
    <t>ILIA CILI</t>
  </si>
  <si>
    <t>ARETUZA KULECI</t>
  </si>
  <si>
    <t>KAPITALI AKSIONER</t>
  </si>
  <si>
    <t>REZERVA LIGJORE STATUTORE</t>
  </si>
  <si>
    <t>FITIM I PASHPERNDARE</t>
  </si>
  <si>
    <t>ADMINISTRATORI</t>
  </si>
  <si>
    <t>makinat i panjohur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</si>
</sst>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[Red]\(#,##0.0\)"/>
    <numFmt numFmtId="196" formatCode="_(* #,##0.000_);_(* \(#,##0.000\);_(* &quot;-&quot;??_);_(@_)"/>
    <numFmt numFmtId="197" formatCode="_(* #,##0.0_);_(* \(#,##0.0\);_(* &quot;-&quot;?_);_(@_)"/>
    <numFmt numFmtId="198" formatCode="0.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_ * #,##0.00_ ;_ * \-#,##0.00_ ;_ * &quot;-&quot;??_ ;_ @_ "/>
    <numFmt numFmtId="203" formatCode="_ * #,##0_ ;_ * \-#,##0_ ;_ * &quot;-&quot;??_ ;_ @_ "/>
    <numFmt numFmtId="204" formatCode="d\-mmm\-yyyy"/>
    <numFmt numFmtId="205" formatCode="[$-409]d\-mmm\-yy;@"/>
    <numFmt numFmtId="206" formatCode="_-* #,##0.00_L_e_k_-;\-* #,##0.00_L_e_k_-;_-* &quot;-&quot;??_L_e_k_-;_-@_-"/>
  </numFmts>
  <fonts count="11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8"/>
      <color indexed="8"/>
      <name val="Arial"/>
      <family val="2"/>
    </font>
    <font>
      <b/>
      <i/>
      <u val="singleAccounting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b/>
      <i/>
      <sz val="11"/>
      <name val="Garamond"/>
      <family val="1"/>
    </font>
    <font>
      <b/>
      <i/>
      <u val="single"/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Arial"/>
      <family val="0"/>
    </font>
    <font>
      <i/>
      <sz val="13"/>
      <color indexed="8"/>
      <name val="Times New Roman"/>
      <family val="1"/>
    </font>
    <font>
      <b/>
      <i/>
      <sz val="13"/>
      <color indexed="8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color indexed="10"/>
      <name val="Arial"/>
      <family val="0"/>
    </font>
    <font>
      <i/>
      <sz val="13"/>
      <name val="Arial"/>
      <family val="0"/>
    </font>
    <font>
      <b/>
      <sz val="13"/>
      <color indexed="10"/>
      <name val="Arial"/>
      <family val="0"/>
    </font>
    <font>
      <i/>
      <sz val="14"/>
      <name val="Garamond"/>
      <family val="1"/>
    </font>
    <font>
      <b/>
      <sz val="14"/>
      <name val="Arial"/>
      <family val="0"/>
    </font>
    <font>
      <sz val="14"/>
      <color indexed="10"/>
      <name val="Times New Roman"/>
      <family val="1"/>
    </font>
    <font>
      <b/>
      <i/>
      <sz val="14"/>
      <name val="Arial"/>
      <family val="0"/>
    </font>
    <font>
      <sz val="14"/>
      <color indexed="10"/>
      <name val="Arial"/>
      <family val="0"/>
    </font>
    <font>
      <b/>
      <i/>
      <sz val="10"/>
      <name val="Arial"/>
      <family val="0"/>
    </font>
    <font>
      <b/>
      <i/>
      <u val="single"/>
      <sz val="14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u val="single"/>
      <sz val="8"/>
      <name val="Arial"/>
      <family val="0"/>
    </font>
    <font>
      <b/>
      <i/>
      <u val="single"/>
      <sz val="8"/>
      <color indexed="8"/>
      <name val="Arial"/>
      <family val="2"/>
    </font>
    <font>
      <sz val="10.5"/>
      <name val="Garamond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79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42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181" fontId="6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3" xfId="42" applyNumberFormat="1" applyFont="1" applyBorder="1" applyAlignment="1">
      <alignment horizontal="center" wrapText="1"/>
    </xf>
    <xf numFmtId="181" fontId="1" fillId="0" borderId="13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0" fontId="0" fillId="0" borderId="0" xfId="0" applyFont="1" applyAlignment="1">
      <alignment/>
    </xf>
    <xf numFmtId="39" fontId="7" fillId="0" borderId="0" xfId="0" applyNumberFormat="1" applyFont="1" applyAlignment="1">
      <alignment/>
    </xf>
    <xf numFmtId="39" fontId="8" fillId="0" borderId="10" xfId="0" applyNumberFormat="1" applyFont="1" applyBorder="1" applyAlignment="1">
      <alignment horizontal="center"/>
    </xf>
    <xf numFmtId="39" fontId="7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39" fontId="9" fillId="0" borderId="13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39" fontId="9" fillId="0" borderId="0" xfId="0" applyNumberFormat="1" applyFont="1" applyBorder="1" applyAlignment="1">
      <alignment/>
    </xf>
    <xf numFmtId="39" fontId="10" fillId="0" borderId="0" xfId="0" applyNumberFormat="1" applyFont="1" applyAlignment="1">
      <alignment/>
    </xf>
    <xf numFmtId="39" fontId="11" fillId="0" borderId="1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center"/>
    </xf>
    <xf numFmtId="39" fontId="5" fillId="0" borderId="13" xfId="0" applyNumberFormat="1" applyFont="1" applyBorder="1" applyAlignment="1">
      <alignment/>
    </xf>
    <xf numFmtId="39" fontId="12" fillId="0" borderId="0" xfId="0" applyNumberFormat="1" applyFont="1" applyAlignment="1">
      <alignment/>
    </xf>
    <xf numFmtId="39" fontId="10" fillId="0" borderId="0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/>
    </xf>
    <xf numFmtId="37" fontId="9" fillId="0" borderId="13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43" fontId="7" fillId="0" borderId="0" xfId="42" applyFont="1" applyAlignment="1">
      <alignment/>
    </xf>
    <xf numFmtId="43" fontId="9" fillId="0" borderId="13" xfId="42" applyFont="1" applyBorder="1" applyAlignment="1">
      <alignment/>
    </xf>
    <xf numFmtId="37" fontId="9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0" xfId="42" applyNumberFormat="1" applyFont="1" applyAlignment="1">
      <alignment/>
    </xf>
    <xf numFmtId="37" fontId="10" fillId="0" borderId="0" xfId="0" applyNumberFormat="1" applyFont="1" applyAlignment="1">
      <alignment/>
    </xf>
    <xf numFmtId="37" fontId="5" fillId="0" borderId="1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1" fillId="0" borderId="1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10" fillId="0" borderId="12" xfId="0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39" fontId="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181" fontId="0" fillId="0" borderId="0" xfId="42" applyNumberFormat="1" applyAlignment="1">
      <alignment/>
    </xf>
    <xf numFmtId="181" fontId="0" fillId="0" borderId="14" xfId="42" applyNumberFormat="1" applyBorder="1" applyAlignment="1">
      <alignment/>
    </xf>
    <xf numFmtId="181" fontId="3" fillId="0" borderId="14" xfId="42" applyNumberFormat="1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181" fontId="0" fillId="0" borderId="14" xfId="42" applyNumberFormat="1" applyFill="1" applyBorder="1" applyAlignment="1">
      <alignment/>
    </xf>
    <xf numFmtId="181" fontId="18" fillId="0" borderId="14" xfId="42" applyNumberFormat="1" applyFont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181" fontId="22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39" fontId="11" fillId="0" borderId="0" xfId="0" applyNumberFormat="1" applyFont="1" applyBorder="1" applyAlignment="1">
      <alignment horizontal="center"/>
    </xf>
    <xf numFmtId="43" fontId="9" fillId="0" borderId="0" xfId="42" applyFont="1" applyBorder="1" applyAlignment="1">
      <alignment/>
    </xf>
    <xf numFmtId="181" fontId="9" fillId="0" borderId="0" xfId="42" applyNumberFormat="1" applyFont="1" applyBorder="1" applyAlignment="1">
      <alignment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center"/>
    </xf>
    <xf numFmtId="39" fontId="9" fillId="0" borderId="10" xfId="0" applyNumberFormat="1" applyFont="1" applyBorder="1" applyAlignment="1">
      <alignment/>
    </xf>
    <xf numFmtId="39" fontId="10" fillId="0" borderId="1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"/>
    </xf>
    <xf numFmtId="181" fontId="4" fillId="0" borderId="13" xfId="42" applyNumberFormat="1" applyFont="1" applyBorder="1" applyAlignment="1">
      <alignment/>
    </xf>
    <xf numFmtId="39" fontId="9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24" fillId="0" borderId="0" xfId="0" applyFont="1" applyAlignment="1">
      <alignment/>
    </xf>
    <xf numFmtId="39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37" fontId="23" fillId="0" borderId="13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8" fontId="28" fillId="0" borderId="0" xfId="0" applyNumberFormat="1" applyFont="1" applyBorder="1" applyAlignment="1">
      <alignment/>
    </xf>
    <xf numFmtId="38" fontId="27" fillId="0" borderId="0" xfId="0" applyNumberFormat="1" applyFont="1" applyBorder="1" applyAlignment="1">
      <alignment/>
    </xf>
    <xf numFmtId="38" fontId="26" fillId="0" borderId="0" xfId="0" applyNumberFormat="1" applyFont="1" applyBorder="1" applyAlignment="1">
      <alignment/>
    </xf>
    <xf numFmtId="38" fontId="29" fillId="0" borderId="13" xfId="0" applyNumberFormat="1" applyFont="1" applyBorder="1" applyAlignment="1">
      <alignment/>
    </xf>
    <xf numFmtId="38" fontId="27" fillId="0" borderId="13" xfId="0" applyNumberFormat="1" applyFont="1" applyBorder="1" applyAlignment="1">
      <alignment/>
    </xf>
    <xf numFmtId="40" fontId="27" fillId="0" borderId="0" xfId="0" applyNumberFormat="1" applyFont="1" applyBorder="1" applyAlignment="1">
      <alignment/>
    </xf>
    <xf numFmtId="181" fontId="27" fillId="0" borderId="0" xfId="42" applyNumberFormat="1" applyFont="1" applyBorder="1" applyAlignment="1">
      <alignment/>
    </xf>
    <xf numFmtId="43" fontId="26" fillId="0" borderId="0" xfId="0" applyNumberFormat="1" applyFont="1" applyBorder="1" applyAlignment="1">
      <alignment/>
    </xf>
    <xf numFmtId="40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29" fillId="0" borderId="13" xfId="42" applyNumberFormat="1" applyFont="1" applyBorder="1" applyAlignment="1">
      <alignment/>
    </xf>
    <xf numFmtId="38" fontId="27" fillId="0" borderId="0" xfId="42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14" xfId="0" applyFont="1" applyBorder="1" applyAlignment="1">
      <alignment/>
    </xf>
    <xf numFmtId="0" fontId="0" fillId="33" borderId="0" xfId="0" applyFill="1" applyAlignment="1">
      <alignment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0" xfId="61" applyFont="1">
      <alignment/>
      <protection/>
    </xf>
    <xf numFmtId="0" fontId="36" fillId="33" borderId="0" xfId="61" applyFont="1" applyFill="1">
      <alignment/>
      <protection/>
    </xf>
    <xf numFmtId="0" fontId="35" fillId="0" borderId="0" xfId="61" applyFont="1" applyAlignment="1">
      <alignment/>
      <protection/>
    </xf>
    <xf numFmtId="0" fontId="37" fillId="0" borderId="0" xfId="59" applyFont="1" applyAlignment="1">
      <alignment/>
      <protection/>
    </xf>
    <xf numFmtId="0" fontId="38" fillId="0" borderId="0" xfId="59" applyFont="1" applyAlignment="1">
      <alignment/>
      <protection/>
    </xf>
    <xf numFmtId="0" fontId="39" fillId="0" borderId="0" xfId="59" applyFont="1" applyAlignment="1">
      <alignment horizontal="right" vertical="top"/>
      <protection/>
    </xf>
    <xf numFmtId="0" fontId="38" fillId="0" borderId="0" xfId="59" applyFont="1" applyAlignment="1">
      <alignment vertical="top"/>
      <protection/>
    </xf>
    <xf numFmtId="0" fontId="39" fillId="0" borderId="0" xfId="59" applyFont="1" applyAlignment="1">
      <alignment/>
      <protection/>
    </xf>
    <xf numFmtId="0" fontId="39" fillId="0" borderId="0" xfId="60" applyFont="1" applyAlignment="1">
      <alignment/>
      <protection/>
    </xf>
    <xf numFmtId="0" fontId="38" fillId="0" borderId="0" xfId="60" applyFont="1" applyAlignment="1">
      <alignment/>
      <protection/>
    </xf>
    <xf numFmtId="0" fontId="38" fillId="0" borderId="0" xfId="62" applyFont="1" applyAlignment="1">
      <alignment/>
      <protection/>
    </xf>
    <xf numFmtId="0" fontId="39" fillId="0" borderId="0" xfId="60" applyFont="1" applyAlignment="1">
      <alignment horizontal="right"/>
      <protection/>
    </xf>
    <xf numFmtId="0" fontId="38" fillId="0" borderId="0" xfId="60" applyFont="1" applyAlignment="1">
      <alignment vertical="top"/>
      <protection/>
    </xf>
    <xf numFmtId="3" fontId="38" fillId="0" borderId="0" xfId="60" applyNumberFormat="1" applyFont="1" applyAlignment="1">
      <alignment horizontal="right"/>
      <protection/>
    </xf>
    <xf numFmtId="0" fontId="38" fillId="0" borderId="0" xfId="60" applyFont="1" applyAlignment="1">
      <alignment horizontal="right"/>
      <protection/>
    </xf>
    <xf numFmtId="3" fontId="39" fillId="0" borderId="0" xfId="60" applyNumberFormat="1" applyFont="1" applyAlignment="1">
      <alignment horizontal="right"/>
      <protection/>
    </xf>
    <xf numFmtId="3" fontId="38" fillId="0" borderId="15" xfId="60" applyNumberFormat="1" applyFont="1" applyBorder="1" applyAlignment="1">
      <alignment horizontal="right"/>
      <protection/>
    </xf>
    <xf numFmtId="3" fontId="39" fillId="0" borderId="15" xfId="60" applyNumberFormat="1" applyFont="1" applyBorder="1" applyAlignment="1">
      <alignment horizontal="right"/>
      <protection/>
    </xf>
    <xf numFmtId="0" fontId="0" fillId="33" borderId="14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81" fontId="0" fillId="0" borderId="14" xfId="42" applyNumberFormat="1" applyFont="1" applyBorder="1" applyAlignment="1">
      <alignment/>
    </xf>
    <xf numFmtId="181" fontId="23" fillId="0" borderId="14" xfId="42" applyNumberFormat="1" applyFont="1" applyBorder="1" applyAlignment="1">
      <alignment/>
    </xf>
    <xf numFmtId="37" fontId="43" fillId="0" borderId="0" xfId="0" applyNumberFormat="1" applyFont="1" applyBorder="1" applyAlignment="1">
      <alignment/>
    </xf>
    <xf numFmtId="39" fontId="43" fillId="0" borderId="0" xfId="0" applyNumberFormat="1" applyFont="1" applyAlignment="1">
      <alignment/>
    </xf>
    <xf numFmtId="181" fontId="0" fillId="0" borderId="16" xfId="42" applyNumberFormat="1" applyFill="1" applyBorder="1" applyAlignment="1">
      <alignment/>
    </xf>
    <xf numFmtId="37" fontId="8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44" fillId="0" borderId="0" xfId="0" applyNumberFormat="1" applyFont="1" applyBorder="1" applyAlignment="1">
      <alignment/>
    </xf>
    <xf numFmtId="181" fontId="10" fillId="0" borderId="0" xfId="42" applyNumberFormat="1" applyFont="1" applyAlignment="1">
      <alignment horizontal="right"/>
    </xf>
    <xf numFmtId="181" fontId="10" fillId="0" borderId="0" xfId="42" applyNumberFormat="1" applyFont="1" applyBorder="1" applyAlignment="1">
      <alignment/>
    </xf>
    <xf numFmtId="181" fontId="10" fillId="0" borderId="0" xfId="42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181" fontId="0" fillId="0" borderId="14" xfId="0" applyNumberFormat="1" applyBorder="1" applyAlignment="1">
      <alignment/>
    </xf>
    <xf numFmtId="38" fontId="31" fillId="0" borderId="0" xfId="0" applyNumberFormat="1" applyFont="1" applyBorder="1" applyAlignment="1">
      <alignment horizontal="center" vertical="center"/>
    </xf>
    <xf numFmtId="40" fontId="31" fillId="0" borderId="0" xfId="0" applyNumberFormat="1" applyFont="1" applyBorder="1" applyAlignment="1">
      <alignment horizontal="center" vertical="center" wrapText="1"/>
    </xf>
    <xf numFmtId="40" fontId="31" fillId="0" borderId="0" xfId="0" applyNumberFormat="1" applyFont="1" applyBorder="1" applyAlignment="1">
      <alignment horizontal="center" vertical="center"/>
    </xf>
    <xf numFmtId="40" fontId="31" fillId="0" borderId="0" xfId="0" applyNumberFormat="1" applyFont="1" applyBorder="1" applyAlignment="1">
      <alignment horizontal="justify" vertical="center"/>
    </xf>
    <xf numFmtId="0" fontId="23" fillId="0" borderId="0" xfId="0" applyFont="1" applyAlignment="1">
      <alignment/>
    </xf>
    <xf numFmtId="37" fontId="9" fillId="0" borderId="15" xfId="0" applyNumberFormat="1" applyFont="1" applyBorder="1" applyAlignment="1">
      <alignment/>
    </xf>
    <xf numFmtId="37" fontId="45" fillId="0" borderId="0" xfId="0" applyNumberFormat="1" applyFont="1" applyBorder="1" applyAlignment="1">
      <alignment/>
    </xf>
    <xf numFmtId="37" fontId="45" fillId="0" borderId="0" xfId="0" applyNumberFormat="1" applyFont="1" applyBorder="1" applyAlignment="1">
      <alignment horizontal="center"/>
    </xf>
    <xf numFmtId="39" fontId="23" fillId="0" borderId="0" xfId="0" applyNumberFormat="1" applyFont="1" applyAlignment="1">
      <alignment/>
    </xf>
    <xf numFmtId="39" fontId="45" fillId="0" borderId="0" xfId="0" applyNumberFormat="1" applyFont="1" applyBorder="1" applyAlignment="1">
      <alignment horizontal="center"/>
    </xf>
    <xf numFmtId="39" fontId="7" fillId="0" borderId="20" xfId="0" applyNumberFormat="1" applyFont="1" applyBorder="1" applyAlignment="1">
      <alignment/>
    </xf>
    <xf numFmtId="180" fontId="7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7" fillId="0" borderId="21" xfId="42" applyFont="1" applyBorder="1" applyAlignment="1">
      <alignment/>
    </xf>
    <xf numFmtId="181" fontId="18" fillId="0" borderId="0" xfId="42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0" fontId="40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181" fontId="38" fillId="0" borderId="0" xfId="42" applyNumberFormat="1" applyFont="1" applyAlignment="1">
      <alignment/>
    </xf>
    <xf numFmtId="181" fontId="38" fillId="0" borderId="0" xfId="42" applyNumberFormat="1" applyFont="1" applyAlignment="1">
      <alignment vertical="top"/>
    </xf>
    <xf numFmtId="181" fontId="39" fillId="0" borderId="0" xfId="42" applyNumberFormat="1" applyFont="1" applyAlignment="1">
      <alignment horizontal="right"/>
    </xf>
    <xf numFmtId="181" fontId="38" fillId="0" borderId="0" xfId="42" applyNumberFormat="1" applyFont="1" applyAlignment="1">
      <alignment horizontal="right"/>
    </xf>
    <xf numFmtId="181" fontId="39" fillId="0" borderId="15" xfId="42" applyNumberFormat="1" applyFont="1" applyBorder="1" applyAlignment="1">
      <alignment horizontal="right"/>
    </xf>
    <xf numFmtId="181" fontId="38" fillId="0" borderId="15" xfId="42" applyNumberFormat="1" applyFont="1" applyBorder="1" applyAlignment="1">
      <alignment horizontal="right"/>
    </xf>
    <xf numFmtId="3" fontId="35" fillId="0" borderId="0" xfId="61" applyNumberFormat="1" applyFont="1" applyAlignment="1">
      <alignment/>
      <protection/>
    </xf>
    <xf numFmtId="3" fontId="38" fillId="0" borderId="0" xfId="62" applyNumberFormat="1" applyFont="1" applyAlignment="1">
      <alignment/>
      <protection/>
    </xf>
    <xf numFmtId="181" fontId="35" fillId="0" borderId="0" xfId="42" applyNumberFormat="1" applyFont="1" applyAlignment="1">
      <alignment/>
    </xf>
    <xf numFmtId="181" fontId="36" fillId="0" borderId="15" xfId="42" applyNumberFormat="1" applyFont="1" applyBorder="1" applyAlignment="1">
      <alignment horizontal="right"/>
    </xf>
    <xf numFmtId="181" fontId="38" fillId="0" borderId="0" xfId="42" applyNumberFormat="1" applyFont="1" applyBorder="1" applyAlignment="1">
      <alignment horizontal="right"/>
    </xf>
    <xf numFmtId="181" fontId="35" fillId="0" borderId="0" xfId="42" applyNumberFormat="1" applyFont="1" applyAlignment="1">
      <alignment/>
    </xf>
    <xf numFmtId="181" fontId="39" fillId="0" borderId="0" xfId="42" applyNumberFormat="1" applyFont="1" applyAlignment="1">
      <alignment horizontal="right" vertical="top"/>
    </xf>
    <xf numFmtId="43" fontId="1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181" fontId="48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3" fontId="49" fillId="0" borderId="0" xfId="42" applyFont="1" applyBorder="1" applyAlignment="1">
      <alignment/>
    </xf>
    <xf numFmtId="181" fontId="49" fillId="0" borderId="0" xfId="42" applyNumberFormat="1" applyFont="1" applyBorder="1" applyAlignment="1">
      <alignment/>
    </xf>
    <xf numFmtId="181" fontId="47" fillId="0" borderId="0" xfId="0" applyNumberFormat="1" applyFont="1" applyBorder="1" applyAlignment="1">
      <alignment/>
    </xf>
    <xf numFmtId="181" fontId="48" fillId="0" borderId="0" xfId="0" applyNumberFormat="1" applyFont="1" applyBorder="1" applyAlignment="1">
      <alignment/>
    </xf>
    <xf numFmtId="181" fontId="52" fillId="0" borderId="0" xfId="42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/>
    </xf>
    <xf numFmtId="181" fontId="48" fillId="0" borderId="13" xfId="0" applyNumberFormat="1" applyFont="1" applyBorder="1" applyAlignment="1">
      <alignment horizontal="center"/>
    </xf>
    <xf numFmtId="181" fontId="49" fillId="0" borderId="13" xfId="42" applyNumberFormat="1" applyFont="1" applyBorder="1" applyAlignment="1">
      <alignment/>
    </xf>
    <xf numFmtId="181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181" fontId="48" fillId="0" borderId="22" xfId="0" applyNumberFormat="1" applyFont="1" applyBorder="1" applyAlignment="1">
      <alignment horizontal="center"/>
    </xf>
    <xf numFmtId="181" fontId="49" fillId="0" borderId="22" xfId="42" applyNumberFormat="1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/>
    </xf>
    <xf numFmtId="181" fontId="52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/>
    </xf>
    <xf numFmtId="181" fontId="47" fillId="0" borderId="0" xfId="42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181" fontId="50" fillId="0" borderId="0" xfId="42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181" fontId="49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34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181" fontId="47" fillId="0" borderId="0" xfId="0" applyNumberFormat="1" applyFont="1" applyAlignment="1">
      <alignment/>
    </xf>
    <xf numFmtId="0" fontId="55" fillId="0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181" fontId="50" fillId="0" borderId="0" xfId="0" applyNumberFormat="1" applyFont="1" applyBorder="1" applyAlignment="1">
      <alignment/>
    </xf>
    <xf numFmtId="181" fontId="49" fillId="0" borderId="0" xfId="0" applyNumberFormat="1" applyFont="1" applyAlignment="1">
      <alignment/>
    </xf>
    <xf numFmtId="39" fontId="59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181" fontId="32" fillId="0" borderId="0" xfId="0" applyNumberFormat="1" applyFont="1" applyAlignment="1">
      <alignment horizontal="center"/>
    </xf>
    <xf numFmtId="181" fontId="32" fillId="0" borderId="0" xfId="42" applyNumberFormat="1" applyFont="1" applyAlignment="1">
      <alignment/>
    </xf>
    <xf numFmtId="181" fontId="32" fillId="0" borderId="0" xfId="0" applyNumberFormat="1" applyFont="1" applyAlignment="1">
      <alignment/>
    </xf>
    <xf numFmtId="0" fontId="32" fillId="0" borderId="0" xfId="0" applyFont="1" applyAlignment="1">
      <alignment horizontal="left" vertical="justify"/>
    </xf>
    <xf numFmtId="0" fontId="32" fillId="0" borderId="0" xfId="0" applyFont="1" applyBorder="1" applyAlignment="1">
      <alignment horizontal="center"/>
    </xf>
    <xf numFmtId="181" fontId="32" fillId="0" borderId="13" xfId="42" applyNumberFormat="1" applyFont="1" applyBorder="1" applyAlignment="1">
      <alignment/>
    </xf>
    <xf numFmtId="0" fontId="32" fillId="0" borderId="0" xfId="0" applyFont="1" applyBorder="1" applyAlignment="1">
      <alignment horizontal="left" wrapText="1"/>
    </xf>
    <xf numFmtId="181" fontId="32" fillId="0" borderId="0" xfId="42" applyNumberFormat="1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1" fontId="61" fillId="0" borderId="0" xfId="42" applyNumberFormat="1" applyFont="1" applyAlignment="1">
      <alignment/>
    </xf>
    <xf numFmtId="0" fontId="33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181" fontId="32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43" fontId="32" fillId="0" borderId="0" xfId="0" applyNumberFormat="1" applyFont="1" applyAlignment="1">
      <alignment/>
    </xf>
    <xf numFmtId="37" fontId="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181" fontId="4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1" fontId="0" fillId="0" borderId="14" xfId="42" applyNumberFormat="1" applyFont="1" applyFill="1" applyBorder="1" applyAlignment="1">
      <alignment/>
    </xf>
    <xf numFmtId="181" fontId="0" fillId="0" borderId="14" xfId="0" applyNumberFormat="1" applyFill="1" applyBorder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181" fontId="22" fillId="0" borderId="14" xfId="42" applyNumberFormat="1" applyFont="1" applyBorder="1" applyAlignment="1">
      <alignment/>
    </xf>
    <xf numFmtId="181" fontId="0" fillId="0" borderId="15" xfId="42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42" applyNumberFormat="1" applyFont="1" applyBorder="1" applyAlignment="1">
      <alignment/>
    </xf>
    <xf numFmtId="0" fontId="0" fillId="0" borderId="30" xfId="0" applyBorder="1" applyAlignment="1">
      <alignment/>
    </xf>
    <xf numFmtId="181" fontId="40" fillId="0" borderId="31" xfId="0" applyNumberFormat="1" applyFont="1" applyBorder="1" applyAlignment="1">
      <alignment/>
    </xf>
    <xf numFmtId="0" fontId="66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32" xfId="0" applyNumberFormat="1" applyFill="1" applyBorder="1" applyAlignment="1">
      <alignment/>
    </xf>
    <xf numFmtId="0" fontId="67" fillId="33" borderId="14" xfId="0" applyFont="1" applyFill="1" applyBorder="1" applyAlignment="1">
      <alignment/>
    </xf>
    <xf numFmtId="3" fontId="66" fillId="0" borderId="0" xfId="0" applyNumberFormat="1" applyFont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3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25" xfId="0" applyFont="1" applyBorder="1" applyAlignment="1">
      <alignment/>
    </xf>
    <xf numFmtId="181" fontId="21" fillId="0" borderId="25" xfId="42" applyNumberFormat="1" applyFont="1" applyBorder="1" applyAlignment="1">
      <alignment/>
    </xf>
    <xf numFmtId="0" fontId="69" fillId="0" borderId="0" xfId="0" applyFont="1" applyBorder="1" applyAlignment="1">
      <alignment/>
    </xf>
    <xf numFmtId="181" fontId="21" fillId="0" borderId="0" xfId="42" applyNumberFormat="1" applyFont="1" applyBorder="1" applyAlignment="1">
      <alignment/>
    </xf>
    <xf numFmtId="0" fontId="69" fillId="0" borderId="14" xfId="0" applyFont="1" applyBorder="1" applyAlignment="1">
      <alignment wrapText="1"/>
    </xf>
    <xf numFmtId="181" fontId="21" fillId="0" borderId="14" xfId="42" applyNumberFormat="1" applyFont="1" applyBorder="1" applyAlignment="1">
      <alignment/>
    </xf>
    <xf numFmtId="0" fontId="69" fillId="0" borderId="14" xfId="0" applyFont="1" applyBorder="1" applyAlignment="1">
      <alignment/>
    </xf>
    <xf numFmtId="0" fontId="70" fillId="0" borderId="14" xfId="0" applyFont="1" applyBorder="1" applyAlignment="1">
      <alignment/>
    </xf>
    <xf numFmtId="181" fontId="71" fillId="0" borderId="14" xfId="42" applyNumberFormat="1" applyFont="1" applyBorder="1" applyAlignment="1">
      <alignment/>
    </xf>
    <xf numFmtId="181" fontId="23" fillId="0" borderId="0" xfId="42" applyNumberFormat="1" applyFont="1" applyAlignment="1">
      <alignment/>
    </xf>
    <xf numFmtId="0" fontId="18" fillId="0" borderId="0" xfId="0" applyFont="1" applyAlignment="1">
      <alignment/>
    </xf>
    <xf numFmtId="0" fontId="64" fillId="0" borderId="14" xfId="0" applyFont="1" applyFill="1" applyBorder="1" applyAlignment="1">
      <alignment/>
    </xf>
    <xf numFmtId="0" fontId="64" fillId="0" borderId="14" xfId="0" applyFont="1" applyBorder="1" applyAlignment="1">
      <alignment/>
    </xf>
    <xf numFmtId="181" fontId="64" fillId="0" borderId="14" xfId="0" applyNumberFormat="1" applyFont="1" applyBorder="1" applyAlignment="1">
      <alignment/>
    </xf>
    <xf numFmtId="37" fontId="10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37" fontId="10" fillId="0" borderId="14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39" fontId="5" fillId="0" borderId="14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right"/>
    </xf>
    <xf numFmtId="9" fontId="1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left" vertical="justify"/>
    </xf>
    <xf numFmtId="0" fontId="19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43" fontId="48" fillId="0" borderId="0" xfId="0" applyNumberFormat="1" applyFont="1" applyBorder="1" applyAlignment="1">
      <alignment horizontal="center"/>
    </xf>
    <xf numFmtId="43" fontId="49" fillId="0" borderId="0" xfId="0" applyNumberFormat="1" applyFont="1" applyAlignment="1">
      <alignment/>
    </xf>
    <xf numFmtId="181" fontId="72" fillId="0" borderId="0" xfId="42" applyNumberFormat="1" applyFont="1" applyAlignment="1">
      <alignment horizontal="right"/>
    </xf>
    <xf numFmtId="181" fontId="72" fillId="0" borderId="0" xfId="42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64" fillId="0" borderId="14" xfId="0" applyFont="1" applyBorder="1" applyAlignment="1">
      <alignment/>
    </xf>
    <xf numFmtId="181" fontId="0" fillId="0" borderId="14" xfId="42" applyNumberFormat="1" applyFont="1" applyBorder="1" applyAlignment="1">
      <alignment/>
    </xf>
    <xf numFmtId="181" fontId="64" fillId="0" borderId="14" xfId="42" applyNumberFormat="1" applyFont="1" applyBorder="1" applyAlignment="1">
      <alignment/>
    </xf>
    <xf numFmtId="181" fontId="40" fillId="0" borderId="14" xfId="42" applyNumberFormat="1" applyFont="1" applyBorder="1" applyAlignment="1">
      <alignment/>
    </xf>
    <xf numFmtId="181" fontId="35" fillId="0" borderId="0" xfId="61" applyNumberFormat="1" applyFont="1">
      <alignment/>
      <protection/>
    </xf>
    <xf numFmtId="181" fontId="4" fillId="0" borderId="0" xfId="0" applyNumberFormat="1" applyFont="1" applyBorder="1" applyAlignment="1">
      <alignment horizontal="center"/>
    </xf>
    <xf numFmtId="0" fontId="39" fillId="0" borderId="0" xfId="60" applyFont="1" applyAlignment="1">
      <alignment horizontal="right"/>
      <protection/>
    </xf>
    <xf numFmtId="0" fontId="38" fillId="0" borderId="0" xfId="60" applyFont="1" applyAlignment="1">
      <alignment/>
      <protection/>
    </xf>
    <xf numFmtId="0" fontId="14" fillId="0" borderId="0" xfId="0" applyFont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FRS7" xfId="61"/>
    <cellStyle name="Normal_SHEE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27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'BK'!$G$84</c:f>
              <c:numCache>
                <c:ptCount val="1"/>
                <c:pt idx="0">
                  <c:v>0</c:v>
                </c:pt>
              </c:numCache>
            </c:numRef>
          </c:val>
        </c:ser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7"/>
          <c:w val="0.07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zoomScale="90" zoomScaleNormal="90" zoomScalePageLayoutView="0" workbookViewId="0" topLeftCell="A34">
      <selection activeCell="E58" sqref="E58"/>
    </sheetView>
  </sheetViews>
  <sheetFormatPr defaultColWidth="10.28125" defaultRowHeight="12.75"/>
  <cols>
    <col min="1" max="1" width="10.28125" style="137" customWidth="1"/>
    <col min="2" max="2" width="30.8515625" style="137" customWidth="1"/>
    <col min="3" max="3" width="11.7109375" style="137" customWidth="1"/>
    <col min="4" max="4" width="10.28125" style="137" customWidth="1"/>
    <col min="5" max="5" width="12.7109375" style="137" customWidth="1"/>
    <col min="6" max="6" width="10.28125" style="137" customWidth="1"/>
    <col min="7" max="7" width="12.140625" style="137" customWidth="1"/>
    <col min="8" max="10" width="10.28125" style="137" customWidth="1"/>
    <col min="11" max="11" width="11.7109375" style="137" customWidth="1"/>
    <col min="12" max="16384" width="10.28125" style="137" customWidth="1"/>
  </cols>
  <sheetData>
    <row r="2" ht="12">
      <c r="B2" s="138">
        <v>2010</v>
      </c>
    </row>
    <row r="3" spans="1:13" ht="12">
      <c r="A3" s="139"/>
      <c r="B3" s="140" t="s">
        <v>210</v>
      </c>
      <c r="C3" s="141"/>
      <c r="D3" s="141"/>
      <c r="E3" s="141"/>
      <c r="F3" s="141"/>
      <c r="G3" s="141"/>
      <c r="H3" s="141"/>
      <c r="I3" s="141"/>
      <c r="J3" s="141"/>
      <c r="K3" s="141"/>
      <c r="L3" s="139"/>
      <c r="M3" s="139"/>
    </row>
    <row r="4" spans="1:13" ht="12">
      <c r="A4" s="139"/>
      <c r="B4" s="141"/>
      <c r="C4" s="142" t="s">
        <v>323</v>
      </c>
      <c r="D4" s="143"/>
      <c r="E4" s="142" t="s">
        <v>211</v>
      </c>
      <c r="F4" s="143"/>
      <c r="G4" s="142" t="s">
        <v>212</v>
      </c>
      <c r="H4" s="142"/>
      <c r="I4" s="142" t="s">
        <v>213</v>
      </c>
      <c r="J4" s="143"/>
      <c r="K4" s="142" t="s">
        <v>214</v>
      </c>
      <c r="L4" s="139"/>
      <c r="M4" s="139"/>
    </row>
    <row r="5" spans="1:13" ht="12">
      <c r="A5" s="139"/>
      <c r="B5" s="144" t="s">
        <v>215</v>
      </c>
      <c r="C5" s="143"/>
      <c r="D5" s="143"/>
      <c r="E5" s="143"/>
      <c r="F5" s="143"/>
      <c r="G5" s="143"/>
      <c r="H5" s="143"/>
      <c r="I5" s="143"/>
      <c r="J5" s="143"/>
      <c r="K5" s="143"/>
      <c r="L5" s="139"/>
      <c r="M5" s="139"/>
    </row>
    <row r="6" spans="1:13" ht="15">
      <c r="A6" s="139"/>
      <c r="B6" s="193" t="s">
        <v>312</v>
      </c>
      <c r="G6" s="137">
        <f>114772891</f>
        <v>114772891</v>
      </c>
      <c r="H6" s="202"/>
      <c r="I6" s="202"/>
      <c r="J6" s="194"/>
      <c r="K6" s="196">
        <f aca="true" t="shared" si="0" ref="K6:K11">SUM(C6:J6)</f>
        <v>114772891</v>
      </c>
      <c r="L6" s="139"/>
      <c r="M6" s="139"/>
    </row>
    <row r="7" spans="1:13" ht="15">
      <c r="A7" s="139"/>
      <c r="B7" s="193" t="s">
        <v>313</v>
      </c>
      <c r="G7" s="137">
        <f>170459290</f>
        <v>170459290</v>
      </c>
      <c r="H7" s="202"/>
      <c r="I7" s="202"/>
      <c r="J7" s="194"/>
      <c r="K7" s="196">
        <f t="shared" si="0"/>
        <v>170459290</v>
      </c>
      <c r="L7" s="139"/>
      <c r="M7" s="139"/>
    </row>
    <row r="8" spans="1:13" ht="15">
      <c r="A8" s="139"/>
      <c r="B8" s="193" t="s">
        <v>314</v>
      </c>
      <c r="E8" s="202">
        <f>178100.36*138.77+369291.6*138.77+437470*138.77+11707*138.77</f>
        <v>138293874.5792</v>
      </c>
      <c r="G8" s="363">
        <f>155665011-E8-E9</f>
        <v>8116426.3508</v>
      </c>
      <c r="H8" s="202"/>
      <c r="I8" s="202"/>
      <c r="J8" s="194"/>
      <c r="K8" s="196">
        <f t="shared" si="0"/>
        <v>146410300.93</v>
      </c>
      <c r="L8" s="139"/>
      <c r="M8" s="139"/>
    </row>
    <row r="9" spans="1:13" ht="15">
      <c r="A9" s="139"/>
      <c r="B9" s="193" t="s">
        <v>315</v>
      </c>
      <c r="E9" s="202">
        <f>10450*138.77+3040*138.77+14000*138.77+20000*138.77+19201*138.77</f>
        <v>9254710.07</v>
      </c>
      <c r="H9" s="202"/>
      <c r="I9" s="202"/>
      <c r="J9" s="194"/>
      <c r="K9" s="196">
        <f t="shared" si="0"/>
        <v>9254710.07</v>
      </c>
      <c r="L9" s="139"/>
      <c r="M9" s="139"/>
    </row>
    <row r="10" spans="1:13" ht="15">
      <c r="A10" s="139"/>
      <c r="B10" s="193" t="s">
        <v>316</v>
      </c>
      <c r="E10" s="202">
        <f>302.1*138.77+32091*138.77+500*138.77</f>
        <v>4564575.487000001</v>
      </c>
      <c r="G10" s="363">
        <f>5309418+2704906-E10+17329532</f>
        <v>20779280.513</v>
      </c>
      <c r="H10" s="202"/>
      <c r="I10" s="202"/>
      <c r="J10" s="194"/>
      <c r="K10" s="196">
        <f t="shared" si="0"/>
        <v>25343856</v>
      </c>
      <c r="L10" s="139"/>
      <c r="M10" s="139"/>
    </row>
    <row r="11" spans="1:13" ht="15">
      <c r="A11" s="139"/>
      <c r="B11" s="193" t="s">
        <v>317</v>
      </c>
      <c r="C11" s="137">
        <f>48839.6*104</f>
        <v>5079318.399999999</v>
      </c>
      <c r="E11" s="202">
        <f>645845*138.77+14447.73*138.77</f>
        <v>91628822.1421</v>
      </c>
      <c r="G11" s="363">
        <f>100523472-C11-E11</f>
        <v>3815331.4578999877</v>
      </c>
      <c r="H11" s="202"/>
      <c r="I11" s="202"/>
      <c r="J11" s="194"/>
      <c r="K11" s="196">
        <f t="shared" si="0"/>
        <v>100523472</v>
      </c>
      <c r="L11" s="139"/>
      <c r="M11" s="139"/>
    </row>
    <row r="12" spans="1:13" ht="12.75" thickBot="1">
      <c r="A12" s="139"/>
      <c r="B12" s="144" t="s">
        <v>216</v>
      </c>
      <c r="C12" s="203">
        <f aca="true" t="shared" si="1" ref="C12:J12">SUM(C6:C11)</f>
        <v>5079318.399999999</v>
      </c>
      <c r="D12" s="203">
        <f t="shared" si="1"/>
        <v>0</v>
      </c>
      <c r="E12" s="203">
        <f t="shared" si="1"/>
        <v>243741982.2783</v>
      </c>
      <c r="F12" s="203">
        <f t="shared" si="1"/>
        <v>0</v>
      </c>
      <c r="G12" s="203">
        <f t="shared" si="1"/>
        <v>317943219.3217</v>
      </c>
      <c r="H12" s="203">
        <f t="shared" si="1"/>
        <v>0</v>
      </c>
      <c r="I12" s="203">
        <f t="shared" si="1"/>
        <v>0</v>
      </c>
      <c r="J12" s="203">
        <f t="shared" si="1"/>
        <v>0</v>
      </c>
      <c r="K12" s="203">
        <f>SUM(K6:K11)</f>
        <v>566764520</v>
      </c>
      <c r="L12" s="139"/>
      <c r="M12" s="139"/>
    </row>
    <row r="13" spans="1:13" ht="12">
      <c r="A13" s="139"/>
      <c r="B13" s="141"/>
      <c r="C13" s="194"/>
      <c r="D13" s="194"/>
      <c r="E13" s="194"/>
      <c r="F13" s="194"/>
      <c r="G13" s="194"/>
      <c r="H13" s="194"/>
      <c r="I13" s="194"/>
      <c r="J13" s="194"/>
      <c r="K13" s="194"/>
      <c r="L13" s="139"/>
      <c r="M13" s="139"/>
    </row>
    <row r="14" spans="1:13" ht="12">
      <c r="A14" s="139"/>
      <c r="B14" s="144" t="s">
        <v>217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39"/>
      <c r="M14" s="139"/>
    </row>
    <row r="15" spans="1:13" ht="15.75" thickBot="1">
      <c r="A15" s="139"/>
      <c r="B15" s="193" t="s">
        <v>318</v>
      </c>
      <c r="C15" s="194"/>
      <c r="D15" s="194"/>
      <c r="E15" s="194">
        <f>80878.87*138.77+97609.47*138.77+281610.01*138.77+23160.38*138.77+30902.47*138.77+12038.32*138.77+350000*138.77</f>
        <v>121590207.3904</v>
      </c>
      <c r="F15" s="194"/>
      <c r="G15" s="194">
        <f>131013921+48569500-E15-E16</f>
        <v>7114242.210799992</v>
      </c>
      <c r="H15" s="194"/>
      <c r="I15" s="194"/>
      <c r="J15" s="194"/>
      <c r="K15" s="198">
        <f>SUM(C15:J15)</f>
        <v>128704449.6012</v>
      </c>
      <c r="L15" s="139"/>
      <c r="M15" s="139"/>
    </row>
    <row r="16" spans="1:13" ht="15.75" thickBot="1">
      <c r="A16" s="139"/>
      <c r="B16" s="193" t="s">
        <v>319</v>
      </c>
      <c r="C16" s="194"/>
      <c r="D16" s="194"/>
      <c r="E16" s="194">
        <f>66642.44*138.77+300000*138.77</f>
        <v>50878971.3988</v>
      </c>
      <c r="F16" s="194"/>
      <c r="G16" s="194"/>
      <c r="H16" s="194"/>
      <c r="I16" s="194"/>
      <c r="J16" s="194"/>
      <c r="K16" s="198">
        <f>SUM(C16:J16)</f>
        <v>50878971.3988</v>
      </c>
      <c r="L16" s="139"/>
      <c r="M16" s="139"/>
    </row>
    <row r="17" spans="1:13" ht="15.75" thickBot="1">
      <c r="A17" s="139"/>
      <c r="B17" s="193" t="s">
        <v>320</v>
      </c>
      <c r="C17" s="194">
        <f>284849.12*104+7385*104</f>
        <v>30392348.48</v>
      </c>
      <c r="D17" s="194"/>
      <c r="E17" s="194">
        <f>48208.62*138.77+2500*138.77+999611.11*138.77</f>
        <v>145752868.9321</v>
      </c>
      <c r="F17" s="194"/>
      <c r="G17" s="194">
        <f>189854655-E17-C17</f>
        <v>13709437.587900002</v>
      </c>
      <c r="H17" s="194"/>
      <c r="I17" s="194"/>
      <c r="J17" s="194"/>
      <c r="K17" s="198">
        <f>SUM(C17:J17)</f>
        <v>189854655</v>
      </c>
      <c r="L17" s="139"/>
      <c r="M17" s="139"/>
    </row>
    <row r="18" spans="1:13" ht="15.75" thickBot="1">
      <c r="A18" s="139"/>
      <c r="B18" s="193" t="s">
        <v>321</v>
      </c>
      <c r="C18" s="194"/>
      <c r="D18" s="194"/>
      <c r="E18" s="194"/>
      <c r="F18" s="194"/>
      <c r="G18" s="194">
        <v>5747506</v>
      </c>
      <c r="H18" s="194"/>
      <c r="I18" s="194"/>
      <c r="J18" s="194"/>
      <c r="K18" s="198">
        <f>SUM(C18:J18)</f>
        <v>5747506</v>
      </c>
      <c r="L18" s="139"/>
      <c r="M18" s="139"/>
    </row>
    <row r="19" spans="1:13" ht="15.75" thickBot="1">
      <c r="A19" s="139"/>
      <c r="B19" s="193" t="s">
        <v>322</v>
      </c>
      <c r="C19" s="197"/>
      <c r="D19" s="194"/>
      <c r="E19" s="197">
        <f>750*138.77</f>
        <v>104077.50000000001</v>
      </c>
      <c r="F19" s="194"/>
      <c r="G19" s="194">
        <f>225000+3774467-E19+88888403+10494184</f>
        <v>103277976.5</v>
      </c>
      <c r="H19" s="197"/>
      <c r="I19" s="197"/>
      <c r="J19" s="194"/>
      <c r="K19" s="198">
        <f>SUM(C19:J19)</f>
        <v>103382054</v>
      </c>
      <c r="L19" s="139"/>
      <c r="M19" s="139"/>
    </row>
    <row r="20" spans="1:13" ht="12.75" thickBot="1">
      <c r="A20" s="139"/>
      <c r="B20" s="144" t="s">
        <v>218</v>
      </c>
      <c r="C20" s="198">
        <f aca="true" t="shared" si="2" ref="C20:K20">SUM(C15:C19)</f>
        <v>30392348.48</v>
      </c>
      <c r="D20" s="198">
        <f t="shared" si="2"/>
        <v>0</v>
      </c>
      <c r="E20" s="198">
        <f t="shared" si="2"/>
        <v>318326125.2213</v>
      </c>
      <c r="F20" s="198">
        <f t="shared" si="2"/>
        <v>0</v>
      </c>
      <c r="G20" s="198">
        <f t="shared" si="2"/>
        <v>129849162.29869999</v>
      </c>
      <c r="H20" s="198">
        <f t="shared" si="2"/>
        <v>0</v>
      </c>
      <c r="I20" s="198">
        <f t="shared" si="2"/>
        <v>0</v>
      </c>
      <c r="J20" s="198">
        <f t="shared" si="2"/>
        <v>0</v>
      </c>
      <c r="K20" s="198">
        <f t="shared" si="2"/>
        <v>478567636</v>
      </c>
      <c r="L20" s="139"/>
      <c r="M20" s="139"/>
    </row>
    <row r="21" spans="1:13" ht="12.75" thickBot="1">
      <c r="A21" s="139"/>
      <c r="B21" s="141"/>
      <c r="C21" s="194"/>
      <c r="D21" s="194"/>
      <c r="E21" s="194"/>
      <c r="F21" s="194"/>
      <c r="G21" s="194"/>
      <c r="H21" s="194"/>
      <c r="I21" s="194"/>
      <c r="J21" s="194"/>
      <c r="K21" s="198">
        <f>SUM(C21:J21)</f>
        <v>0</v>
      </c>
      <c r="L21" s="139"/>
      <c r="M21" s="139"/>
    </row>
    <row r="22" spans="1:13" ht="12.75" thickBot="1">
      <c r="A22" s="139"/>
      <c r="B22" s="141" t="s">
        <v>219</v>
      </c>
      <c r="C22" s="199">
        <f>C12-C20</f>
        <v>-25313030.080000002</v>
      </c>
      <c r="D22" s="194"/>
      <c r="E22" s="199">
        <f aca="true" t="shared" si="3" ref="E22:K22">E12-E20</f>
        <v>-74584142.94300002</v>
      </c>
      <c r="F22" s="199">
        <f t="shared" si="3"/>
        <v>0</v>
      </c>
      <c r="G22" s="199">
        <f t="shared" si="3"/>
        <v>188094057.023</v>
      </c>
      <c r="H22" s="199">
        <f t="shared" si="3"/>
        <v>0</v>
      </c>
      <c r="I22" s="199">
        <f t="shared" si="3"/>
        <v>0</v>
      </c>
      <c r="J22" s="199">
        <f t="shared" si="3"/>
        <v>0</v>
      </c>
      <c r="K22" s="199">
        <f t="shared" si="3"/>
        <v>88196884</v>
      </c>
      <c r="L22" s="139"/>
      <c r="M22" s="139"/>
    </row>
    <row r="23" spans="1:13" ht="12">
      <c r="A23" s="139"/>
      <c r="B23" s="139"/>
      <c r="C23" s="205"/>
      <c r="D23" s="205"/>
      <c r="E23" s="205"/>
      <c r="F23" s="205"/>
      <c r="G23" s="205"/>
      <c r="H23" s="205"/>
      <c r="I23" s="205"/>
      <c r="J23" s="205"/>
      <c r="K23" s="205"/>
      <c r="L23" s="139"/>
      <c r="M23" s="139"/>
    </row>
    <row r="24" spans="1:13" ht="12">
      <c r="A24" s="139"/>
      <c r="B24" s="139"/>
      <c r="C24" s="205"/>
      <c r="D24" s="205"/>
      <c r="E24" s="205"/>
      <c r="F24" s="205"/>
      <c r="G24" s="205"/>
      <c r="H24" s="205"/>
      <c r="I24" s="205"/>
      <c r="J24" s="205"/>
      <c r="K24" s="205"/>
      <c r="L24" s="139"/>
      <c r="M24" s="139"/>
    </row>
    <row r="25" spans="3:11" ht="12">
      <c r="C25" s="202"/>
      <c r="D25" s="202"/>
      <c r="E25" s="202">
        <f>E20/138.77</f>
        <v>2293911.69</v>
      </c>
      <c r="F25" s="202"/>
      <c r="G25" s="202"/>
      <c r="H25" s="202"/>
      <c r="I25" s="202"/>
      <c r="J25" s="202"/>
      <c r="K25" s="202"/>
    </row>
    <row r="26" spans="3:11" ht="12">
      <c r="C26" s="202"/>
      <c r="D26" s="202"/>
      <c r="E26" s="202"/>
      <c r="F26" s="202"/>
      <c r="G26" s="202"/>
      <c r="H26" s="202"/>
      <c r="I26" s="202"/>
      <c r="J26" s="202"/>
      <c r="K26" s="202"/>
    </row>
    <row r="27" spans="2:11" ht="12">
      <c r="B27" s="138">
        <v>2009</v>
      </c>
      <c r="C27" s="202"/>
      <c r="D27" s="202"/>
      <c r="E27" s="202"/>
      <c r="F27" s="202"/>
      <c r="G27" s="202"/>
      <c r="H27" s="202"/>
      <c r="I27" s="202"/>
      <c r="J27" s="202"/>
      <c r="K27" s="202"/>
    </row>
    <row r="28" spans="1:13" ht="12">
      <c r="A28" s="139"/>
      <c r="B28" s="140" t="s">
        <v>210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39"/>
      <c r="M28" s="139"/>
    </row>
    <row r="29" spans="1:13" ht="12">
      <c r="A29" s="139"/>
      <c r="B29" s="141"/>
      <c r="C29" s="206" t="s">
        <v>324</v>
      </c>
      <c r="D29" s="195"/>
      <c r="E29" s="206" t="s">
        <v>211</v>
      </c>
      <c r="F29" s="195"/>
      <c r="G29" s="206" t="s">
        <v>212</v>
      </c>
      <c r="H29" s="206"/>
      <c r="I29" s="206" t="s">
        <v>213</v>
      </c>
      <c r="J29" s="195"/>
      <c r="K29" s="206" t="s">
        <v>214</v>
      </c>
      <c r="L29" s="139"/>
      <c r="M29" s="139"/>
    </row>
    <row r="30" spans="1:13" ht="12">
      <c r="A30" s="139"/>
      <c r="B30" s="144" t="s">
        <v>215</v>
      </c>
      <c r="C30" s="197"/>
      <c r="D30" s="194"/>
      <c r="E30" s="197"/>
      <c r="F30" s="194"/>
      <c r="G30" s="202"/>
      <c r="H30" s="197"/>
      <c r="I30" s="197"/>
      <c r="J30" s="195"/>
      <c r="K30" s="195">
        <f aca="true" t="shared" si="4" ref="K30:K38">SUM(C30:J30)</f>
        <v>0</v>
      </c>
      <c r="L30" s="139"/>
      <c r="M30" s="139"/>
    </row>
    <row r="31" spans="1:13" ht="15">
      <c r="A31" s="139"/>
      <c r="B31" s="193" t="s">
        <v>312</v>
      </c>
      <c r="C31" s="202"/>
      <c r="D31" s="202"/>
      <c r="E31" s="202"/>
      <c r="F31" s="202"/>
      <c r="G31" s="202">
        <f>131053367</f>
        <v>131053367</v>
      </c>
      <c r="H31" s="197"/>
      <c r="I31" s="197"/>
      <c r="J31" s="194"/>
      <c r="K31" s="195">
        <f t="shared" si="4"/>
        <v>131053367</v>
      </c>
      <c r="L31" s="139"/>
      <c r="M31" s="139"/>
    </row>
    <row r="32" spans="1:13" ht="15">
      <c r="A32" s="139"/>
      <c r="B32" s="193" t="s">
        <v>313</v>
      </c>
      <c r="C32" s="202"/>
      <c r="D32" s="202"/>
      <c r="E32" s="202"/>
      <c r="F32" s="202"/>
      <c r="G32" s="202">
        <f>202411111-22851443</f>
        <v>179559668</v>
      </c>
      <c r="H32" s="197"/>
      <c r="I32" s="197"/>
      <c r="J32" s="194"/>
      <c r="K32" s="195">
        <f t="shared" si="4"/>
        <v>179559668</v>
      </c>
      <c r="L32" s="139"/>
      <c r="M32" s="139"/>
    </row>
    <row r="33" spans="1:13" ht="15">
      <c r="A33" s="139"/>
      <c r="B33" s="193" t="s">
        <v>314</v>
      </c>
      <c r="C33" s="202">
        <f>652657.73</f>
        <v>652657.73</v>
      </c>
      <c r="D33" s="202"/>
      <c r="E33" s="202">
        <f>36394350.47+46907721.36+627304.12+1441682+1833488+1793480</f>
        <v>88998025.95</v>
      </c>
      <c r="F33" s="202"/>
      <c r="G33" s="202">
        <f>100089328-E33-C33</f>
        <v>10438644.319999997</v>
      </c>
      <c r="H33" s="197"/>
      <c r="I33" s="197"/>
      <c r="J33" s="194"/>
      <c r="K33" s="195">
        <f t="shared" si="4"/>
        <v>100089328</v>
      </c>
      <c r="L33" s="139"/>
      <c r="M33" s="139"/>
    </row>
    <row r="34" spans="1:13" ht="15">
      <c r="A34" s="139"/>
      <c r="B34" s="193" t="s">
        <v>315</v>
      </c>
      <c r="C34" s="202"/>
      <c r="D34" s="202"/>
      <c r="E34" s="202"/>
      <c r="F34" s="202"/>
      <c r="G34" s="202"/>
      <c r="H34" s="197"/>
      <c r="I34" s="197"/>
      <c r="J34" s="194"/>
      <c r="K34" s="195">
        <f t="shared" si="4"/>
        <v>0</v>
      </c>
      <c r="L34" s="139"/>
      <c r="M34" s="139"/>
    </row>
    <row r="35" spans="1:13" ht="15">
      <c r="A35" s="139"/>
      <c r="B35" s="193" t="s">
        <v>316</v>
      </c>
      <c r="C35" s="202">
        <f>10654072+6107695.88</f>
        <v>16761767.879999999</v>
      </c>
      <c r="D35" s="202"/>
      <c r="E35" s="202">
        <f>4427274.36</f>
        <v>4427274.36</v>
      </c>
      <c r="F35" s="202"/>
      <c r="G35" s="202">
        <f>22851443+6030578+5169399+3814963-E35-C35</f>
        <v>16677340.760000002</v>
      </c>
      <c r="H35" s="197"/>
      <c r="I35" s="197"/>
      <c r="J35" s="194"/>
      <c r="K35" s="195">
        <f t="shared" si="4"/>
        <v>37866383</v>
      </c>
      <c r="L35" s="139"/>
      <c r="M35" s="139"/>
    </row>
    <row r="36" spans="1:13" ht="15">
      <c r="A36" s="139"/>
      <c r="B36" s="193" t="s">
        <v>317</v>
      </c>
      <c r="C36" s="202">
        <f>568877.42</f>
        <v>568877.42</v>
      </c>
      <c r="D36" s="202"/>
      <c r="E36" s="202">
        <f>38797883.4+28061.06</f>
        <v>38825944.46</v>
      </c>
      <c r="F36" s="202"/>
      <c r="G36" s="202">
        <f>47098333-E36-C36</f>
        <v>7703511.119999999</v>
      </c>
      <c r="H36" s="197"/>
      <c r="I36" s="197"/>
      <c r="J36" s="194"/>
      <c r="K36" s="195">
        <f t="shared" si="4"/>
        <v>47098333</v>
      </c>
      <c r="L36" s="139"/>
      <c r="M36" s="139"/>
    </row>
    <row r="37" spans="1:13" ht="12">
      <c r="A37" s="139"/>
      <c r="B37" s="141"/>
      <c r="C37" s="197"/>
      <c r="D37" s="194"/>
      <c r="E37" s="197"/>
      <c r="F37" s="194"/>
      <c r="G37" s="197"/>
      <c r="H37" s="197"/>
      <c r="I37" s="197"/>
      <c r="J37" s="194"/>
      <c r="K37" s="195">
        <f t="shared" si="4"/>
        <v>0</v>
      </c>
      <c r="L37" s="139"/>
      <c r="M37" s="139"/>
    </row>
    <row r="38" spans="1:13" ht="12.75" thickBot="1">
      <c r="A38" s="139"/>
      <c r="B38" s="141"/>
      <c r="C38" s="199"/>
      <c r="D38" s="194"/>
      <c r="E38" s="199"/>
      <c r="F38" s="194"/>
      <c r="G38" s="199"/>
      <c r="H38" s="204"/>
      <c r="I38" s="199"/>
      <c r="J38" s="194"/>
      <c r="K38" s="195">
        <f t="shared" si="4"/>
        <v>0</v>
      </c>
      <c r="L38" s="139"/>
      <c r="M38" s="139"/>
    </row>
    <row r="39" spans="1:13" ht="12.75" thickBot="1">
      <c r="A39" s="139"/>
      <c r="B39" s="144" t="s">
        <v>216</v>
      </c>
      <c r="C39" s="203">
        <f>SUM(C30:C38)</f>
        <v>17983303.03</v>
      </c>
      <c r="D39" s="203">
        <f aca="true" t="shared" si="5" ref="D39:K39">SUM(D30:D38)</f>
        <v>0</v>
      </c>
      <c r="E39" s="203">
        <f t="shared" si="5"/>
        <v>132251244.77000001</v>
      </c>
      <c r="F39" s="203">
        <f t="shared" si="5"/>
        <v>0</v>
      </c>
      <c r="G39" s="203">
        <f>SUM(G31:G38)</f>
        <v>345432531.2</v>
      </c>
      <c r="H39" s="203">
        <f t="shared" si="5"/>
        <v>0</v>
      </c>
      <c r="I39" s="203">
        <f t="shared" si="5"/>
        <v>0</v>
      </c>
      <c r="J39" s="203">
        <f t="shared" si="5"/>
        <v>0</v>
      </c>
      <c r="K39" s="203">
        <f t="shared" si="5"/>
        <v>495667079</v>
      </c>
      <c r="L39" s="139"/>
      <c r="M39" s="139"/>
    </row>
    <row r="40" spans="1:13" ht="12">
      <c r="A40" s="139"/>
      <c r="B40" s="141"/>
      <c r="C40" s="194"/>
      <c r="D40" s="194"/>
      <c r="E40" s="194"/>
      <c r="F40" s="194"/>
      <c r="G40" s="194"/>
      <c r="H40" s="194"/>
      <c r="I40" s="194"/>
      <c r="J40" s="194"/>
      <c r="K40" s="194"/>
      <c r="L40" s="139"/>
      <c r="M40" s="139"/>
    </row>
    <row r="41" spans="1:13" ht="12">
      <c r="A41" s="139"/>
      <c r="B41" s="144" t="s">
        <v>217</v>
      </c>
      <c r="C41" s="194"/>
      <c r="D41" s="194"/>
      <c r="E41" s="194"/>
      <c r="F41" s="194"/>
      <c r="G41" s="194"/>
      <c r="H41" s="194"/>
      <c r="I41" s="194"/>
      <c r="J41" s="194"/>
      <c r="K41" s="196">
        <f aca="true" t="shared" si="6" ref="K41:K46">SUM(C41:I41)</f>
        <v>0</v>
      </c>
      <c r="L41" s="139"/>
      <c r="M41" s="139"/>
    </row>
    <row r="42" spans="1:13" ht="15">
      <c r="A42" s="139"/>
      <c r="B42" s="193" t="s">
        <v>318</v>
      </c>
      <c r="C42" s="194"/>
      <c r="D42" s="194"/>
      <c r="E42" s="194">
        <v>183909156</v>
      </c>
      <c r="F42" s="194"/>
      <c r="G42" s="194"/>
      <c r="H42" s="194"/>
      <c r="I42" s="194"/>
      <c r="J42" s="194"/>
      <c r="K42" s="196">
        <f t="shared" si="6"/>
        <v>183909156</v>
      </c>
      <c r="L42" s="139"/>
      <c r="M42" s="139"/>
    </row>
    <row r="43" spans="1:13" ht="15">
      <c r="A43" s="139"/>
      <c r="B43" s="193" t="s">
        <v>319</v>
      </c>
      <c r="C43" s="194"/>
      <c r="D43" s="194"/>
      <c r="E43" s="194">
        <v>4278140</v>
      </c>
      <c r="F43" s="194"/>
      <c r="G43" s="194">
        <v>16541240</v>
      </c>
      <c r="H43" s="194"/>
      <c r="I43" s="194"/>
      <c r="J43" s="194"/>
      <c r="K43" s="196">
        <f t="shared" si="6"/>
        <v>20819380</v>
      </c>
      <c r="L43" s="139"/>
      <c r="M43" s="139"/>
    </row>
    <row r="44" spans="1:13" ht="15">
      <c r="A44" s="139"/>
      <c r="B44" s="193" t="s">
        <v>320</v>
      </c>
      <c r="C44" s="194">
        <v>6361339</v>
      </c>
      <c r="D44" s="194"/>
      <c r="E44" s="194">
        <v>131605547</v>
      </c>
      <c r="F44" s="194"/>
      <c r="G44" s="194">
        <v>1048733</v>
      </c>
      <c r="H44" s="194"/>
      <c r="I44" s="194"/>
      <c r="J44" s="194"/>
      <c r="K44" s="196">
        <f t="shared" si="6"/>
        <v>139015619</v>
      </c>
      <c r="L44" s="139"/>
      <c r="M44" s="139"/>
    </row>
    <row r="45" spans="1:13" ht="15">
      <c r="A45" s="139"/>
      <c r="B45" s="193" t="s">
        <v>321</v>
      </c>
      <c r="C45" s="194"/>
      <c r="D45" s="194"/>
      <c r="E45" s="194">
        <v>9083312</v>
      </c>
      <c r="F45" s="194"/>
      <c r="G45" s="194"/>
      <c r="H45" s="194"/>
      <c r="I45" s="194"/>
      <c r="J45" s="194"/>
      <c r="K45" s="196">
        <f t="shared" si="6"/>
        <v>9083312</v>
      </c>
      <c r="L45" s="139"/>
      <c r="M45" s="139"/>
    </row>
    <row r="46" spans="1:13" ht="15">
      <c r="A46" s="139"/>
      <c r="B46" s="193" t="s">
        <v>322</v>
      </c>
      <c r="C46" s="197"/>
      <c r="D46" s="194"/>
      <c r="E46" s="197"/>
      <c r="F46" s="194"/>
      <c r="G46" s="194">
        <v>120805882</v>
      </c>
      <c r="H46" s="197"/>
      <c r="I46" s="197"/>
      <c r="J46" s="194"/>
      <c r="K46" s="196">
        <f t="shared" si="6"/>
        <v>120805882</v>
      </c>
      <c r="L46" s="139"/>
      <c r="M46" s="139"/>
    </row>
    <row r="47" spans="1:13" ht="12.75" thickBot="1">
      <c r="A47" s="139"/>
      <c r="B47" s="144" t="s">
        <v>218</v>
      </c>
      <c r="C47" s="198">
        <f aca="true" t="shared" si="7" ref="C47:J47">SUM(C42:C46)</f>
        <v>6361339</v>
      </c>
      <c r="D47" s="198">
        <f t="shared" si="7"/>
        <v>0</v>
      </c>
      <c r="E47" s="198">
        <f t="shared" si="7"/>
        <v>328876155</v>
      </c>
      <c r="F47" s="198">
        <f t="shared" si="7"/>
        <v>0</v>
      </c>
      <c r="G47" s="198">
        <f t="shared" si="7"/>
        <v>138395855</v>
      </c>
      <c r="H47" s="198">
        <f t="shared" si="7"/>
        <v>0</v>
      </c>
      <c r="I47" s="198">
        <f t="shared" si="7"/>
        <v>0</v>
      </c>
      <c r="J47" s="198">
        <f t="shared" si="7"/>
        <v>0</v>
      </c>
      <c r="K47" s="198">
        <f>SUM(K41:K46)</f>
        <v>473633349</v>
      </c>
      <c r="L47" s="139"/>
      <c r="M47" s="139"/>
    </row>
    <row r="48" spans="1:13" ht="12">
      <c r="A48" s="139"/>
      <c r="B48" s="141"/>
      <c r="C48" s="194"/>
      <c r="D48" s="194"/>
      <c r="E48" s="194"/>
      <c r="F48" s="194"/>
      <c r="G48" s="194"/>
      <c r="H48" s="194"/>
      <c r="I48" s="194"/>
      <c r="J48" s="194"/>
      <c r="K48" s="194"/>
      <c r="L48" s="139"/>
      <c r="M48" s="139"/>
    </row>
    <row r="49" spans="1:13" ht="12.75" thickBot="1">
      <c r="A49" s="139"/>
      <c r="B49" s="141" t="s">
        <v>219</v>
      </c>
      <c r="C49" s="199">
        <f>C39-C47</f>
        <v>11621964.030000001</v>
      </c>
      <c r="D49" s="194"/>
      <c r="E49" s="199">
        <f>E39-E47</f>
        <v>-196624910.23</v>
      </c>
      <c r="F49" s="194"/>
      <c r="G49" s="199">
        <f>G39-G47</f>
        <v>207036676.2</v>
      </c>
      <c r="H49" s="199">
        <f>H39-H47</f>
        <v>0</v>
      </c>
      <c r="I49" s="199">
        <f>I39-I47</f>
        <v>0</v>
      </c>
      <c r="J49" s="199">
        <f>J39-J47</f>
        <v>0</v>
      </c>
      <c r="K49" s="199">
        <f>K39-K47</f>
        <v>22033730</v>
      </c>
      <c r="L49" s="139"/>
      <c r="M49" s="139"/>
    </row>
    <row r="50" spans="1:13" ht="1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C1">
      <selection activeCell="E12" sqref="E12"/>
    </sheetView>
  </sheetViews>
  <sheetFormatPr defaultColWidth="9.140625" defaultRowHeight="12.75"/>
  <cols>
    <col min="1" max="2" width="9.140625" style="281" customWidth="1"/>
    <col min="3" max="3" width="22.7109375" style="281" customWidth="1"/>
    <col min="4" max="4" width="25.140625" style="281" customWidth="1"/>
    <col min="5" max="5" width="14.8515625" style="281" customWidth="1"/>
    <col min="6" max="7" width="9.140625" style="281" customWidth="1"/>
    <col min="8" max="8" width="21.421875" style="281" customWidth="1"/>
    <col min="9" max="9" width="12.8515625" style="281" customWidth="1"/>
    <col min="10" max="16384" width="9.140625" style="281" customWidth="1"/>
  </cols>
  <sheetData>
    <row r="1" spans="1:9" s="280" customFormat="1" ht="20.25">
      <c r="A1"/>
      <c r="B1"/>
      <c r="C1" s="308" t="s">
        <v>511</v>
      </c>
      <c r="D1" s="309"/>
      <c r="G1"/>
      <c r="H1" s="308" t="s">
        <v>511</v>
      </c>
      <c r="I1" s="309"/>
    </row>
    <row r="2" spans="1:9" s="280" customFormat="1" ht="12.75">
      <c r="A2" s="132"/>
      <c r="B2" s="155" t="s">
        <v>512</v>
      </c>
      <c r="C2" s="155" t="s">
        <v>513</v>
      </c>
      <c r="D2" s="310">
        <v>3522077</v>
      </c>
      <c r="G2" s="155" t="s">
        <v>512</v>
      </c>
      <c r="H2" s="155" t="s">
        <v>513</v>
      </c>
      <c r="I2" s="310">
        <v>3522077</v>
      </c>
    </row>
    <row r="3" spans="1:9" s="280" customFormat="1" ht="12.75">
      <c r="A3" s="132"/>
      <c r="B3" s="155"/>
      <c r="C3" s="311" t="s">
        <v>514</v>
      </c>
      <c r="D3" s="310">
        <v>579360</v>
      </c>
      <c r="G3" s="155"/>
      <c r="H3" s="311" t="s">
        <v>514</v>
      </c>
      <c r="I3" s="310">
        <v>579360</v>
      </c>
    </row>
    <row r="4" spans="1:9" s="280" customFormat="1" ht="20.25">
      <c r="A4" s="308"/>
      <c r="B4" s="308"/>
      <c r="C4" s="308" t="s">
        <v>515</v>
      </c>
      <c r="D4" s="312"/>
      <c r="G4" s="308"/>
      <c r="H4" s="308" t="s">
        <v>515</v>
      </c>
      <c r="I4" s="312"/>
    </row>
    <row r="5" spans="1:9" s="280" customFormat="1" ht="12.75">
      <c r="A5" s="132"/>
      <c r="B5" s="155"/>
      <c r="C5" s="311" t="s">
        <v>516</v>
      </c>
      <c r="D5" s="310">
        <f>900315</f>
        <v>900315</v>
      </c>
      <c r="E5" s="283"/>
      <c r="G5" s="155"/>
      <c r="H5" s="311" t="s">
        <v>651</v>
      </c>
      <c r="I5" s="310">
        <f>900315</f>
        <v>900315</v>
      </c>
    </row>
    <row r="6" spans="1:9" s="280" customFormat="1" ht="12.75">
      <c r="A6" s="132"/>
      <c r="B6" s="155" t="s">
        <v>517</v>
      </c>
      <c r="C6" s="155" t="s">
        <v>518</v>
      </c>
      <c r="D6" s="310">
        <v>20000</v>
      </c>
      <c r="E6" s="283"/>
      <c r="G6" s="155" t="s">
        <v>517</v>
      </c>
      <c r="H6" s="155" t="s">
        <v>518</v>
      </c>
      <c r="I6" s="310">
        <v>20000</v>
      </c>
    </row>
    <row r="7" spans="1:9" s="280" customFormat="1" ht="12.75">
      <c r="A7" s="132"/>
      <c r="B7" s="132" t="s">
        <v>231</v>
      </c>
      <c r="C7" s="155" t="s">
        <v>232</v>
      </c>
      <c r="D7" s="313">
        <v>648960.83</v>
      </c>
      <c r="E7" s="283"/>
      <c r="G7" s="132" t="s">
        <v>231</v>
      </c>
      <c r="H7" s="155" t="s">
        <v>232</v>
      </c>
      <c r="I7" s="313">
        <v>648960.83</v>
      </c>
    </row>
    <row r="8" spans="1:9" s="280" customFormat="1" ht="12.75">
      <c r="A8" s="132"/>
      <c r="B8" s="132" t="s">
        <v>519</v>
      </c>
      <c r="C8" s="155" t="s">
        <v>520</v>
      </c>
      <c r="D8" s="313">
        <v>47500</v>
      </c>
      <c r="E8" s="283"/>
      <c r="G8" s="132" t="s">
        <v>519</v>
      </c>
      <c r="H8" s="155" t="s">
        <v>520</v>
      </c>
      <c r="I8" s="313">
        <v>47500</v>
      </c>
    </row>
    <row r="9" spans="1:9" s="280" customFormat="1" ht="12.75">
      <c r="A9" s="132"/>
      <c r="B9" s="155" t="s">
        <v>233</v>
      </c>
      <c r="C9" s="155" t="s">
        <v>234</v>
      </c>
      <c r="D9" s="310">
        <f>2201984.76</f>
        <v>2201984.76</v>
      </c>
      <c r="E9" s="283"/>
      <c r="G9" s="155" t="s">
        <v>233</v>
      </c>
      <c r="H9" s="155" t="s">
        <v>234</v>
      </c>
      <c r="I9" s="310">
        <f>2201984.76</f>
        <v>2201984.76</v>
      </c>
    </row>
    <row r="10" spans="1:9" s="280" customFormat="1" ht="12.75">
      <c r="A10" s="132"/>
      <c r="B10" s="155" t="s">
        <v>235</v>
      </c>
      <c r="C10" s="155" t="s">
        <v>236</v>
      </c>
      <c r="D10" s="310">
        <v>315048.62</v>
      </c>
      <c r="E10" s="283"/>
      <c r="G10" s="155" t="s">
        <v>235</v>
      </c>
      <c r="H10" s="155" t="s">
        <v>236</v>
      </c>
      <c r="I10" s="310">
        <v>315048.62</v>
      </c>
    </row>
    <row r="11" spans="1:9" s="280" customFormat="1" ht="12.75">
      <c r="A11" s="132"/>
      <c r="B11" s="155" t="s">
        <v>237</v>
      </c>
      <c r="C11" s="155" t="s">
        <v>238</v>
      </c>
      <c r="D11" s="310">
        <v>346945.02</v>
      </c>
      <c r="E11" s="283"/>
      <c r="G11" s="155" t="s">
        <v>237</v>
      </c>
      <c r="H11" s="155" t="s">
        <v>238</v>
      </c>
      <c r="I11" s="310">
        <v>346945.02</v>
      </c>
    </row>
    <row r="12" spans="1:9" s="280" customFormat="1" ht="12.75">
      <c r="A12" s="132"/>
      <c r="B12" s="155" t="s">
        <v>521</v>
      </c>
      <c r="C12" s="155" t="s">
        <v>522</v>
      </c>
      <c r="D12" s="310">
        <v>487998.3</v>
      </c>
      <c r="E12" s="283"/>
      <c r="G12" s="155" t="s">
        <v>521</v>
      </c>
      <c r="H12" s="155" t="s">
        <v>522</v>
      </c>
      <c r="I12" s="310">
        <v>487998.3</v>
      </c>
    </row>
    <row r="13" spans="1:9" s="280" customFormat="1" ht="12.75">
      <c r="A13" s="132"/>
      <c r="B13" s="155" t="s">
        <v>239</v>
      </c>
      <c r="C13" s="155" t="s">
        <v>240</v>
      </c>
      <c r="D13" s="310">
        <v>650824.11</v>
      </c>
      <c r="E13" s="283"/>
      <c r="G13" s="155" t="s">
        <v>239</v>
      </c>
      <c r="H13" s="155" t="s">
        <v>240</v>
      </c>
      <c r="I13" s="310">
        <v>650824.11</v>
      </c>
    </row>
    <row r="14" spans="1:9" s="280" customFormat="1" ht="12.75">
      <c r="A14" s="132"/>
      <c r="B14" s="155" t="s">
        <v>523</v>
      </c>
      <c r="C14" s="155" t="s">
        <v>524</v>
      </c>
      <c r="D14" s="310">
        <v>320692.51</v>
      </c>
      <c r="E14" s="283"/>
      <c r="G14" s="155" t="s">
        <v>523</v>
      </c>
      <c r="H14" s="155" t="s">
        <v>524</v>
      </c>
      <c r="I14" s="310">
        <v>320692.51</v>
      </c>
    </row>
    <row r="15" spans="1:9" s="280" customFormat="1" ht="12.75">
      <c r="A15" s="132"/>
      <c r="B15" s="155" t="s">
        <v>525</v>
      </c>
      <c r="C15" s="155" t="s">
        <v>526</v>
      </c>
      <c r="D15" s="310">
        <v>24760</v>
      </c>
      <c r="E15" s="283"/>
      <c r="G15" s="155" t="s">
        <v>525</v>
      </c>
      <c r="H15" s="155" t="s">
        <v>526</v>
      </c>
      <c r="I15" s="310">
        <v>24760</v>
      </c>
    </row>
    <row r="16" spans="1:9" s="280" customFormat="1" ht="12.75">
      <c r="A16" s="132"/>
      <c r="B16" s="132" t="s">
        <v>241</v>
      </c>
      <c r="C16" s="155" t="s">
        <v>242</v>
      </c>
      <c r="D16" s="313">
        <v>136160</v>
      </c>
      <c r="E16" s="283"/>
      <c r="G16" s="132" t="s">
        <v>241</v>
      </c>
      <c r="H16" s="155" t="s">
        <v>242</v>
      </c>
      <c r="I16" s="313">
        <v>136160</v>
      </c>
    </row>
    <row r="17" spans="1:9" s="280" customFormat="1" ht="12.75">
      <c r="A17" s="132"/>
      <c r="B17" s="155" t="s">
        <v>243</v>
      </c>
      <c r="C17" s="155" t="s">
        <v>244</v>
      </c>
      <c r="D17" s="310">
        <v>165144.88</v>
      </c>
      <c r="E17" s="283"/>
      <c r="G17" s="155" t="s">
        <v>243</v>
      </c>
      <c r="H17" s="155" t="s">
        <v>244</v>
      </c>
      <c r="I17" s="310">
        <v>165144.88</v>
      </c>
    </row>
    <row r="18" spans="1:9" s="280" customFormat="1" ht="12.75">
      <c r="A18" s="132"/>
      <c r="B18" s="155" t="s">
        <v>245</v>
      </c>
      <c r="C18" s="155" t="s">
        <v>246</v>
      </c>
      <c r="D18" s="310">
        <v>197069.16</v>
      </c>
      <c r="E18" s="283"/>
      <c r="G18" s="155" t="s">
        <v>245</v>
      </c>
      <c r="H18" s="155" t="s">
        <v>246</v>
      </c>
      <c r="I18" s="310">
        <v>197069.16</v>
      </c>
    </row>
    <row r="19" spans="1:9" s="280" customFormat="1" ht="12.75">
      <c r="A19" s="132"/>
      <c r="B19" s="155" t="s">
        <v>527</v>
      </c>
      <c r="C19" s="155" t="s">
        <v>528</v>
      </c>
      <c r="D19" s="310">
        <v>162800</v>
      </c>
      <c r="E19" s="283"/>
      <c r="G19" s="155" t="s">
        <v>527</v>
      </c>
      <c r="H19" s="155" t="s">
        <v>528</v>
      </c>
      <c r="I19" s="310">
        <v>162800</v>
      </c>
    </row>
    <row r="20" spans="1:9" s="280" customFormat="1" ht="12.75">
      <c r="A20" s="132"/>
      <c r="B20" s="132" t="s">
        <v>247</v>
      </c>
      <c r="C20" s="155" t="s">
        <v>248</v>
      </c>
      <c r="D20" s="313">
        <v>108000</v>
      </c>
      <c r="E20" s="283"/>
      <c r="G20" s="132" t="s">
        <v>247</v>
      </c>
      <c r="H20" s="155" t="s">
        <v>248</v>
      </c>
      <c r="I20" s="313">
        <v>108000</v>
      </c>
    </row>
    <row r="21" spans="1:9" s="280" customFormat="1" ht="12.75">
      <c r="A21" s="132"/>
      <c r="B21" s="155" t="s">
        <v>249</v>
      </c>
      <c r="C21" s="155" t="s">
        <v>250</v>
      </c>
      <c r="D21" s="310">
        <f>160242.8+5050</f>
        <v>165292.8</v>
      </c>
      <c r="E21" s="283"/>
      <c r="G21" s="155" t="s">
        <v>249</v>
      </c>
      <c r="H21" s="155" t="s">
        <v>250</v>
      </c>
      <c r="I21" s="310">
        <f>160242.8+5050</f>
        <v>165292.8</v>
      </c>
    </row>
    <row r="22" spans="1:9" s="280" customFormat="1" ht="12.75">
      <c r="A22" s="132"/>
      <c r="B22" s="155" t="s">
        <v>251</v>
      </c>
      <c r="C22" s="155" t="s">
        <v>529</v>
      </c>
      <c r="D22" s="310">
        <v>44730</v>
      </c>
      <c r="E22" s="283"/>
      <c r="G22" s="155" t="s">
        <v>251</v>
      </c>
      <c r="H22" s="155" t="s">
        <v>529</v>
      </c>
      <c r="I22" s="310">
        <v>44730</v>
      </c>
    </row>
    <row r="23" spans="1:9" s="280" customFormat="1" ht="12.75">
      <c r="A23" s="132"/>
      <c r="B23" s="155" t="s">
        <v>252</v>
      </c>
      <c r="C23" s="155" t="s">
        <v>530</v>
      </c>
      <c r="D23" s="310">
        <v>604920</v>
      </c>
      <c r="E23" s="283"/>
      <c r="G23" s="155" t="s">
        <v>252</v>
      </c>
      <c r="H23" s="155" t="s">
        <v>530</v>
      </c>
      <c r="I23" s="310">
        <v>604920</v>
      </c>
    </row>
    <row r="24" spans="1:9" s="280" customFormat="1" ht="12.75">
      <c r="A24" s="132"/>
      <c r="B24" s="155" t="s">
        <v>253</v>
      </c>
      <c r="C24" s="155" t="s">
        <v>531</v>
      </c>
      <c r="D24" s="310">
        <v>502239</v>
      </c>
      <c r="E24" s="283"/>
      <c r="G24" s="155" t="s">
        <v>253</v>
      </c>
      <c r="H24" s="155" t="s">
        <v>531</v>
      </c>
      <c r="I24" s="310">
        <v>502239</v>
      </c>
    </row>
    <row r="25" spans="1:9" s="285" customFormat="1" ht="12.75">
      <c r="A25" s="132"/>
      <c r="B25" s="155" t="s">
        <v>254</v>
      </c>
      <c r="C25" s="155" t="s">
        <v>255</v>
      </c>
      <c r="D25" s="310">
        <f>470735.36-126146.28</f>
        <v>344589.07999999996</v>
      </c>
      <c r="E25" s="284"/>
      <c r="G25" s="155" t="s">
        <v>254</v>
      </c>
      <c r="H25" s="155" t="s">
        <v>255</v>
      </c>
      <c r="I25" s="310">
        <f>470735.36-126146.28</f>
        <v>344589.07999999996</v>
      </c>
    </row>
    <row r="26" spans="1:9" s="285" customFormat="1" ht="12.75">
      <c r="A26" s="132"/>
      <c r="B26" s="155" t="s">
        <v>532</v>
      </c>
      <c r="C26" s="155" t="s">
        <v>533</v>
      </c>
      <c r="D26" s="310">
        <f>136896.19+126146.28</f>
        <v>263042.47</v>
      </c>
      <c r="E26" s="286"/>
      <c r="G26" s="155" t="s">
        <v>532</v>
      </c>
      <c r="H26" s="155" t="s">
        <v>533</v>
      </c>
      <c r="I26" s="310">
        <f>136896.19+126146.28</f>
        <v>263042.47</v>
      </c>
    </row>
    <row r="27" spans="1:9" s="285" customFormat="1" ht="12.75">
      <c r="A27" s="132"/>
      <c r="B27" s="155" t="s">
        <v>256</v>
      </c>
      <c r="C27" s="311" t="s">
        <v>534</v>
      </c>
      <c r="D27" s="310">
        <v>238217.22</v>
      </c>
      <c r="G27" s="155" t="s">
        <v>256</v>
      </c>
      <c r="H27" s="311" t="s">
        <v>534</v>
      </c>
      <c r="I27" s="310">
        <v>238217.22</v>
      </c>
    </row>
    <row r="28" spans="1:9" s="285" customFormat="1" ht="12.75">
      <c r="A28" s="132"/>
      <c r="B28" s="155" t="s">
        <v>257</v>
      </c>
      <c r="C28" s="155" t="s">
        <v>258</v>
      </c>
      <c r="D28" s="310">
        <f>6236456+59530</f>
        <v>6295986</v>
      </c>
      <c r="G28" s="155" t="s">
        <v>257</v>
      </c>
      <c r="H28" s="155" t="s">
        <v>258</v>
      </c>
      <c r="I28" s="310">
        <f>6236456+59530</f>
        <v>6295986</v>
      </c>
    </row>
    <row r="29" spans="1:9" s="285" customFormat="1" ht="12.75">
      <c r="A29"/>
      <c r="B29"/>
      <c r="C29"/>
      <c r="D29" s="309">
        <f>SUM(D5:D28)</f>
        <v>15193219.760000002</v>
      </c>
      <c r="E29" s="286"/>
      <c r="G29"/>
      <c r="H29"/>
      <c r="I29" s="309">
        <f>SUM(I5:I28)</f>
        <v>15193219.760000002</v>
      </c>
    </row>
    <row r="30" spans="1:9" s="285" customFormat="1" ht="12.75">
      <c r="A30"/>
      <c r="B30"/>
      <c r="C30"/>
      <c r="D30" s="309"/>
      <c r="G30"/>
      <c r="H30"/>
      <c r="I30" s="309"/>
    </row>
    <row r="31" spans="1:9" s="285" customFormat="1" ht="12.75">
      <c r="A31"/>
      <c r="B31"/>
      <c r="C31" s="74" t="s">
        <v>535</v>
      </c>
      <c r="D31" s="314">
        <v>765636</v>
      </c>
      <c r="E31" s="284"/>
      <c r="G31"/>
      <c r="H31" s="74" t="s">
        <v>535</v>
      </c>
      <c r="I31" s="314">
        <v>765636</v>
      </c>
    </row>
    <row r="32" spans="1:9" s="285" customFormat="1" ht="12.75">
      <c r="A32"/>
      <c r="B32"/>
      <c r="C32" s="74" t="s">
        <v>536</v>
      </c>
      <c r="D32" s="314">
        <f>D31*0.1</f>
        <v>76563.6</v>
      </c>
      <c r="E32" s="284"/>
      <c r="G32"/>
      <c r="H32" s="74" t="s">
        <v>536</v>
      </c>
      <c r="I32" s="314">
        <f>I31*0.1</f>
        <v>76563.6</v>
      </c>
    </row>
    <row r="33" spans="1:5" s="285" customFormat="1" ht="12.75">
      <c r="A33"/>
      <c r="B33"/>
      <c r="C33"/>
      <c r="D33" s="309"/>
      <c r="E33" s="286"/>
    </row>
    <row r="34" spans="1:5" s="285" customFormat="1" ht="12.75">
      <c r="A34"/>
      <c r="B34"/>
      <c r="C34"/>
      <c r="D34" s="309"/>
      <c r="E34" s="286"/>
    </row>
    <row r="35" spans="1:5" s="285" customFormat="1" ht="12.75">
      <c r="A35"/>
      <c r="B35"/>
      <c r="C35"/>
      <c r="D35" s="309"/>
      <c r="E35" s="286"/>
    </row>
    <row r="36" spans="1:5" s="280" customFormat="1" ht="12.75">
      <c r="A36"/>
      <c r="B36"/>
      <c r="C36"/>
      <c r="D36" s="309"/>
      <c r="E36" s="287"/>
    </row>
    <row r="37" spans="1:5" s="280" customFormat="1" ht="13.5" thickBot="1">
      <c r="A37"/>
      <c r="B37"/>
      <c r="C37" s="294" t="s">
        <v>537</v>
      </c>
      <c r="D37" s="315"/>
      <c r="E37" s="287"/>
    </row>
    <row r="38" spans="1:4" s="280" customFormat="1" ht="13.5" thickBot="1">
      <c r="A38"/>
      <c r="B38"/>
      <c r="C38"/>
      <c r="D38" s="309"/>
    </row>
    <row r="39" spans="1:4" s="280" customFormat="1" ht="12.75">
      <c r="A39"/>
      <c r="B39"/>
      <c r="C39" s="303" t="s">
        <v>538</v>
      </c>
      <c r="D39" s="316">
        <v>74905158.67000008</v>
      </c>
    </row>
    <row r="40" spans="1:4" s="280" customFormat="1" ht="12.75">
      <c r="A40"/>
      <c r="B40"/>
      <c r="C40" s="170" t="s">
        <v>539</v>
      </c>
      <c r="D40" s="317">
        <v>-3522077</v>
      </c>
    </row>
    <row r="41" spans="1:4" s="280" customFormat="1" ht="12.75">
      <c r="A41"/>
      <c r="B41"/>
      <c r="C41" s="170" t="s">
        <v>540</v>
      </c>
      <c r="D41" s="317">
        <v>-579360</v>
      </c>
    </row>
    <row r="42" spans="1:5" s="280" customFormat="1" ht="12.75">
      <c r="A42"/>
      <c r="B42"/>
      <c r="C42" s="170" t="s">
        <v>541</v>
      </c>
      <c r="D42" s="317">
        <f>D29</f>
        <v>15193219.760000002</v>
      </c>
      <c r="E42" s="357"/>
    </row>
    <row r="43" spans="1:5" s="280" customFormat="1" ht="12.75">
      <c r="A43"/>
      <c r="B43"/>
      <c r="C43" s="170" t="s">
        <v>609</v>
      </c>
      <c r="D43" s="317"/>
      <c r="E43" s="357"/>
    </row>
    <row r="44" spans="1:4" s="280" customFormat="1" ht="12.75">
      <c r="A44"/>
      <c r="B44"/>
      <c r="C44" s="170" t="s">
        <v>542</v>
      </c>
      <c r="D44" s="317">
        <f>SUM(D39:D42)</f>
        <v>85996941.43000008</v>
      </c>
    </row>
    <row r="45" spans="1:5" s="280" customFormat="1" ht="18">
      <c r="A45"/>
      <c r="B45"/>
      <c r="C45" s="318" t="s">
        <v>543</v>
      </c>
      <c r="D45" s="319">
        <f>D44*0.1</f>
        <v>8599694.143000009</v>
      </c>
      <c r="E45" s="288"/>
    </row>
    <row r="46" spans="1:5" s="280" customFormat="1" ht="13.5" thickBot="1">
      <c r="A46"/>
      <c r="B46"/>
      <c r="C46" s="170" t="s">
        <v>609</v>
      </c>
      <c r="D46" s="317">
        <f>142307</f>
        <v>142307</v>
      </c>
      <c r="E46" s="357"/>
    </row>
    <row r="47" spans="1:5" s="280" customFormat="1" ht="13.5" thickBot="1">
      <c r="A47"/>
      <c r="B47"/>
      <c r="C47" s="320" t="s">
        <v>544</v>
      </c>
      <c r="D47" s="321">
        <f>D39-D45-D46</f>
        <v>66163157.52700007</v>
      </c>
      <c r="E47" s="283"/>
    </row>
    <row r="48" spans="1:4" s="280" customFormat="1" ht="13.5" thickBot="1">
      <c r="A48"/>
      <c r="B48"/>
      <c r="C48"/>
      <c r="D48" s="309"/>
    </row>
    <row r="49" spans="1:5" s="280" customFormat="1" ht="13.5" thickBot="1">
      <c r="A49" s="322"/>
      <c r="B49" s="323"/>
      <c r="C49" s="324"/>
      <c r="D49" s="325"/>
      <c r="E49" s="283"/>
    </row>
    <row r="50" spans="1:4" s="280" customFormat="1" ht="12.75">
      <c r="A50" s="322"/>
      <c r="B50" s="323"/>
      <c r="C50" s="326"/>
      <c r="D50" s="327"/>
    </row>
    <row r="51" spans="1:4" s="280" customFormat="1" ht="12.75">
      <c r="A51" s="322"/>
      <c r="B51" s="323"/>
      <c r="C51" s="326"/>
      <c r="D51" s="327"/>
    </row>
    <row r="52" spans="1:5" s="280" customFormat="1" ht="12.75">
      <c r="A52" s="322"/>
      <c r="B52" s="323"/>
      <c r="C52" s="326"/>
      <c r="D52" s="327"/>
      <c r="E52" s="283"/>
    </row>
    <row r="53" spans="1:5" s="280" customFormat="1" ht="12.75">
      <c r="A53" s="322"/>
      <c r="B53" s="323"/>
      <c r="C53" s="326"/>
      <c r="D53" s="327"/>
      <c r="E53" s="283"/>
    </row>
    <row r="54" spans="1:5" s="280" customFormat="1" ht="12.75">
      <c r="A54" s="322"/>
      <c r="B54" s="323"/>
      <c r="C54" s="373" t="s">
        <v>545</v>
      </c>
      <c r="D54" s="373"/>
      <c r="E54" s="283"/>
    </row>
    <row r="55" spans="1:5" s="280" customFormat="1" ht="12.75">
      <c r="A55" s="322"/>
      <c r="B55" s="323"/>
      <c r="C55" s="328" t="s">
        <v>546</v>
      </c>
      <c r="D55" s="329">
        <f>15172276</f>
        <v>15172276</v>
      </c>
      <c r="E55" s="283"/>
    </row>
    <row r="56" spans="1:5" s="280" customFormat="1" ht="12.75">
      <c r="A56" s="322"/>
      <c r="B56" s="323"/>
      <c r="C56" s="330" t="s">
        <v>547</v>
      </c>
      <c r="D56" s="329">
        <f>16183569</f>
        <v>16183569</v>
      </c>
      <c r="E56" s="283"/>
    </row>
    <row r="57" spans="1:4" s="280" customFormat="1" ht="12.75">
      <c r="A57" s="322"/>
      <c r="B57" s="323"/>
      <c r="C57" s="331" t="s">
        <v>548</v>
      </c>
      <c r="D57" s="332">
        <f>D56-D55</f>
        <v>1011293</v>
      </c>
    </row>
    <row r="58" spans="1:5" s="280" customFormat="1" ht="12.75">
      <c r="A58" s="322"/>
      <c r="B58" s="323"/>
      <c r="C58" s="330"/>
      <c r="D58" s="329"/>
      <c r="E58" s="283"/>
    </row>
    <row r="59" spans="1:4" s="280" customFormat="1" ht="12.75">
      <c r="A59" s="322"/>
      <c r="B59" s="323"/>
      <c r="C59" s="326"/>
      <c r="D59" s="327"/>
    </row>
    <row r="60" spans="1:4" s="280" customFormat="1" ht="12.75">
      <c r="A60" s="322"/>
      <c r="B60" s="323"/>
      <c r="C60" s="330" t="s">
        <v>549</v>
      </c>
      <c r="D60" s="329">
        <v>245657</v>
      </c>
    </row>
    <row r="61" spans="1:4" s="280" customFormat="1" ht="12.75">
      <c r="A61" s="322"/>
      <c r="B61" s="323"/>
      <c r="C61" s="330" t="s">
        <v>550</v>
      </c>
      <c r="D61" s="329">
        <f>(D57-D60)</f>
        <v>765636</v>
      </c>
    </row>
    <row r="62" spans="1:5" s="280" customFormat="1" ht="12.75">
      <c r="A62" s="322"/>
      <c r="B62" s="323"/>
      <c r="C62" s="330" t="s">
        <v>551</v>
      </c>
      <c r="D62" s="329">
        <f>D61*0.1</f>
        <v>76563.6</v>
      </c>
      <c r="E62" s="283"/>
    </row>
    <row r="63" spans="1:5" s="280" customFormat="1" ht="12.75">
      <c r="A63" s="322"/>
      <c r="B63" s="323"/>
      <c r="C63" s="326"/>
      <c r="D63" s="327"/>
      <c r="E63" s="283"/>
    </row>
    <row r="64" spans="1:5" s="280" customFormat="1" ht="12.75">
      <c r="A64" s="322"/>
      <c r="B64" s="323"/>
      <c r="C64" s="326"/>
      <c r="D64" s="327"/>
      <c r="E64" s="283"/>
    </row>
    <row r="65" s="280" customFormat="1" ht="12.75"/>
    <row r="66" s="280" customFormat="1" ht="12.75"/>
    <row r="67" s="280" customFormat="1" ht="12.75"/>
    <row r="68" s="280" customFormat="1" ht="12.75"/>
    <row r="69" s="280" customFormat="1" ht="12.75"/>
    <row r="70" spans="2:5" s="280" customFormat="1" ht="18">
      <c r="B70" s="288"/>
      <c r="C70" s="288"/>
      <c r="D70" s="288"/>
      <c r="E70" s="288"/>
    </row>
    <row r="71" s="280" customFormat="1" ht="12.75"/>
    <row r="72" s="280" customFormat="1" ht="12.75">
      <c r="E72" s="283"/>
    </row>
    <row r="73" s="280" customFormat="1" ht="12.75">
      <c r="E73" s="283"/>
    </row>
    <row r="74" s="280" customFormat="1" ht="12.75">
      <c r="E74" s="283"/>
    </row>
    <row r="75" s="280" customFormat="1" ht="12.75">
      <c r="E75" s="283"/>
    </row>
    <row r="76" s="280" customFormat="1" ht="12.75">
      <c r="E76" s="283"/>
    </row>
    <row r="77" s="280" customFormat="1" ht="12.75">
      <c r="E77" s="283"/>
    </row>
    <row r="78" s="280" customFormat="1" ht="12.75">
      <c r="E78" s="283"/>
    </row>
    <row r="79" s="280" customFormat="1" ht="12.75">
      <c r="E79" s="283"/>
    </row>
    <row r="80" s="280" customFormat="1" ht="12.75">
      <c r="E80" s="283"/>
    </row>
    <row r="81" s="280" customFormat="1" ht="12.75">
      <c r="E81" s="283"/>
    </row>
    <row r="82" s="280" customFormat="1" ht="12.75">
      <c r="E82" s="283"/>
    </row>
    <row r="83" spans="2:5" s="280" customFormat="1" ht="12.75">
      <c r="B83" s="282"/>
      <c r="C83" s="282"/>
      <c r="D83" s="282"/>
      <c r="E83" s="287"/>
    </row>
    <row r="84" s="280" customFormat="1" ht="12.75"/>
    <row r="85" s="280" customFormat="1" ht="12.75"/>
    <row r="86" spans="2:4" ht="12.75">
      <c r="B86" s="280"/>
      <c r="C86" s="280"/>
      <c r="D86" s="289"/>
    </row>
    <row r="88" ht="12.75">
      <c r="E88" s="290"/>
    </row>
    <row r="89" ht="12.75">
      <c r="E89" s="290"/>
    </row>
    <row r="90" spans="2:5" s="280" customFormat="1" ht="12.75">
      <c r="B90" s="282"/>
      <c r="C90" s="282"/>
      <c r="D90" s="282"/>
      <c r="E90" s="287"/>
    </row>
    <row r="91" spans="4:5" s="280" customFormat="1" ht="12.75">
      <c r="D91" s="282"/>
      <c r="E91" s="282"/>
    </row>
    <row r="92" s="280" customFormat="1" ht="12.75"/>
    <row r="93" s="280" customFormat="1" ht="12.75"/>
    <row r="94" spans="2:4" ht="12.75">
      <c r="B94" s="280"/>
      <c r="C94" s="280"/>
      <c r="D94" s="289"/>
    </row>
    <row r="95" ht="12.75">
      <c r="E95" s="290"/>
    </row>
  </sheetData>
  <sheetProtection/>
  <mergeCells count="1">
    <mergeCell ref="C54:D5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57421875" style="274" customWidth="1"/>
    <col min="2" max="2" width="12.28125" style="274" customWidth="1"/>
    <col min="3" max="3" width="12.140625" style="274" customWidth="1"/>
    <col min="4" max="4" width="15.7109375" style="274" customWidth="1"/>
    <col min="5" max="5" width="10.8515625" style="274" customWidth="1"/>
    <col min="6" max="6" width="12.7109375" style="274" customWidth="1"/>
    <col min="7" max="7" width="16.140625" style="274" customWidth="1"/>
    <col min="8" max="8" width="14.28125" style="274" customWidth="1"/>
    <col min="9" max="9" width="12.8515625" style="274" customWidth="1"/>
    <col min="10" max="10" width="12.421875" style="274" customWidth="1"/>
    <col min="11" max="16384" width="9.140625" style="274" customWidth="1"/>
  </cols>
  <sheetData>
    <row r="1" spans="1:10" ht="15.75">
      <c r="A1"/>
      <c r="B1" s="156"/>
      <c r="C1" s="157" t="s">
        <v>499</v>
      </c>
      <c r="D1" s="157"/>
      <c r="E1" s="157"/>
      <c r="F1" s="157"/>
      <c r="G1" s="157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 s="131" t="s">
        <v>118</v>
      </c>
      <c r="C3" s="131" t="s">
        <v>119</v>
      </c>
      <c r="D3" s="131" t="s">
        <v>259</v>
      </c>
      <c r="E3" s="131" t="s">
        <v>122</v>
      </c>
      <c r="F3" s="131">
        <v>21.7</v>
      </c>
      <c r="G3" s="131">
        <v>11.2</v>
      </c>
      <c r="H3" s="131" t="s">
        <v>120</v>
      </c>
      <c r="I3" s="131" t="s">
        <v>500</v>
      </c>
      <c r="J3" s="131" t="s">
        <v>121</v>
      </c>
    </row>
    <row r="4" spans="1:10" ht="12.75">
      <c r="A4"/>
      <c r="B4" s="158" t="s">
        <v>501</v>
      </c>
      <c r="C4" s="158">
        <v>1608372</v>
      </c>
      <c r="D4" s="158"/>
      <c r="E4" s="158">
        <f>F4+G4</f>
        <v>364140</v>
      </c>
      <c r="F4" s="158">
        <f>195774+44376/2</f>
        <v>217962</v>
      </c>
      <c r="G4" s="158">
        <f>123990+44376/2</f>
        <v>146178</v>
      </c>
      <c r="H4" s="158">
        <v>158837</v>
      </c>
      <c r="I4" s="158">
        <v>5000</v>
      </c>
      <c r="J4" s="158">
        <f>C4-G4-H4-I4</f>
        <v>1298357</v>
      </c>
    </row>
    <row r="5" spans="1:10" ht="12.75">
      <c r="A5"/>
      <c r="B5" s="158" t="s">
        <v>502</v>
      </c>
      <c r="C5" s="158">
        <v>1635559</v>
      </c>
      <c r="D5" s="158"/>
      <c r="E5" s="158">
        <f aca="true" t="shared" si="0" ref="E5:E13">F5+G5</f>
        <v>371725</v>
      </c>
      <c r="F5" s="158">
        <f>199852+45300/2</f>
        <v>222502</v>
      </c>
      <c r="G5" s="158">
        <f>126573+45300/2</f>
        <v>149223</v>
      </c>
      <c r="H5" s="158">
        <v>161556</v>
      </c>
      <c r="I5" s="158">
        <v>5000</v>
      </c>
      <c r="J5" s="158">
        <f aca="true" t="shared" si="1" ref="J5:J13">C5-G5-H5-I5</f>
        <v>1319780</v>
      </c>
    </row>
    <row r="6" spans="1:10" ht="12.75">
      <c r="A6"/>
      <c r="B6" s="158" t="s">
        <v>503</v>
      </c>
      <c r="C6" s="158">
        <v>1543355</v>
      </c>
      <c r="D6" s="158"/>
      <c r="E6" s="158">
        <f t="shared" si="0"/>
        <v>354212</v>
      </c>
      <c r="F6" s="158">
        <f>190436+43166/2</f>
        <v>212019</v>
      </c>
      <c r="G6" s="158">
        <f>120610+43166/2</f>
        <v>142193</v>
      </c>
      <c r="H6" s="158">
        <v>152336</v>
      </c>
      <c r="I6" s="158">
        <v>12500</v>
      </c>
      <c r="J6" s="158">
        <f t="shared" si="1"/>
        <v>1236326</v>
      </c>
    </row>
    <row r="7" spans="1:10" ht="12.75">
      <c r="A7"/>
      <c r="B7" s="158" t="s">
        <v>504</v>
      </c>
      <c r="C7" s="158">
        <v>1517963</v>
      </c>
      <c r="D7" s="158"/>
      <c r="E7" s="158">
        <f t="shared" si="0"/>
        <v>347126</v>
      </c>
      <c r="F7" s="158">
        <f>186627+42302/2</f>
        <v>207778</v>
      </c>
      <c r="G7" s="158">
        <f>118197+42302/2</f>
        <v>139348</v>
      </c>
      <c r="H7" s="158">
        <v>149796</v>
      </c>
      <c r="I7" s="158">
        <v>5000</v>
      </c>
      <c r="J7" s="158">
        <f t="shared" si="1"/>
        <v>1223819</v>
      </c>
    </row>
    <row r="8" spans="1:10" ht="12.75">
      <c r="A8"/>
      <c r="B8" s="158" t="s">
        <v>505</v>
      </c>
      <c r="C8" s="158">
        <f>1540653</f>
        <v>1540653</v>
      </c>
      <c r="D8" s="158"/>
      <c r="E8" s="158">
        <f t="shared" si="0"/>
        <v>353458</v>
      </c>
      <c r="F8" s="158">
        <f>190031+43074/2</f>
        <v>211568</v>
      </c>
      <c r="G8" s="158">
        <f>120353+43074/2</f>
        <v>141890</v>
      </c>
      <c r="H8" s="158">
        <v>152065</v>
      </c>
      <c r="I8" s="158">
        <v>5000</v>
      </c>
      <c r="J8" s="158">
        <f t="shared" si="1"/>
        <v>1241698</v>
      </c>
    </row>
    <row r="9" spans="1:10" ht="12.75">
      <c r="A9"/>
      <c r="B9" s="158" t="s">
        <v>506</v>
      </c>
      <c r="C9" s="158">
        <v>8499059</v>
      </c>
      <c r="D9" s="158"/>
      <c r="E9" s="158">
        <f t="shared" si="0"/>
        <v>371783</v>
      </c>
      <c r="F9" s="158">
        <f>199883+45307/2</f>
        <v>222536.5</v>
      </c>
      <c r="G9" s="158">
        <f>126593+45307/2</f>
        <v>149246.5</v>
      </c>
      <c r="H9" s="158">
        <v>847906</v>
      </c>
      <c r="I9" s="158">
        <v>5000</v>
      </c>
      <c r="J9" s="158">
        <f t="shared" si="1"/>
        <v>7496906.5</v>
      </c>
    </row>
    <row r="10" spans="1:10" ht="12.75">
      <c r="A10" s="158"/>
      <c r="B10" s="158" t="s">
        <v>507</v>
      </c>
      <c r="C10" s="158">
        <v>2025615</v>
      </c>
      <c r="D10" s="158"/>
      <c r="E10" s="158">
        <f t="shared" si="0"/>
        <v>373629</v>
      </c>
      <c r="F10" s="158">
        <f>200875+45532/2+1</f>
        <v>223642</v>
      </c>
      <c r="G10" s="158">
        <f>127221+45532/2</f>
        <v>149987</v>
      </c>
      <c r="H10" s="158">
        <v>201562</v>
      </c>
      <c r="I10" s="158">
        <v>5000</v>
      </c>
      <c r="J10" s="158">
        <f t="shared" si="1"/>
        <v>1669066</v>
      </c>
    </row>
    <row r="11" spans="1:10" ht="12.75">
      <c r="A11"/>
      <c r="B11" s="158" t="s">
        <v>508</v>
      </c>
      <c r="C11" s="158">
        <v>1595299</v>
      </c>
      <c r="D11" s="158"/>
      <c r="E11" s="158">
        <f t="shared" si="0"/>
        <v>373834</v>
      </c>
      <c r="F11" s="158">
        <f>200986+45557/2</f>
        <v>223764.5</v>
      </c>
      <c r="G11" s="158">
        <f>127291+45557/2</f>
        <v>150069.5</v>
      </c>
      <c r="H11" s="158">
        <v>158530</v>
      </c>
      <c r="I11" s="158">
        <v>5000</v>
      </c>
      <c r="J11" s="158">
        <f t="shared" si="1"/>
        <v>1281699.5</v>
      </c>
    </row>
    <row r="12" spans="1:10" ht="12.75">
      <c r="A12"/>
      <c r="B12" s="158" t="s">
        <v>260</v>
      </c>
      <c r="C12" s="158">
        <v>1594811</v>
      </c>
      <c r="D12" s="158"/>
      <c r="E12" s="158">
        <f t="shared" si="0"/>
        <v>373697</v>
      </c>
      <c r="F12" s="158">
        <f>200912+45540/2</f>
        <v>223682</v>
      </c>
      <c r="G12" s="158">
        <f>127245+45540/2</f>
        <v>150015</v>
      </c>
      <c r="H12" s="158">
        <v>158481</v>
      </c>
      <c r="I12" s="158">
        <v>5000</v>
      </c>
      <c r="J12" s="158">
        <f t="shared" si="1"/>
        <v>1281315</v>
      </c>
    </row>
    <row r="13" spans="1:10" ht="12.75">
      <c r="A13"/>
      <c r="B13" s="158" t="s">
        <v>261</v>
      </c>
      <c r="C13" s="158">
        <v>1594128</v>
      </c>
      <c r="D13" s="158"/>
      <c r="E13" s="158">
        <f t="shared" si="0"/>
        <v>373507</v>
      </c>
      <c r="F13" s="158">
        <f>200810+45517/2</f>
        <v>223568.5</v>
      </c>
      <c r="G13" s="158">
        <f>127180+45517/2</f>
        <v>149938.5</v>
      </c>
      <c r="H13" s="158">
        <v>158413</v>
      </c>
      <c r="I13" s="158">
        <v>5000</v>
      </c>
      <c r="J13" s="158">
        <f t="shared" si="1"/>
        <v>1280776.5</v>
      </c>
    </row>
    <row r="14" spans="1:10" ht="12.75">
      <c r="A14"/>
      <c r="B14" s="158" t="s">
        <v>509</v>
      </c>
      <c r="C14" s="158">
        <v>1595299</v>
      </c>
      <c r="D14" s="158"/>
      <c r="E14" s="158">
        <f>328276</f>
        <v>328276</v>
      </c>
      <c r="F14" s="158">
        <f>200986+45557/2</f>
        <v>223764.5</v>
      </c>
      <c r="G14" s="158">
        <f>127291+45557/2</f>
        <v>150069.5</v>
      </c>
      <c r="H14" s="158">
        <f>158530</f>
        <v>158530</v>
      </c>
      <c r="I14" s="158">
        <v>5000</v>
      </c>
      <c r="J14" s="158">
        <f>C14-G14-H14-I14</f>
        <v>1281699.5</v>
      </c>
    </row>
    <row r="15" spans="1:10" ht="12.75">
      <c r="A15"/>
      <c r="B15" s="158" t="s">
        <v>510</v>
      </c>
      <c r="C15" s="158">
        <v>1839743</v>
      </c>
      <c r="D15" s="158"/>
      <c r="E15" s="158">
        <f>223764+150069</f>
        <v>373833</v>
      </c>
      <c r="F15" s="158">
        <f>223764</f>
        <v>223764</v>
      </c>
      <c r="G15" s="158">
        <v>150069</v>
      </c>
      <c r="H15" s="158">
        <v>182974</v>
      </c>
      <c r="I15" s="158">
        <v>5000</v>
      </c>
      <c r="J15" s="158">
        <f>C15-G15-H15-I15</f>
        <v>1501700</v>
      </c>
    </row>
    <row r="16" spans="1:10" ht="12.75">
      <c r="A16"/>
      <c r="B16" s="159" t="s">
        <v>390</v>
      </c>
      <c r="C16" s="159">
        <f>SUM(C4:C15)</f>
        <v>26589856</v>
      </c>
      <c r="D16" s="159">
        <f aca="true" t="shared" si="2" ref="D16:J16">SUM(D4:D15)</f>
        <v>0</v>
      </c>
      <c r="E16" s="159">
        <f t="shared" si="2"/>
        <v>4359220</v>
      </c>
      <c r="F16" s="159">
        <f t="shared" si="2"/>
        <v>2636551</v>
      </c>
      <c r="G16" s="159">
        <f t="shared" si="2"/>
        <v>1768227</v>
      </c>
      <c r="H16" s="159">
        <f t="shared" si="2"/>
        <v>2640986</v>
      </c>
      <c r="I16" s="159">
        <f t="shared" si="2"/>
        <v>67500</v>
      </c>
      <c r="J16" s="159">
        <f t="shared" si="2"/>
        <v>22113143</v>
      </c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ht="12.75">
      <c r="C19" s="275">
        <f>C16+F16</f>
        <v>29226407</v>
      </c>
    </row>
    <row r="20" ht="12.75">
      <c r="C20" s="275">
        <f>C19+108000</f>
        <v>29334407</v>
      </c>
    </row>
    <row r="21" ht="12.75">
      <c r="D21" s="275"/>
    </row>
    <row r="22" ht="12.75">
      <c r="C22" s="27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Q59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14.00390625" style="0" customWidth="1"/>
    <col min="4" max="4" width="8.57421875" style="0" customWidth="1"/>
    <col min="5" max="5" width="12.28125" style="0" customWidth="1"/>
    <col min="6" max="6" width="15.00390625" style="0" customWidth="1"/>
    <col min="7" max="7" width="12.00390625" style="0" customWidth="1"/>
    <col min="8" max="8" width="13.8515625" style="0" customWidth="1"/>
    <col min="9" max="9" width="12.8515625" style="0" customWidth="1"/>
    <col min="10" max="10" width="12.57421875" style="0" customWidth="1"/>
    <col min="11" max="12" width="11.7109375" style="0" customWidth="1"/>
    <col min="13" max="13" width="12.140625" style="0" customWidth="1"/>
    <col min="14" max="14" width="15.57421875" style="0" bestFit="1" customWidth="1"/>
    <col min="15" max="15" width="11.8515625" style="0" bestFit="1" customWidth="1"/>
    <col min="16" max="16" width="13.421875" style="0" customWidth="1"/>
  </cols>
  <sheetData>
    <row r="4" spans="6:10" ht="18">
      <c r="F4" s="75"/>
      <c r="G4" s="77"/>
      <c r="H4" s="78" t="s">
        <v>470</v>
      </c>
      <c r="I4" s="78"/>
      <c r="J4" s="79"/>
    </row>
    <row r="5" spans="2:14" ht="12.75">
      <c r="B5" s="80"/>
      <c r="D5" s="80">
        <v>9</v>
      </c>
      <c r="E5" s="80">
        <v>10</v>
      </c>
      <c r="F5" s="80">
        <v>11</v>
      </c>
      <c r="G5" s="80">
        <v>12</v>
      </c>
      <c r="H5" s="80">
        <v>13</v>
      </c>
      <c r="I5" s="80">
        <v>14</v>
      </c>
      <c r="J5" s="80">
        <v>15</v>
      </c>
      <c r="K5" s="80">
        <v>16</v>
      </c>
      <c r="L5" s="80">
        <v>17</v>
      </c>
      <c r="M5" s="80">
        <v>20</v>
      </c>
      <c r="N5" s="80">
        <v>27</v>
      </c>
    </row>
    <row r="6" spans="2:17" ht="12.75">
      <c r="B6" s="81"/>
      <c r="C6" t="s">
        <v>471</v>
      </c>
      <c r="D6" s="81" t="s">
        <v>92</v>
      </c>
      <c r="E6" s="81" t="s">
        <v>93</v>
      </c>
      <c r="F6" s="81" t="s">
        <v>94</v>
      </c>
      <c r="G6" s="81" t="s">
        <v>95</v>
      </c>
      <c r="H6" s="81" t="s">
        <v>96</v>
      </c>
      <c r="I6" s="81" t="s">
        <v>97</v>
      </c>
      <c r="J6" s="81" t="s">
        <v>98</v>
      </c>
      <c r="K6" s="81" t="s">
        <v>99</v>
      </c>
      <c r="L6" s="81" t="s">
        <v>100</v>
      </c>
      <c r="M6" s="81" t="s">
        <v>101</v>
      </c>
      <c r="N6" s="291" t="s">
        <v>102</v>
      </c>
      <c r="O6" s="66">
        <f>G19-J19-L19-M7-N19</f>
        <v>-17077540</v>
      </c>
      <c r="P6" s="292" t="s">
        <v>472</v>
      </c>
      <c r="Q6" s="292" t="s">
        <v>473</v>
      </c>
    </row>
    <row r="7" spans="2:17" ht="12.75">
      <c r="B7" s="81" t="s">
        <v>103</v>
      </c>
      <c r="C7" s="172">
        <f aca="true" t="shared" si="0" ref="C7:C19">F7+E7</f>
        <v>72263105</v>
      </c>
      <c r="D7" s="81">
        <v>0</v>
      </c>
      <c r="E7" s="81">
        <v>0</v>
      </c>
      <c r="F7" s="81">
        <v>72263105</v>
      </c>
      <c r="G7" s="81">
        <v>14452621</v>
      </c>
      <c r="H7" s="81">
        <v>2168456</v>
      </c>
      <c r="I7" s="81">
        <v>48761408</v>
      </c>
      <c r="J7" s="81">
        <v>9752282</v>
      </c>
      <c r="K7" s="81">
        <v>7313665</v>
      </c>
      <c r="L7" s="81">
        <v>1462733</v>
      </c>
      <c r="M7" s="81">
        <v>3207593</v>
      </c>
      <c r="N7" s="81">
        <v>30013</v>
      </c>
      <c r="P7" s="74">
        <f>43457.4</f>
        <v>43457.4</v>
      </c>
      <c r="Q7" s="74">
        <f>P7*0.2</f>
        <v>8691.480000000001</v>
      </c>
    </row>
    <row r="8" spans="2:17" ht="12.75">
      <c r="B8" s="81" t="s">
        <v>104</v>
      </c>
      <c r="C8" s="172">
        <f t="shared" si="0"/>
        <v>129659875</v>
      </c>
      <c r="D8" s="81">
        <v>0</v>
      </c>
      <c r="E8" s="81">
        <v>0</v>
      </c>
      <c r="F8" s="81">
        <v>129659875</v>
      </c>
      <c r="G8" s="81">
        <v>25931975</v>
      </c>
      <c r="H8" s="81">
        <v>2107160</v>
      </c>
      <c r="I8" s="81">
        <v>112507105</v>
      </c>
      <c r="J8" s="81">
        <v>22501421</v>
      </c>
      <c r="K8" s="81">
        <v>4729780</v>
      </c>
      <c r="L8" s="81">
        <v>945956</v>
      </c>
      <c r="M8" s="81">
        <v>0</v>
      </c>
      <c r="N8" s="81">
        <v>2484598</v>
      </c>
      <c r="P8" s="84">
        <v>21974.6</v>
      </c>
      <c r="Q8" s="74">
        <f aca="true" t="shared" si="1" ref="Q8:Q19">P8*0.2</f>
        <v>4394.92</v>
      </c>
    </row>
    <row r="9" spans="2:17" ht="12.75">
      <c r="B9" s="81" t="s">
        <v>105</v>
      </c>
      <c r="C9" s="172">
        <f t="shared" si="0"/>
        <v>109148093</v>
      </c>
      <c r="D9" s="81">
        <v>0</v>
      </c>
      <c r="E9" s="81">
        <v>987799</v>
      </c>
      <c r="F9" s="81">
        <v>108160294</v>
      </c>
      <c r="G9" s="81">
        <v>21632059</v>
      </c>
      <c r="H9" s="81">
        <v>3999782</v>
      </c>
      <c r="I9" s="81">
        <v>82318782</v>
      </c>
      <c r="J9" s="81">
        <v>16463756</v>
      </c>
      <c r="K9" s="81">
        <v>14600095</v>
      </c>
      <c r="L9" s="81">
        <v>2920019</v>
      </c>
      <c r="M9" s="81">
        <v>0</v>
      </c>
      <c r="N9" s="81">
        <v>2248284</v>
      </c>
      <c r="P9" s="84">
        <v>382257</v>
      </c>
      <c r="Q9" s="74">
        <f t="shared" si="1"/>
        <v>76451.40000000001</v>
      </c>
    </row>
    <row r="10" spans="2:17" ht="12.75">
      <c r="B10" s="81" t="s">
        <v>106</v>
      </c>
      <c r="C10" s="172">
        <f t="shared" si="0"/>
        <v>109398271</v>
      </c>
      <c r="D10" s="81">
        <v>0</v>
      </c>
      <c r="E10" s="81">
        <v>8503241</v>
      </c>
      <c r="F10" s="81">
        <v>100895030</v>
      </c>
      <c r="G10" s="81">
        <v>20179006</v>
      </c>
      <c r="H10" s="81">
        <v>2417787</v>
      </c>
      <c r="I10" s="81">
        <v>78266515</v>
      </c>
      <c r="J10" s="81">
        <v>15653303</v>
      </c>
      <c r="K10" s="81">
        <v>15267820</v>
      </c>
      <c r="L10" s="81">
        <v>3053564</v>
      </c>
      <c r="M10" s="81">
        <v>0</v>
      </c>
      <c r="N10" s="81">
        <v>1472139</v>
      </c>
      <c r="P10" s="84">
        <v>38225</v>
      </c>
      <c r="Q10" s="74">
        <f t="shared" si="1"/>
        <v>7645</v>
      </c>
    </row>
    <row r="11" spans="2:17" ht="12.75">
      <c r="B11" s="81" t="s">
        <v>107</v>
      </c>
      <c r="C11" s="172">
        <f t="shared" si="0"/>
        <v>103164325</v>
      </c>
      <c r="D11" s="81">
        <v>0</v>
      </c>
      <c r="E11" s="81">
        <v>0</v>
      </c>
      <c r="F11" s="81">
        <v>103164325</v>
      </c>
      <c r="G11" s="81">
        <v>20632865</v>
      </c>
      <c r="H11" s="81">
        <v>137136314</v>
      </c>
      <c r="I11" s="81">
        <v>76387085</v>
      </c>
      <c r="J11" s="81">
        <v>15277417</v>
      </c>
      <c r="K11" s="81">
        <v>14022029</v>
      </c>
      <c r="L11" s="81">
        <v>2804406</v>
      </c>
      <c r="M11" s="81">
        <v>0</v>
      </c>
      <c r="N11" s="81">
        <v>2551042</v>
      </c>
      <c r="P11" s="74"/>
      <c r="Q11" s="74">
        <f t="shared" si="1"/>
        <v>0</v>
      </c>
    </row>
    <row r="12" spans="2:17" ht="12.75">
      <c r="B12" s="81" t="s">
        <v>108</v>
      </c>
      <c r="C12" s="172">
        <f t="shared" si="0"/>
        <v>85115850</v>
      </c>
      <c r="D12" s="81">
        <v>0</v>
      </c>
      <c r="E12" s="162">
        <v>0</v>
      </c>
      <c r="F12" s="81">
        <v>85115850</v>
      </c>
      <c r="G12" s="81">
        <v>17023170</v>
      </c>
      <c r="H12" s="81">
        <v>4594197</v>
      </c>
      <c r="I12" s="81">
        <v>79248275</v>
      </c>
      <c r="J12" s="81">
        <v>15849655</v>
      </c>
      <c r="K12" s="81">
        <v>9513145</v>
      </c>
      <c r="L12" s="81">
        <v>1902629</v>
      </c>
      <c r="M12" s="81">
        <v>0</v>
      </c>
      <c r="N12" s="81">
        <v>0</v>
      </c>
      <c r="P12" s="84">
        <v>48849</v>
      </c>
      <c r="Q12" s="74">
        <f t="shared" si="1"/>
        <v>9769.800000000001</v>
      </c>
    </row>
    <row r="13" spans="2:17" ht="12.75">
      <c r="B13" s="81" t="s">
        <v>109</v>
      </c>
      <c r="C13" s="172">
        <f t="shared" si="0"/>
        <v>111875045</v>
      </c>
      <c r="D13" s="81">
        <v>0</v>
      </c>
      <c r="E13" s="81">
        <v>21229194</v>
      </c>
      <c r="F13" s="81">
        <v>90645851</v>
      </c>
      <c r="G13" s="81">
        <v>18129170</v>
      </c>
      <c r="H13" s="81">
        <v>1825172</v>
      </c>
      <c r="I13" s="81">
        <v>80126240</v>
      </c>
      <c r="J13" s="81">
        <v>16025248</v>
      </c>
      <c r="K13" s="81">
        <v>3200230</v>
      </c>
      <c r="L13" s="81">
        <v>640046</v>
      </c>
      <c r="M13" s="81">
        <v>729114</v>
      </c>
      <c r="N13" s="81">
        <v>734762</v>
      </c>
      <c r="P13" s="84">
        <v>47757</v>
      </c>
      <c r="Q13" s="74">
        <f t="shared" si="1"/>
        <v>9551.4</v>
      </c>
    </row>
    <row r="14" spans="2:17" ht="12.75">
      <c r="B14" s="81" t="s">
        <v>110</v>
      </c>
      <c r="C14" s="172">
        <f t="shared" si="0"/>
        <v>33403115</v>
      </c>
      <c r="D14" s="81">
        <v>0</v>
      </c>
      <c r="E14" s="81">
        <v>0</v>
      </c>
      <c r="F14" s="81">
        <v>33403115</v>
      </c>
      <c r="G14" s="81">
        <v>6680623</v>
      </c>
      <c r="H14" s="81">
        <v>1046128</v>
      </c>
      <c r="I14" s="81">
        <v>24163255</v>
      </c>
      <c r="J14" s="81">
        <v>4832651</v>
      </c>
      <c r="K14" s="81">
        <v>2476980</v>
      </c>
      <c r="L14" s="81">
        <v>495396</v>
      </c>
      <c r="M14" s="81">
        <v>0</v>
      </c>
      <c r="N14" s="81">
        <v>1352576</v>
      </c>
      <c r="P14" s="84">
        <v>47758</v>
      </c>
      <c r="Q14" s="74">
        <f t="shared" si="1"/>
        <v>9551.6</v>
      </c>
    </row>
    <row r="15" spans="2:17" ht="12.75">
      <c r="B15" s="81" t="s">
        <v>111</v>
      </c>
      <c r="C15" s="172">
        <f t="shared" si="0"/>
        <v>127275711</v>
      </c>
      <c r="D15" s="81">
        <v>0</v>
      </c>
      <c r="E15" s="81">
        <v>15158917</v>
      </c>
      <c r="F15" s="81">
        <v>112116794</v>
      </c>
      <c r="G15" s="81">
        <v>22423359</v>
      </c>
      <c r="H15" s="81">
        <v>2309152</v>
      </c>
      <c r="I15" s="81">
        <v>107106925</v>
      </c>
      <c r="J15" s="81">
        <v>21421385</v>
      </c>
      <c r="K15" s="81">
        <v>3521061</v>
      </c>
      <c r="L15" s="81">
        <v>704212</v>
      </c>
      <c r="M15" s="81">
        <v>0</v>
      </c>
      <c r="N15" s="81">
        <v>297762</v>
      </c>
      <c r="P15" s="84">
        <v>535987</v>
      </c>
      <c r="Q15" s="74">
        <f t="shared" si="1"/>
        <v>107197.40000000001</v>
      </c>
    </row>
    <row r="16" spans="2:17" ht="12.75">
      <c r="B16" s="81" t="s">
        <v>112</v>
      </c>
      <c r="C16" s="172">
        <f t="shared" si="0"/>
        <v>101770651</v>
      </c>
      <c r="D16" s="81">
        <v>0</v>
      </c>
      <c r="E16" s="81">
        <v>24979514</v>
      </c>
      <c r="F16" s="81">
        <v>76791137</v>
      </c>
      <c r="G16" s="81">
        <v>15358227</v>
      </c>
      <c r="H16" s="81">
        <v>7835371</v>
      </c>
      <c r="I16" s="81">
        <v>78896985</v>
      </c>
      <c r="J16" s="81">
        <v>15779397</v>
      </c>
      <c r="K16" s="81">
        <v>7099475</v>
      </c>
      <c r="L16" s="81">
        <v>1419895</v>
      </c>
      <c r="M16" s="81">
        <v>1841065</v>
      </c>
      <c r="N16" s="81">
        <v>0</v>
      </c>
      <c r="P16" s="84">
        <v>49085</v>
      </c>
      <c r="Q16" s="74">
        <f t="shared" si="1"/>
        <v>9817</v>
      </c>
    </row>
    <row r="17" spans="2:17" ht="12.75">
      <c r="B17" s="81" t="s">
        <v>113</v>
      </c>
      <c r="C17" s="172">
        <f t="shared" si="0"/>
        <v>82840652</v>
      </c>
      <c r="D17" s="81"/>
      <c r="E17" s="81">
        <v>21125801</v>
      </c>
      <c r="F17" s="81">
        <v>61714851</v>
      </c>
      <c r="G17" s="81">
        <v>12342970</v>
      </c>
      <c r="H17" s="81">
        <v>3871776</v>
      </c>
      <c r="I17" s="81">
        <v>110157080</v>
      </c>
      <c r="J17" s="81">
        <v>22031416</v>
      </c>
      <c r="K17" s="81">
        <v>4557466</v>
      </c>
      <c r="L17" s="81">
        <v>911493</v>
      </c>
      <c r="M17" s="81">
        <v>12441004</v>
      </c>
      <c r="N17" s="84"/>
      <c r="P17" s="84">
        <v>79707</v>
      </c>
      <c r="Q17" s="74">
        <f t="shared" si="1"/>
        <v>15941.400000000001</v>
      </c>
    </row>
    <row r="18" spans="2:17" ht="12.75">
      <c r="B18" s="81" t="s">
        <v>114</v>
      </c>
      <c r="C18" s="172">
        <f t="shared" si="0"/>
        <v>118148183</v>
      </c>
      <c r="D18" s="81"/>
      <c r="E18" s="81">
        <v>30731027</v>
      </c>
      <c r="F18" s="81">
        <v>87417156</v>
      </c>
      <c r="G18" s="81">
        <v>17483431</v>
      </c>
      <c r="H18" s="81">
        <v>2699387</v>
      </c>
      <c r="I18" s="81">
        <v>98687740</v>
      </c>
      <c r="J18" s="81">
        <v>19737548</v>
      </c>
      <c r="K18" s="81">
        <v>11912097</v>
      </c>
      <c r="L18" s="81">
        <v>2382419</v>
      </c>
      <c r="M18" s="81">
        <v>17077540</v>
      </c>
      <c r="N18" s="81"/>
      <c r="P18" s="84">
        <v>17328</v>
      </c>
      <c r="Q18" s="74">
        <f t="shared" si="1"/>
        <v>3465.6000000000004</v>
      </c>
    </row>
    <row r="19" spans="2:17" ht="12.75">
      <c r="B19" s="85"/>
      <c r="C19" s="172">
        <f t="shared" si="0"/>
        <v>1184062876</v>
      </c>
      <c r="D19" s="85"/>
      <c r="E19" s="85">
        <f>SUM(E7:E18)</f>
        <v>122715493</v>
      </c>
      <c r="F19" s="85">
        <f aca="true" t="shared" si="2" ref="F19:N19">SUM(F7:F18)</f>
        <v>1061347383</v>
      </c>
      <c r="G19" s="85">
        <f t="shared" si="2"/>
        <v>212269476</v>
      </c>
      <c r="H19" s="85">
        <f t="shared" si="2"/>
        <v>172010682</v>
      </c>
      <c r="I19" s="85">
        <f t="shared" si="2"/>
        <v>976627395</v>
      </c>
      <c r="J19" s="85">
        <f t="shared" si="2"/>
        <v>195325479</v>
      </c>
      <c r="K19" s="85">
        <f t="shared" si="2"/>
        <v>98213843</v>
      </c>
      <c r="L19" s="85">
        <f t="shared" si="2"/>
        <v>19642768</v>
      </c>
      <c r="M19" s="85">
        <f t="shared" si="2"/>
        <v>35296316</v>
      </c>
      <c r="N19" s="85">
        <f t="shared" si="2"/>
        <v>11171176</v>
      </c>
      <c r="P19" s="84">
        <f>SUM(P7:P18)</f>
        <v>1312385</v>
      </c>
      <c r="Q19" s="74">
        <f t="shared" si="1"/>
        <v>262477</v>
      </c>
    </row>
    <row r="20" spans="2:14" ht="12.75">
      <c r="B20" s="86"/>
      <c r="E20" s="80"/>
      <c r="F20" s="80"/>
      <c r="G20" s="80"/>
      <c r="H20" s="80"/>
      <c r="I20" s="80"/>
      <c r="J20" s="80"/>
      <c r="K20" s="80"/>
      <c r="L20" s="80"/>
      <c r="M20" s="80"/>
      <c r="N20" s="87"/>
    </row>
    <row r="22" ht="12.75">
      <c r="M22" s="66">
        <f>G19-J19-L19-M7-N19</f>
        <v>-17077540</v>
      </c>
    </row>
    <row r="23" spans="3:8" ht="12.75">
      <c r="C23" s="293"/>
      <c r="D23" s="293"/>
      <c r="E23" s="293" t="s">
        <v>474</v>
      </c>
      <c r="F23" s="293"/>
      <c r="G23" s="293"/>
      <c r="H23" s="293"/>
    </row>
    <row r="24" spans="3:8" ht="17.25" customHeight="1" thickBot="1">
      <c r="C24" s="294" t="s">
        <v>475</v>
      </c>
      <c r="D24" s="294"/>
      <c r="E24" s="294"/>
      <c r="F24" s="294"/>
      <c r="G24" s="295"/>
      <c r="H24" s="158">
        <f>1180764530+7916</f>
        <v>1180772446</v>
      </c>
    </row>
    <row r="25" spans="3:8" ht="17.25" customHeight="1" thickBot="1">
      <c r="C25" s="296" t="s">
        <v>476</v>
      </c>
      <c r="D25" s="296"/>
      <c r="E25" s="296"/>
      <c r="F25" s="296"/>
      <c r="G25" s="297"/>
      <c r="H25" s="158">
        <f>4936857.87</f>
        <v>4936857.87</v>
      </c>
    </row>
    <row r="26" spans="3:8" ht="17.25" customHeight="1" thickBot="1">
      <c r="C26" s="296" t="s">
        <v>477</v>
      </c>
      <c r="D26" s="296"/>
      <c r="E26" s="296"/>
      <c r="F26" s="296"/>
      <c r="G26" s="297"/>
      <c r="H26" s="158">
        <f>987798.6</f>
        <v>987798.6</v>
      </c>
    </row>
    <row r="27" spans="3:8" ht="12" customHeight="1" thickBot="1">
      <c r="C27" s="296" t="s">
        <v>478</v>
      </c>
      <c r="D27" s="296"/>
      <c r="E27" s="296" t="s">
        <v>479</v>
      </c>
      <c r="F27" s="296"/>
      <c r="G27" s="297"/>
      <c r="H27" s="158">
        <v>47337.59</v>
      </c>
    </row>
    <row r="28" spans="3:8" ht="12" customHeight="1">
      <c r="C28" s="298" t="s">
        <v>480</v>
      </c>
      <c r="D28" s="298"/>
      <c r="E28" s="298"/>
      <c r="F28" s="298"/>
      <c r="H28" s="299">
        <f>SUM(H24:H27)</f>
        <v>1186744440.0599997</v>
      </c>
    </row>
    <row r="29" ht="12" customHeight="1">
      <c r="H29" s="65"/>
    </row>
    <row r="30" ht="12.75">
      <c r="H30" s="65"/>
    </row>
    <row r="31" spans="6:8" ht="13.5" thickBot="1">
      <c r="F31" s="294" t="s">
        <v>481</v>
      </c>
      <c r="G31" s="294"/>
      <c r="H31" s="300">
        <f>E19+F19</f>
        <v>1184062876</v>
      </c>
    </row>
    <row r="32" ht="12.75">
      <c r="H32" s="65"/>
    </row>
    <row r="33" spans="6:8" ht="13.5" thickBot="1">
      <c r="F33" s="294" t="s">
        <v>482</v>
      </c>
      <c r="G33" s="294"/>
      <c r="H33" s="300">
        <f>-10494184.47</f>
        <v>-10494184.47</v>
      </c>
    </row>
    <row r="34" spans="6:8" ht="12.75">
      <c r="F34" t="s">
        <v>483</v>
      </c>
      <c r="H34" s="65">
        <v>30671716.57</v>
      </c>
    </row>
    <row r="35" spans="6:8" ht="13.5" thickBot="1">
      <c r="F35" s="294" t="s">
        <v>484</v>
      </c>
      <c r="G35" s="294"/>
      <c r="H35" s="300">
        <f>-1312385</f>
        <v>-1312385</v>
      </c>
    </row>
    <row r="36" spans="6:8" ht="12.75">
      <c r="F36" s="279" t="s">
        <v>485</v>
      </c>
      <c r="G36" s="274"/>
      <c r="H36" s="278">
        <v>-16183583</v>
      </c>
    </row>
    <row r="37" spans="6:9" ht="12.75">
      <c r="F37" s="301" t="s">
        <v>486</v>
      </c>
      <c r="G37" s="276"/>
      <c r="H37" s="277">
        <f>SUM(H31:H36)</f>
        <v>1186744440.1</v>
      </c>
      <c r="I37" s="66">
        <f>H28-H37</f>
        <v>-0.040000200271606445</v>
      </c>
    </row>
    <row r="38" spans="2:7" ht="13.5" thickBot="1">
      <c r="B38" s="294" t="s">
        <v>487</v>
      </c>
      <c r="C38" s="294"/>
      <c r="D38" s="294"/>
      <c r="E38" s="294"/>
      <c r="F38" s="294"/>
      <c r="G38" s="274"/>
    </row>
    <row r="39" spans="2:7" ht="13.5" thickBot="1">
      <c r="B39" s="294" t="s">
        <v>488</v>
      </c>
      <c r="C39" s="294"/>
      <c r="D39" s="294"/>
      <c r="E39" s="294"/>
      <c r="F39" s="294"/>
      <c r="G39" s="294"/>
    </row>
    <row r="40" spans="2:7" ht="19.5" thickBot="1">
      <c r="B40" s="302" t="s">
        <v>489</v>
      </c>
      <c r="C40" s="302"/>
      <c r="D40" s="302"/>
      <c r="E40" s="302"/>
      <c r="F40" s="302"/>
      <c r="G40" s="302"/>
    </row>
    <row r="41" spans="2:7" ht="12.75">
      <c r="B41" s="303" t="s">
        <v>490</v>
      </c>
      <c r="C41" s="169" t="s">
        <v>491</v>
      </c>
      <c r="D41" s="169" t="s">
        <v>492</v>
      </c>
      <c r="E41" s="169" t="s">
        <v>493</v>
      </c>
      <c r="F41" s="169" t="s">
        <v>494</v>
      </c>
      <c r="G41" s="304" t="s">
        <v>495</v>
      </c>
    </row>
    <row r="42" spans="2:7" ht="12.75">
      <c r="B42" s="170">
        <v>46814</v>
      </c>
      <c r="C42" s="74" t="s">
        <v>288</v>
      </c>
      <c r="D42" s="74">
        <v>19</v>
      </c>
      <c r="E42" s="74">
        <v>26.01</v>
      </c>
      <c r="F42" s="158">
        <v>20220</v>
      </c>
      <c r="G42" s="305">
        <v>2800999.6</v>
      </c>
    </row>
    <row r="43" spans="2:10" ht="12.75">
      <c r="B43" s="170">
        <v>46814</v>
      </c>
      <c r="C43" s="74" t="str">
        <f>C42</f>
        <v>Tirana Leasing</v>
      </c>
      <c r="D43" s="74">
        <v>21</v>
      </c>
      <c r="E43" s="74">
        <v>27.01</v>
      </c>
      <c r="F43" s="158">
        <v>18750</v>
      </c>
      <c r="G43" s="305">
        <v>2587500</v>
      </c>
      <c r="J43" s="66"/>
    </row>
    <row r="44" spans="2:7" ht="12.75">
      <c r="B44" s="170"/>
      <c r="C44" s="74"/>
      <c r="D44" s="74">
        <v>35</v>
      </c>
      <c r="E44" s="74">
        <v>8.02</v>
      </c>
      <c r="F44" s="158">
        <v>13583.34</v>
      </c>
      <c r="G44" s="305">
        <f>1880613.42</f>
        <v>1880613.42</v>
      </c>
    </row>
    <row r="45" spans="2:7" ht="12.75">
      <c r="B45" s="170">
        <v>46815</v>
      </c>
      <c r="C45" s="74" t="s">
        <v>496</v>
      </c>
      <c r="D45" s="74">
        <v>148</v>
      </c>
      <c r="E45" s="74">
        <v>20.04</v>
      </c>
      <c r="F45" s="158"/>
      <c r="G45" s="305">
        <v>2017605.09</v>
      </c>
    </row>
    <row r="46" spans="2:7" ht="12.75">
      <c r="B46" s="170"/>
      <c r="C46" s="74"/>
      <c r="D46" s="74">
        <v>149</v>
      </c>
      <c r="E46" s="74">
        <v>20.04</v>
      </c>
      <c r="F46" s="158"/>
      <c r="G46" s="305">
        <v>2017605.09</v>
      </c>
    </row>
    <row r="47" spans="2:7" ht="12.75">
      <c r="B47" s="170"/>
      <c r="C47" s="74"/>
      <c r="D47" s="74">
        <v>150</v>
      </c>
      <c r="E47" s="74">
        <v>20.04</v>
      </c>
      <c r="F47" s="158"/>
      <c r="G47" s="305">
        <v>1325855.09</v>
      </c>
    </row>
    <row r="48" spans="2:7" ht="12.75">
      <c r="B48" s="170"/>
      <c r="C48" s="74"/>
      <c r="D48" s="74">
        <v>151</v>
      </c>
      <c r="E48" s="74">
        <v>20.04</v>
      </c>
      <c r="F48" s="158"/>
      <c r="G48" s="305">
        <v>1325855.09</v>
      </c>
    </row>
    <row r="49" spans="2:7" ht="12.75">
      <c r="B49" s="170">
        <v>168151</v>
      </c>
      <c r="C49" s="74" t="s">
        <v>497</v>
      </c>
      <c r="D49" s="74">
        <v>346</v>
      </c>
      <c r="E49" s="74">
        <v>1.09</v>
      </c>
      <c r="F49" s="158">
        <v>16250</v>
      </c>
      <c r="G49" s="305">
        <v>2227550</v>
      </c>
    </row>
    <row r="50" spans="2:7" ht="13.5" thickBot="1">
      <c r="B50" s="306"/>
      <c r="C50" s="171" t="s">
        <v>498</v>
      </c>
      <c r="D50" s="171"/>
      <c r="E50" s="171"/>
      <c r="F50" s="171"/>
      <c r="G50" s="307">
        <f>SUM(G42:G49)</f>
        <v>16183583.379999999</v>
      </c>
    </row>
    <row r="59" ht="12.75">
      <c r="H59" s="66" t="e">
        <f>#REF!-G50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6:O39"/>
  <sheetViews>
    <sheetView zoomScalePageLayoutView="0" workbookViewId="0" topLeftCell="B1">
      <selection activeCell="B10" sqref="B10:H27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3" width="16.28125" style="0" customWidth="1"/>
    <col min="4" max="4" width="13.00390625" style="0" customWidth="1"/>
    <col min="5" max="5" width="12.7109375" style="0" customWidth="1"/>
    <col min="6" max="6" width="11.28125" style="0" customWidth="1"/>
    <col min="7" max="7" width="12.140625" style="0" customWidth="1"/>
    <col min="8" max="8" width="12.421875" style="0" customWidth="1"/>
    <col min="9" max="9" width="11.8515625" style="0" customWidth="1"/>
    <col min="10" max="10" width="11.7109375" style="0" customWidth="1"/>
    <col min="11" max="11" width="10.140625" style="0" customWidth="1"/>
    <col min="12" max="12" width="11.28125" style="0" customWidth="1"/>
    <col min="13" max="13" width="11.7109375" style="0" customWidth="1"/>
    <col min="14" max="14" width="5.7109375" style="0" customWidth="1"/>
    <col min="15" max="15" width="11.140625" style="0" customWidth="1"/>
  </cols>
  <sheetData>
    <row r="6" spans="2:8" ht="18">
      <c r="B6" s="75"/>
      <c r="C6" s="76"/>
      <c r="D6" s="75"/>
      <c r="E6" s="77"/>
      <c r="F6" s="78"/>
      <c r="G6" s="78"/>
      <c r="H6" s="78"/>
    </row>
    <row r="7" spans="2:8" ht="18">
      <c r="B7" s="75"/>
      <c r="C7" s="76"/>
      <c r="D7" s="75"/>
      <c r="E7" s="77"/>
      <c r="F7" s="78"/>
      <c r="G7" s="78"/>
      <c r="H7" s="78"/>
    </row>
    <row r="8" spans="5:9" ht="18">
      <c r="E8" s="75"/>
      <c r="F8" s="77"/>
      <c r="G8" s="78"/>
      <c r="H8" s="78"/>
      <c r="I8" s="79"/>
    </row>
    <row r="9" spans="2:13" ht="12.7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2:15" ht="12.75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O10" s="66"/>
    </row>
    <row r="11" spans="2:15" ht="12.7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O11" s="66"/>
    </row>
    <row r="12" spans="2:15" ht="12.7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O12" s="66"/>
    </row>
    <row r="13" spans="2:15" ht="12.7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O13" s="66"/>
    </row>
    <row r="14" spans="2:15" ht="12.7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O14" s="66"/>
    </row>
    <row r="15" spans="2:15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O15" s="66"/>
    </row>
    <row r="16" spans="2:15" ht="12.75">
      <c r="B16" s="81"/>
      <c r="C16" s="81"/>
      <c r="E16" s="81"/>
      <c r="F16" s="81"/>
      <c r="G16" s="81"/>
      <c r="H16" s="81"/>
      <c r="I16" s="81"/>
      <c r="J16" s="81"/>
      <c r="K16" s="81"/>
      <c r="L16" s="81"/>
      <c r="M16" s="81"/>
      <c r="O16" s="66"/>
    </row>
    <row r="17" spans="2:15" ht="12.7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O17" s="66"/>
    </row>
    <row r="18" spans="2:15" ht="12.75">
      <c r="B18" s="81"/>
      <c r="C18" s="81"/>
      <c r="D18" s="81"/>
      <c r="E18" s="81"/>
      <c r="F18" s="81"/>
      <c r="G18" s="83"/>
      <c r="H18" s="83"/>
      <c r="I18" s="83"/>
      <c r="J18" s="83"/>
      <c r="K18" s="83"/>
      <c r="L18" s="81"/>
      <c r="M18" s="81"/>
      <c r="O18" s="66"/>
    </row>
    <row r="19" spans="2:15" ht="12.7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O19" s="66"/>
    </row>
    <row r="20" spans="2:15" ht="12.7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O20" s="66"/>
    </row>
    <row r="21" spans="2:15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4"/>
      <c r="O21" s="66"/>
    </row>
    <row r="22" spans="2:15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O22" s="66"/>
    </row>
    <row r="23" spans="2:15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66"/>
    </row>
    <row r="24" spans="2:13" ht="12.75">
      <c r="B24" s="86"/>
      <c r="D24" s="80"/>
      <c r="E24" s="80"/>
      <c r="F24" s="80"/>
      <c r="G24" s="80"/>
      <c r="H24" s="80"/>
      <c r="I24" s="80"/>
      <c r="J24" s="80"/>
      <c r="K24" s="80"/>
      <c r="L24" s="80"/>
      <c r="M24" s="87"/>
    </row>
    <row r="25" spans="2:13" ht="12.75">
      <c r="B25" s="86"/>
      <c r="D25" s="80"/>
      <c r="E25" s="80"/>
      <c r="F25" s="80"/>
      <c r="G25" s="80"/>
      <c r="H25" s="80"/>
      <c r="I25" s="80"/>
      <c r="J25" s="80"/>
      <c r="K25" s="80"/>
      <c r="L25" s="80"/>
      <c r="M25" s="87"/>
    </row>
    <row r="26" spans="2:13" ht="12.75">
      <c r="B26" s="86"/>
      <c r="D26" s="80"/>
      <c r="E26" s="80"/>
      <c r="F26" s="80"/>
      <c r="G26" s="80"/>
      <c r="H26" s="80"/>
      <c r="I26" s="80"/>
      <c r="J26" s="80"/>
      <c r="K26" s="80"/>
      <c r="L26" s="80"/>
      <c r="M26" s="87"/>
    </row>
    <row r="27" spans="2:13" ht="12.75">
      <c r="B27" s="86"/>
      <c r="D27" s="80"/>
      <c r="E27" s="80"/>
      <c r="F27" s="80"/>
      <c r="G27" s="80"/>
      <c r="H27" s="80"/>
      <c r="I27" s="80"/>
      <c r="J27" s="80"/>
      <c r="K27" s="80"/>
      <c r="L27" s="80"/>
      <c r="M27" s="87"/>
    </row>
    <row r="28" spans="2:13" ht="15.75" thickBot="1">
      <c r="B28" s="86"/>
      <c r="D28" s="66">
        <f>E23+D23</f>
        <v>0</v>
      </c>
      <c r="H28" s="88"/>
      <c r="I28" s="89"/>
      <c r="J28" s="88"/>
      <c r="K28" s="88"/>
      <c r="L28" s="88"/>
      <c r="M28" s="90"/>
    </row>
    <row r="29" spans="2:13" ht="13.5" thickTop="1">
      <c r="B29" s="86"/>
      <c r="C29" s="74" t="s">
        <v>115</v>
      </c>
      <c r="D29" s="74">
        <f>'BK'!L74-2939</f>
        <v>-2939</v>
      </c>
      <c r="I29" s="79"/>
      <c r="K29" s="66"/>
      <c r="M29" s="66"/>
    </row>
    <row r="30" spans="2:9" ht="12.75">
      <c r="B30" s="86"/>
      <c r="C30" s="74" t="s">
        <v>116</v>
      </c>
      <c r="D30" s="74">
        <f>'BK'!G74</f>
        <v>10494184.47</v>
      </c>
      <c r="G30" s="66"/>
      <c r="I30" s="66"/>
    </row>
    <row r="31" spans="3:11" ht="12.75">
      <c r="C31" s="74"/>
      <c r="D31" s="74"/>
      <c r="I31" s="66"/>
      <c r="K31" s="79"/>
    </row>
    <row r="32" spans="3:12" ht="12.75">
      <c r="C32" t="s">
        <v>117</v>
      </c>
      <c r="D32" s="66">
        <f>D28+D29-D30+D31</f>
        <v>-10497123.47</v>
      </c>
      <c r="I32" s="79"/>
      <c r="L32" s="66"/>
    </row>
    <row r="33" spans="4:5" ht="12.75">
      <c r="D33">
        <f>'ardh-shpenz'!H6+'ardh-shpenz'!H8</f>
        <v>678282099.87</v>
      </c>
      <c r="E33" s="66"/>
    </row>
    <row r="34" ht="12.75">
      <c r="D34" s="66">
        <f>D32-D33</f>
        <v>-688779223.34</v>
      </c>
    </row>
    <row r="39" ht="12.75">
      <c r="D39" s="66"/>
    </row>
  </sheetData>
  <sheetProtection/>
  <printOptions/>
  <pageMargins left="0.22" right="0.22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K2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6.28125" style="0" customWidth="1"/>
    <col min="2" max="2" width="18.00390625" style="0" bestFit="1" customWidth="1"/>
    <col min="3" max="3" width="14.00390625" style="0" bestFit="1" customWidth="1"/>
    <col min="4" max="4" width="11.28125" style="0" bestFit="1" customWidth="1"/>
    <col min="5" max="5" width="14.00390625" style="0" bestFit="1" customWidth="1"/>
    <col min="6" max="7" width="12.8515625" style="0" bestFit="1" customWidth="1"/>
    <col min="8" max="8" width="11.28125" style="0" bestFit="1" customWidth="1"/>
    <col min="9" max="9" width="12.8515625" style="0" bestFit="1" customWidth="1"/>
    <col min="10" max="10" width="13.57421875" style="0" bestFit="1" customWidth="1"/>
    <col min="11" max="11" width="12.8515625" style="0" bestFit="1" customWidth="1"/>
  </cols>
  <sheetData>
    <row r="4" ht="12.75">
      <c r="K4" s="33"/>
    </row>
    <row r="5" spans="1:11" ht="12.75">
      <c r="A5" s="33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33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33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>
      <c r="A8" s="33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33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2.75">
      <c r="A10" s="33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33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33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33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>
      <c r="A14" s="33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2.75">
      <c r="A15" s="33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2.75">
      <c r="A16" s="33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2.75">
      <c r="A17" s="33"/>
      <c r="B17" s="65"/>
      <c r="C17" s="65"/>
      <c r="D17" s="65"/>
      <c r="E17" s="65"/>
      <c r="F17" s="65"/>
      <c r="G17" s="65"/>
      <c r="H17" s="65"/>
      <c r="I17" s="65"/>
      <c r="J17" s="65"/>
      <c r="K17" s="67"/>
    </row>
    <row r="18" ht="12.75">
      <c r="J18" s="66"/>
    </row>
    <row r="19" spans="1:2" ht="12.75">
      <c r="A19" s="33"/>
      <c r="B19" s="65"/>
    </row>
    <row r="21" spans="1:2" ht="12.75">
      <c r="A21" s="33"/>
      <c r="B21" s="66"/>
    </row>
    <row r="22" spans="1:2" ht="12.75">
      <c r="A22" s="33"/>
      <c r="B22" s="60"/>
    </row>
    <row r="23" spans="1:2" ht="12.75">
      <c r="A23" s="33"/>
      <c r="B23" s="60"/>
    </row>
    <row r="24" ht="12.75">
      <c r="B24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zoomScale="90" zoomScaleNormal="90" zoomScalePageLayoutView="0" workbookViewId="0" topLeftCell="A19">
      <selection activeCell="M45" sqref="M45"/>
    </sheetView>
  </sheetViews>
  <sheetFormatPr defaultColWidth="10.28125" defaultRowHeight="12.75"/>
  <cols>
    <col min="1" max="1" width="10.28125" style="137" customWidth="1"/>
    <col min="2" max="2" width="21.57421875" style="137" customWidth="1"/>
    <col min="3" max="3" width="16.8515625" style="137" customWidth="1"/>
    <col min="4" max="4" width="4.28125" style="137" customWidth="1"/>
    <col min="5" max="5" width="11.57421875" style="137" customWidth="1"/>
    <col min="6" max="6" width="4.00390625" style="137" customWidth="1"/>
    <col min="7" max="7" width="14.8515625" style="137" customWidth="1"/>
    <col min="8" max="8" width="4.8515625" style="137" customWidth="1"/>
    <col min="9" max="9" width="11.8515625" style="137" customWidth="1"/>
    <col min="10" max="10" width="10.28125" style="137" customWidth="1"/>
    <col min="11" max="11" width="12.8515625" style="137" customWidth="1"/>
    <col min="12" max="16384" width="10.28125" style="137" customWidth="1"/>
  </cols>
  <sheetData>
    <row r="2" ht="12">
      <c r="B2" s="138">
        <v>2010</v>
      </c>
    </row>
    <row r="3" spans="1:13" ht="12">
      <c r="A3" s="139"/>
      <c r="B3" s="145" t="s">
        <v>220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39"/>
    </row>
    <row r="4" spans="1:13" ht="12">
      <c r="A4" s="139"/>
      <c r="B4" s="366"/>
      <c r="C4" s="148" t="s">
        <v>221</v>
      </c>
      <c r="D4" s="146"/>
      <c r="E4" s="148" t="s">
        <v>222</v>
      </c>
      <c r="F4" s="146"/>
      <c r="G4" s="148" t="s">
        <v>223</v>
      </c>
      <c r="H4" s="146"/>
      <c r="I4" s="148" t="s">
        <v>224</v>
      </c>
      <c r="J4" s="146"/>
      <c r="K4" s="365" t="s">
        <v>214</v>
      </c>
      <c r="L4" s="147"/>
      <c r="M4" s="139"/>
    </row>
    <row r="5" spans="1:13" ht="12">
      <c r="A5" s="139"/>
      <c r="B5" s="366"/>
      <c r="C5" s="148"/>
      <c r="D5" s="146"/>
      <c r="E5" s="148" t="s">
        <v>225</v>
      </c>
      <c r="F5" s="146"/>
      <c r="G5" s="148" t="s">
        <v>226</v>
      </c>
      <c r="H5" s="146"/>
      <c r="I5" s="148" t="s">
        <v>227</v>
      </c>
      <c r="J5" s="146"/>
      <c r="K5" s="365"/>
      <c r="L5" s="147"/>
      <c r="M5" s="139"/>
    </row>
    <row r="6" spans="1:13" ht="12">
      <c r="A6" s="139"/>
      <c r="B6" s="145" t="s">
        <v>215</v>
      </c>
      <c r="C6" s="146"/>
      <c r="D6" s="146"/>
      <c r="E6" s="146"/>
      <c r="F6" s="149"/>
      <c r="G6" s="146"/>
      <c r="H6" s="146"/>
      <c r="I6" s="146"/>
      <c r="J6" s="149"/>
      <c r="K6" s="146"/>
      <c r="L6" s="147"/>
      <c r="M6" s="139"/>
    </row>
    <row r="7" spans="1:13" ht="14.25">
      <c r="A7" s="139"/>
      <c r="B7" s="192" t="s">
        <v>311</v>
      </c>
      <c r="C7" s="150"/>
      <c r="D7" s="146"/>
      <c r="E7" s="151"/>
      <c r="F7" s="146"/>
      <c r="G7" s="151"/>
      <c r="H7" s="146"/>
      <c r="I7" s="151"/>
      <c r="J7" s="146"/>
      <c r="K7" s="152">
        <f>SUM(C7:I7)</f>
        <v>0</v>
      </c>
      <c r="L7" s="147"/>
      <c r="M7" s="139"/>
    </row>
    <row r="8" spans="1:13" ht="30">
      <c r="A8" s="139"/>
      <c r="B8" s="193" t="s">
        <v>312</v>
      </c>
      <c r="C8" s="150"/>
      <c r="D8" s="146"/>
      <c r="E8" s="150"/>
      <c r="F8" s="146"/>
      <c r="G8" s="150"/>
      <c r="H8" s="146"/>
      <c r="I8" s="197">
        <v>114772891</v>
      </c>
      <c r="J8" s="146"/>
      <c r="K8" s="152">
        <f>SUM(C8:I8)</f>
        <v>114772891</v>
      </c>
      <c r="L8" s="147"/>
      <c r="M8" s="139"/>
    </row>
    <row r="9" spans="1:13" ht="15">
      <c r="A9" s="139"/>
      <c r="B9" s="193" t="s">
        <v>313</v>
      </c>
      <c r="C9" s="197">
        <v>37661427</v>
      </c>
      <c r="D9" s="194"/>
      <c r="E9" s="197">
        <v>58492141</v>
      </c>
      <c r="F9" s="194"/>
      <c r="G9" s="197">
        <f>51305722</f>
        <v>51305722</v>
      </c>
      <c r="H9" s="146"/>
      <c r="I9" s="150">
        <v>23000001</v>
      </c>
      <c r="J9" s="146"/>
      <c r="K9" s="152">
        <f>SUM(C9:I9)</f>
        <v>170459291</v>
      </c>
      <c r="L9" s="147"/>
      <c r="M9" s="139"/>
    </row>
    <row r="10" spans="1:13" ht="15">
      <c r="A10" s="139"/>
      <c r="B10" s="193" t="s">
        <v>314</v>
      </c>
      <c r="C10" s="197">
        <f>35000000</f>
        <v>35000000</v>
      </c>
      <c r="D10" s="194"/>
      <c r="E10" s="197">
        <f>C10*2</f>
        <v>70000000</v>
      </c>
      <c r="F10" s="194"/>
      <c r="G10" s="197">
        <f>140066773-E10-C10</f>
        <v>35066773</v>
      </c>
      <c r="H10" s="194"/>
      <c r="I10" s="150"/>
      <c r="J10" s="146"/>
      <c r="K10" s="152">
        <f>SUM(C10:I10)</f>
        <v>140066773</v>
      </c>
      <c r="L10" s="147"/>
      <c r="M10" s="139"/>
    </row>
    <row r="11" spans="1:13" ht="11.25" customHeight="1">
      <c r="A11" s="139"/>
      <c r="B11" s="193" t="s">
        <v>315</v>
      </c>
      <c r="C11" s="197"/>
      <c r="D11" s="194"/>
      <c r="E11" s="197">
        <f>48500*138.77</f>
        <v>6730345.000000001</v>
      </c>
      <c r="F11" s="194"/>
      <c r="G11" s="197">
        <v>8867893.3</v>
      </c>
      <c r="H11" s="146"/>
      <c r="I11" s="150"/>
      <c r="J11" s="146"/>
      <c r="K11" s="152">
        <f>SUM(C11:I11)</f>
        <v>15598238.3</v>
      </c>
      <c r="L11" s="147"/>
      <c r="M11" s="139"/>
    </row>
    <row r="12" spans="1:13" ht="15">
      <c r="A12" s="139"/>
      <c r="B12" s="193" t="s">
        <v>316</v>
      </c>
      <c r="C12" s="197">
        <v>3168950</v>
      </c>
      <c r="D12" s="194"/>
      <c r="E12" s="197">
        <f>1500000*4</f>
        <v>6000000</v>
      </c>
      <c r="F12" s="194"/>
      <c r="G12" s="197">
        <f>1500000*9+2674905</f>
        <v>16174905</v>
      </c>
      <c r="H12" s="146"/>
      <c r="I12" s="150"/>
      <c r="J12" s="146"/>
      <c r="K12" s="152">
        <f>SUM(C12:J12)</f>
        <v>25343855</v>
      </c>
      <c r="L12" s="147"/>
      <c r="M12" s="139"/>
    </row>
    <row r="13" spans="1:13" ht="30.75" thickBot="1">
      <c r="A13" s="139"/>
      <c r="B13" s="193" t="s">
        <v>317</v>
      </c>
      <c r="C13" s="197">
        <v>65075600</v>
      </c>
      <c r="D13" s="194"/>
      <c r="E13" s="197">
        <v>35447872</v>
      </c>
      <c r="F13" s="194"/>
      <c r="G13" s="197"/>
      <c r="H13" s="146"/>
      <c r="I13" s="150"/>
      <c r="J13" s="146"/>
      <c r="K13" s="154">
        <f>SUM(C13:J13)</f>
        <v>100523472</v>
      </c>
      <c r="L13" s="147"/>
      <c r="M13" s="139"/>
    </row>
    <row r="14" spans="1:13" ht="12.75" thickBot="1">
      <c r="A14" s="139"/>
      <c r="B14" s="145" t="s">
        <v>216</v>
      </c>
      <c r="C14" s="154">
        <f>SUM(C7:C13)</f>
        <v>140905977</v>
      </c>
      <c r="D14" s="146"/>
      <c r="E14" s="154">
        <f>SUM(E7:E13)</f>
        <v>176670358</v>
      </c>
      <c r="F14" s="146"/>
      <c r="G14" s="154">
        <f>SUM(G7:G13)</f>
        <v>111415293.3</v>
      </c>
      <c r="H14" s="146"/>
      <c r="I14" s="154">
        <f>SUM(I7:I13)</f>
        <v>137772892</v>
      </c>
      <c r="J14" s="146"/>
      <c r="K14" s="154">
        <f>SUM(K7:K13)</f>
        <v>566764520.3</v>
      </c>
      <c r="L14" s="147"/>
      <c r="M14" s="139"/>
    </row>
    <row r="15" spans="1:13" ht="12">
      <c r="A15" s="139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  <c r="M15" s="139"/>
    </row>
    <row r="16" spans="1:13" ht="12">
      <c r="A16" s="139"/>
      <c r="B16" s="145" t="s">
        <v>217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139"/>
    </row>
    <row r="17" spans="1:13" ht="15">
      <c r="A17" s="139"/>
      <c r="B17" s="193" t="s">
        <v>318</v>
      </c>
      <c r="C17" s="146">
        <f>350000*138.77+19948*138.77</f>
        <v>51337683.96</v>
      </c>
      <c r="D17" s="146"/>
      <c r="E17" s="146">
        <f>19948*138.77*3</f>
        <v>8304551.880000001</v>
      </c>
      <c r="F17" s="146"/>
      <c r="G17" s="146">
        <f>19948*8*138.77</f>
        <v>22145471.680000003</v>
      </c>
      <c r="H17" s="146"/>
      <c r="I17" s="146">
        <v>97795713.48</v>
      </c>
      <c r="J17" s="146"/>
      <c r="K17" s="146">
        <f>SUM(C17:J17)</f>
        <v>179583421</v>
      </c>
      <c r="L17" s="147"/>
      <c r="M17" s="139"/>
    </row>
    <row r="18" spans="1:13" ht="15">
      <c r="A18" s="139"/>
      <c r="B18" s="193" t="s">
        <v>319</v>
      </c>
      <c r="C18" s="146"/>
      <c r="D18" s="146"/>
      <c r="E18" s="146">
        <f>49500*138.77</f>
        <v>6869115.000000001</v>
      </c>
      <c r="F18" s="146"/>
      <c r="G18" s="146">
        <f>9394118.4-E18</f>
        <v>2525003.3999999994</v>
      </c>
      <c r="H18" s="146"/>
      <c r="I18" s="146"/>
      <c r="J18" s="146"/>
      <c r="K18" s="146">
        <f>SUM(C18:J18)</f>
        <v>9394118.4</v>
      </c>
      <c r="L18" s="147"/>
      <c r="M18" s="139"/>
    </row>
    <row r="19" spans="1:13" ht="15">
      <c r="A19" s="139"/>
      <c r="B19" s="193" t="s">
        <v>320</v>
      </c>
      <c r="C19" s="146">
        <f>395327*138.77+125715*104</f>
        <v>67933887.79</v>
      </c>
      <c r="D19" s="146"/>
      <c r="E19" s="146">
        <f>301310*138.77</f>
        <v>41812788.7</v>
      </c>
      <c r="F19" s="146"/>
      <c r="G19" s="146">
        <f>180460536.6-E19-C19</f>
        <v>70713860.10999997</v>
      </c>
      <c r="H19" s="146"/>
      <c r="I19" s="146"/>
      <c r="J19" s="146"/>
      <c r="K19" s="146">
        <f>SUM(C19:J19)</f>
        <v>180460536.59999996</v>
      </c>
      <c r="L19" s="147"/>
      <c r="M19" s="139"/>
    </row>
    <row r="20" spans="1:13" ht="15">
      <c r="A20" s="139"/>
      <c r="B20" s="193" t="s">
        <v>321</v>
      </c>
      <c r="C20" s="150"/>
      <c r="D20" s="146"/>
      <c r="E20" s="150"/>
      <c r="F20" s="146"/>
      <c r="G20" s="151">
        <v>3522500</v>
      </c>
      <c r="H20" s="146"/>
      <c r="I20" s="151">
        <f>2225006</f>
        <v>2225006</v>
      </c>
      <c r="J20" s="146"/>
      <c r="K20" s="146">
        <f>SUM(C20:J20)</f>
        <v>5747506</v>
      </c>
      <c r="L20" s="147"/>
      <c r="M20" s="139"/>
    </row>
    <row r="21" spans="1:13" ht="30">
      <c r="A21" s="139"/>
      <c r="B21" s="193" t="s">
        <v>322</v>
      </c>
      <c r="C21" s="150">
        <f>3774467+225000</f>
        <v>3999467</v>
      </c>
      <c r="D21" s="146"/>
      <c r="E21" s="151">
        <f>10494184</f>
        <v>10494184</v>
      </c>
      <c r="F21" s="146"/>
      <c r="I21" s="137">
        <v>88888403</v>
      </c>
      <c r="J21" s="146"/>
      <c r="K21" s="146">
        <f>SUM(C21:J21)</f>
        <v>103382054</v>
      </c>
      <c r="L21" s="147"/>
      <c r="M21" s="139"/>
    </row>
    <row r="22" spans="1:13" ht="12.75" thickBot="1">
      <c r="A22" s="139"/>
      <c r="B22" s="145" t="s">
        <v>218</v>
      </c>
      <c r="C22" s="154">
        <f>SUM(C20:C21)</f>
        <v>3999467</v>
      </c>
      <c r="D22" s="146"/>
      <c r="E22" s="154">
        <f>SUM(E20:E21)</f>
        <v>10494184</v>
      </c>
      <c r="F22" s="146"/>
      <c r="G22" s="154">
        <f>SUM(G17:G20)</f>
        <v>98906835.18999997</v>
      </c>
      <c r="H22" s="146"/>
      <c r="I22" s="154">
        <f>SUM(I17:I20)</f>
        <v>100020719.48</v>
      </c>
      <c r="J22" s="146"/>
      <c r="K22" s="154">
        <f>SUM(K16:K21)</f>
        <v>478567636</v>
      </c>
      <c r="L22" s="201"/>
      <c r="M22" s="200"/>
    </row>
    <row r="23" spans="1:13" ht="12">
      <c r="A23" s="139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  <c r="M23" s="139"/>
    </row>
    <row r="24" spans="1:13" ht="12.75" thickBot="1">
      <c r="A24" s="139"/>
      <c r="B24" s="146" t="s">
        <v>228</v>
      </c>
      <c r="C24" s="153">
        <f>C14-C22</f>
        <v>136906510</v>
      </c>
      <c r="D24" s="146"/>
      <c r="E24" s="153">
        <f>E14-E22</f>
        <v>166176174</v>
      </c>
      <c r="F24" s="146"/>
      <c r="G24" s="153">
        <f>G14-G22</f>
        <v>12508458.11000003</v>
      </c>
      <c r="H24" s="146"/>
      <c r="I24" s="153">
        <f>I14-I22</f>
        <v>37752172.519999996</v>
      </c>
      <c r="J24" s="146"/>
      <c r="K24" s="153">
        <f>K14-K22</f>
        <v>88196884.29999995</v>
      </c>
      <c r="L24" s="147"/>
      <c r="M24" s="139"/>
    </row>
    <row r="25" spans="1:13" ht="12">
      <c r="A25" s="139"/>
      <c r="B25" s="146"/>
      <c r="C25" s="146"/>
      <c r="D25" s="146"/>
      <c r="E25" s="146"/>
      <c r="F25" s="146"/>
      <c r="G25" s="146"/>
      <c r="H25" s="146"/>
      <c r="I25" s="147"/>
      <c r="J25" s="146"/>
      <c r="K25" s="146"/>
      <c r="L25" s="147"/>
      <c r="M25" s="139"/>
    </row>
    <row r="26" spans="1:13" ht="12">
      <c r="A26" s="139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  <c r="M26" s="139"/>
    </row>
    <row r="27" spans="1:13" ht="12">
      <c r="A27" s="139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7"/>
      <c r="M27" s="139"/>
    </row>
    <row r="28" ht="12">
      <c r="B28" s="138">
        <v>2009</v>
      </c>
    </row>
    <row r="29" spans="1:13" ht="12">
      <c r="A29" s="139"/>
      <c r="B29" s="145" t="s">
        <v>220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M29" s="139"/>
    </row>
    <row r="30" spans="1:13" ht="12">
      <c r="A30" s="139"/>
      <c r="B30" s="366"/>
      <c r="C30" s="148" t="s">
        <v>221</v>
      </c>
      <c r="D30" s="146"/>
      <c r="E30" s="148" t="s">
        <v>222</v>
      </c>
      <c r="F30" s="146"/>
      <c r="G30" s="148" t="s">
        <v>223</v>
      </c>
      <c r="H30" s="146"/>
      <c r="I30" s="148" t="s">
        <v>224</v>
      </c>
      <c r="J30" s="146"/>
      <c r="K30" s="365" t="s">
        <v>214</v>
      </c>
      <c r="L30" s="147"/>
      <c r="M30" s="139"/>
    </row>
    <row r="31" spans="1:13" ht="12">
      <c r="A31" s="139"/>
      <c r="B31" s="366"/>
      <c r="C31" s="148"/>
      <c r="D31" s="146"/>
      <c r="E31" s="148" t="s">
        <v>225</v>
      </c>
      <c r="F31" s="146"/>
      <c r="G31" s="148" t="s">
        <v>226</v>
      </c>
      <c r="H31" s="146"/>
      <c r="I31" s="148" t="s">
        <v>227</v>
      </c>
      <c r="J31" s="146"/>
      <c r="K31" s="365"/>
      <c r="L31" s="147"/>
      <c r="M31" s="139"/>
    </row>
    <row r="32" spans="1:13" ht="12">
      <c r="A32" s="139"/>
      <c r="B32" s="145" t="s">
        <v>215</v>
      </c>
      <c r="C32" s="146"/>
      <c r="D32" s="146"/>
      <c r="E32" s="146"/>
      <c r="F32" s="149"/>
      <c r="G32" s="146"/>
      <c r="H32" s="146"/>
      <c r="I32" s="146"/>
      <c r="J32" s="149"/>
      <c r="K32" s="146"/>
      <c r="L32" s="147"/>
      <c r="M32" s="139"/>
    </row>
    <row r="33" spans="1:13" ht="30">
      <c r="A33" s="139"/>
      <c r="B33" s="193" t="s">
        <v>312</v>
      </c>
      <c r="C33" s="194"/>
      <c r="D33" s="194"/>
      <c r="E33" s="194"/>
      <c r="F33" s="195"/>
      <c r="G33" s="194"/>
      <c r="H33" s="194"/>
      <c r="I33" s="194">
        <v>131053364</v>
      </c>
      <c r="J33" s="195"/>
      <c r="K33" s="196">
        <f aca="true" t="shared" si="0" ref="K33:K38">SUM(C33:I33)</f>
        <v>131053364</v>
      </c>
      <c r="L33" s="147"/>
      <c r="M33" s="139"/>
    </row>
    <row r="34" spans="1:13" ht="15">
      <c r="A34" s="139"/>
      <c r="B34" s="193" t="s">
        <v>313</v>
      </c>
      <c r="C34" s="194">
        <v>33651827</v>
      </c>
      <c r="D34" s="194"/>
      <c r="E34" s="194">
        <v>50477741</v>
      </c>
      <c r="F34" s="195"/>
      <c r="G34" s="194">
        <v>82833530</v>
      </c>
      <c r="H34" s="194"/>
      <c r="I34" s="194">
        <v>12596571</v>
      </c>
      <c r="J34" s="195"/>
      <c r="K34" s="196">
        <f t="shared" si="0"/>
        <v>179559669</v>
      </c>
      <c r="L34" s="147"/>
      <c r="M34" s="139"/>
    </row>
    <row r="35" spans="1:13" ht="15">
      <c r="A35" s="139"/>
      <c r="B35" s="193" t="s">
        <v>314</v>
      </c>
      <c r="C35" s="194">
        <v>8340777</v>
      </c>
      <c r="D35" s="194"/>
      <c r="E35" s="194">
        <v>7234969</v>
      </c>
      <c r="F35" s="195"/>
      <c r="G35" s="194">
        <v>66726218</v>
      </c>
      <c r="H35" s="194"/>
      <c r="I35" s="194"/>
      <c r="J35" s="195"/>
      <c r="K35" s="196">
        <f t="shared" si="0"/>
        <v>82301964</v>
      </c>
      <c r="L35" s="147"/>
      <c r="M35" s="139"/>
    </row>
    <row r="36" spans="1:13" ht="30">
      <c r="A36" s="139"/>
      <c r="B36" s="193" t="s">
        <v>315</v>
      </c>
      <c r="C36" s="197"/>
      <c r="D36" s="194"/>
      <c r="E36" s="197">
        <v>17787363</v>
      </c>
      <c r="F36" s="194"/>
      <c r="G36" s="197"/>
      <c r="H36" s="194"/>
      <c r="I36" s="197"/>
      <c r="J36" s="194"/>
      <c r="K36" s="196">
        <f t="shared" si="0"/>
        <v>17787363</v>
      </c>
      <c r="L36" s="147"/>
      <c r="M36" s="139"/>
    </row>
    <row r="37" spans="1:13" ht="15">
      <c r="A37" s="139"/>
      <c r="B37" s="193" t="s">
        <v>316</v>
      </c>
      <c r="C37" s="197">
        <v>12312343</v>
      </c>
      <c r="D37" s="194"/>
      <c r="E37" s="197">
        <v>10539100</v>
      </c>
      <c r="F37" s="194"/>
      <c r="G37" s="197">
        <v>15014939</v>
      </c>
      <c r="H37" s="194"/>
      <c r="I37" s="197"/>
      <c r="J37" s="194"/>
      <c r="K37" s="196">
        <f t="shared" si="0"/>
        <v>37866382</v>
      </c>
      <c r="L37" s="147"/>
      <c r="M37" s="139"/>
    </row>
    <row r="38" spans="1:13" ht="30">
      <c r="A38" s="139"/>
      <c r="B38" s="193" t="s">
        <v>317</v>
      </c>
      <c r="C38" s="197">
        <v>43173472</v>
      </c>
      <c r="D38" s="194"/>
      <c r="E38" s="197">
        <v>3924861</v>
      </c>
      <c r="F38" s="194"/>
      <c r="G38" s="197"/>
      <c r="H38" s="194"/>
      <c r="I38" s="197"/>
      <c r="J38" s="194"/>
      <c r="K38" s="196">
        <f t="shared" si="0"/>
        <v>47098333</v>
      </c>
      <c r="L38" s="147"/>
      <c r="M38" s="139"/>
    </row>
    <row r="39" spans="1:13" ht="12.75" thickBot="1">
      <c r="A39" s="139"/>
      <c r="B39" s="145" t="s">
        <v>216</v>
      </c>
      <c r="C39" s="198">
        <f>SUM(C33:C38)</f>
        <v>97478419</v>
      </c>
      <c r="D39" s="198"/>
      <c r="E39" s="198">
        <f aca="true" t="shared" si="1" ref="E39:K39">SUM(E33:E38)</f>
        <v>89964034</v>
      </c>
      <c r="F39" s="198"/>
      <c r="G39" s="198">
        <f t="shared" si="1"/>
        <v>164574687</v>
      </c>
      <c r="H39" s="198">
        <f t="shared" si="1"/>
        <v>0</v>
      </c>
      <c r="I39" s="198">
        <f t="shared" si="1"/>
        <v>143649935</v>
      </c>
      <c r="J39" s="198">
        <f t="shared" si="1"/>
        <v>0</v>
      </c>
      <c r="K39" s="198">
        <f t="shared" si="1"/>
        <v>495667075</v>
      </c>
      <c r="L39" s="147"/>
      <c r="M39" s="139"/>
    </row>
    <row r="40" spans="1:13" ht="12">
      <c r="A40" s="139"/>
      <c r="B40" s="146"/>
      <c r="C40" s="194"/>
      <c r="D40" s="194"/>
      <c r="E40" s="194"/>
      <c r="F40" s="194"/>
      <c r="G40" s="194"/>
      <c r="H40" s="194"/>
      <c r="I40" s="194"/>
      <c r="J40" s="194"/>
      <c r="K40" s="194"/>
      <c r="L40" s="147"/>
      <c r="M40" s="139"/>
    </row>
    <row r="41" spans="1:13" ht="12">
      <c r="A41" s="139"/>
      <c r="B41" s="145" t="s">
        <v>217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47"/>
      <c r="M41" s="139"/>
    </row>
    <row r="42" spans="1:13" ht="15">
      <c r="A42" s="139"/>
      <c r="B42" s="193" t="s">
        <v>318</v>
      </c>
      <c r="C42" s="194">
        <v>668145</v>
      </c>
      <c r="D42" s="194"/>
      <c r="E42" s="194">
        <v>92477280</v>
      </c>
      <c r="F42" s="194"/>
      <c r="G42" s="194">
        <v>41388092</v>
      </c>
      <c r="H42" s="194"/>
      <c r="I42" s="194">
        <v>49375639</v>
      </c>
      <c r="J42" s="194"/>
      <c r="K42" s="196">
        <f>SUM(C42:I42)</f>
        <v>183909156</v>
      </c>
      <c r="L42" s="147"/>
      <c r="M42" s="139"/>
    </row>
    <row r="43" spans="1:13" ht="15">
      <c r="A43" s="139"/>
      <c r="B43" s="193" t="s">
        <v>319</v>
      </c>
      <c r="C43" s="194"/>
      <c r="D43" s="194"/>
      <c r="E43" s="194"/>
      <c r="F43" s="194"/>
      <c r="G43" s="194">
        <v>20819380</v>
      </c>
      <c r="H43" s="194"/>
      <c r="I43" s="194"/>
      <c r="J43" s="194"/>
      <c r="K43" s="196">
        <f>SUM(C43:I43)</f>
        <v>20819380</v>
      </c>
      <c r="L43" s="147"/>
      <c r="M43" s="139"/>
    </row>
    <row r="44" spans="1:13" ht="15">
      <c r="A44" s="139"/>
      <c r="B44" s="193" t="s">
        <v>320</v>
      </c>
      <c r="C44" s="194">
        <v>82776000</v>
      </c>
      <c r="D44" s="194"/>
      <c r="E44" s="194">
        <v>48286000</v>
      </c>
      <c r="F44" s="194"/>
      <c r="G44" s="194">
        <v>7953619</v>
      </c>
      <c r="H44" s="194"/>
      <c r="I44" s="194"/>
      <c r="J44" s="194"/>
      <c r="K44" s="196">
        <f>SUM(C44:I44)</f>
        <v>139015619</v>
      </c>
      <c r="L44" s="147"/>
      <c r="M44" s="139"/>
    </row>
    <row r="45" spans="1:13" ht="15">
      <c r="A45" s="139"/>
      <c r="B45" s="193" t="s">
        <v>321</v>
      </c>
      <c r="C45" s="194"/>
      <c r="D45" s="194"/>
      <c r="E45" s="194"/>
      <c r="F45" s="194"/>
      <c r="G45" s="194"/>
      <c r="H45" s="194"/>
      <c r="I45" s="194">
        <v>9083312</v>
      </c>
      <c r="J45" s="194"/>
      <c r="K45" s="196">
        <f>SUM(C45:I45)</f>
        <v>9083312</v>
      </c>
      <c r="L45" s="147"/>
      <c r="M45" s="139"/>
    </row>
    <row r="46" spans="1:13" ht="30">
      <c r="A46" s="139"/>
      <c r="B46" s="193" t="s">
        <v>322</v>
      </c>
      <c r="C46" s="197">
        <v>6705937</v>
      </c>
      <c r="D46" s="194"/>
      <c r="E46" s="197">
        <v>20447811</v>
      </c>
      <c r="F46" s="194"/>
      <c r="G46" s="197">
        <v>4763735</v>
      </c>
      <c r="H46" s="194"/>
      <c r="I46" s="197">
        <v>88888399</v>
      </c>
      <c r="J46" s="194"/>
      <c r="K46" s="196">
        <f>SUM(C46:I46)</f>
        <v>120805882</v>
      </c>
      <c r="L46" s="147"/>
      <c r="M46" s="139"/>
    </row>
    <row r="47" spans="1:13" ht="12.75" thickBot="1">
      <c r="A47" s="139"/>
      <c r="B47" s="145" t="s">
        <v>218</v>
      </c>
      <c r="C47" s="198">
        <f>SUM(C42:C46)</f>
        <v>90150082</v>
      </c>
      <c r="D47" s="198">
        <f aca="true" t="shared" si="2" ref="D47:I47">SUM(D42:D46)</f>
        <v>0</v>
      </c>
      <c r="E47" s="198">
        <f t="shared" si="2"/>
        <v>161211091</v>
      </c>
      <c r="F47" s="198">
        <f t="shared" si="2"/>
        <v>0</v>
      </c>
      <c r="G47" s="198">
        <f t="shared" si="2"/>
        <v>74924826</v>
      </c>
      <c r="H47" s="198">
        <f t="shared" si="2"/>
        <v>0</v>
      </c>
      <c r="I47" s="198">
        <f t="shared" si="2"/>
        <v>147347350</v>
      </c>
      <c r="J47" s="198">
        <f>SUM(J42:J46)</f>
        <v>0</v>
      </c>
      <c r="K47" s="198">
        <f>SUM(K42:K46)</f>
        <v>473633349</v>
      </c>
      <c r="L47" s="147"/>
      <c r="M47" s="139"/>
    </row>
    <row r="48" spans="1:13" ht="12">
      <c r="A48" s="139"/>
      <c r="B48" s="146"/>
      <c r="C48" s="194"/>
      <c r="D48" s="194"/>
      <c r="E48" s="194"/>
      <c r="F48" s="194"/>
      <c r="G48" s="194"/>
      <c r="H48" s="194"/>
      <c r="I48" s="194"/>
      <c r="J48" s="194"/>
      <c r="K48" s="194"/>
      <c r="L48" s="147"/>
      <c r="M48" s="139"/>
    </row>
    <row r="49" spans="1:13" ht="12.75" thickBot="1">
      <c r="A49" s="139"/>
      <c r="B49" s="146" t="s">
        <v>228</v>
      </c>
      <c r="C49" s="199">
        <f>C39-C47</f>
        <v>7328337</v>
      </c>
      <c r="D49" s="194"/>
      <c r="E49" s="199">
        <f>E39-E47</f>
        <v>-71247057</v>
      </c>
      <c r="F49" s="194"/>
      <c r="G49" s="199">
        <f>G39-G47</f>
        <v>89649861</v>
      </c>
      <c r="H49" s="194"/>
      <c r="I49" s="199">
        <f>I39-I47</f>
        <v>-3697415</v>
      </c>
      <c r="J49" s="194"/>
      <c r="K49" s="199">
        <f>K39-K47</f>
        <v>22033726</v>
      </c>
      <c r="L49" s="147"/>
      <c r="M49" s="139"/>
    </row>
  </sheetData>
  <sheetProtection/>
  <mergeCells count="4">
    <mergeCell ref="K4:K5"/>
    <mergeCell ref="B4:B5"/>
    <mergeCell ref="B30:B31"/>
    <mergeCell ref="K30:K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46">
      <selection activeCell="D84" sqref="D84:G85"/>
    </sheetView>
  </sheetViews>
  <sheetFormatPr defaultColWidth="21.7109375" defaultRowHeight="19.5" customHeight="1"/>
  <cols>
    <col min="1" max="1" width="0.85546875" style="213" customWidth="1"/>
    <col min="2" max="2" width="0.13671875" style="208" hidden="1" customWidth="1"/>
    <col min="3" max="3" width="0.5625" style="208" hidden="1" customWidth="1"/>
    <col min="4" max="4" width="37.8515625" style="210" customWidth="1"/>
    <col min="5" max="5" width="13.28125" style="211" hidden="1" customWidth="1"/>
    <col min="6" max="6" width="17.421875" style="211" customWidth="1"/>
    <col min="7" max="7" width="28.00390625" style="212" customWidth="1"/>
    <col min="8" max="8" width="0.5625" style="211" hidden="1" customWidth="1"/>
    <col min="9" max="9" width="29.57421875" style="212" customWidth="1"/>
    <col min="10" max="10" width="21.7109375" style="208" customWidth="1"/>
    <col min="11" max="11" width="21.7109375" style="215" customWidth="1"/>
    <col min="12" max="12" width="21.7109375" style="247" customWidth="1"/>
    <col min="13" max="13" width="21.7109375" style="208" customWidth="1"/>
    <col min="14" max="16384" width="21.7109375" style="213" customWidth="1"/>
  </cols>
  <sheetData>
    <row r="1" ht="19.5" customHeight="1">
      <c r="A1" s="209" t="s">
        <v>398</v>
      </c>
    </row>
    <row r="2" spans="1:4" ht="19.5" customHeight="1">
      <c r="A2" s="367" t="s">
        <v>626</v>
      </c>
      <c r="B2" s="367"/>
      <c r="D2" s="217" t="s">
        <v>639</v>
      </c>
    </row>
    <row r="3" ht="19.5" customHeight="1">
      <c r="A3" s="69"/>
    </row>
    <row r="4" spans="5:8" ht="19.5" customHeight="1">
      <c r="E4" s="353">
        <v>138.77</v>
      </c>
      <c r="F4" s="353"/>
      <c r="G4" s="354"/>
      <c r="H4" s="353">
        <v>137.96</v>
      </c>
    </row>
    <row r="5" spans="1:13" ht="19.5" customHeight="1" thickBot="1">
      <c r="A5" s="214" t="s">
        <v>311</v>
      </c>
      <c r="B5" s="214"/>
      <c r="C5" s="215" t="s">
        <v>399</v>
      </c>
      <c r="D5" s="215" t="s">
        <v>215</v>
      </c>
      <c r="E5" s="211" t="s">
        <v>566</v>
      </c>
      <c r="G5" s="216" t="s">
        <v>567</v>
      </c>
      <c r="H5" s="211" t="s">
        <v>368</v>
      </c>
      <c r="I5" s="216" t="s">
        <v>397</v>
      </c>
      <c r="K5" s="240"/>
      <c r="L5" s="218"/>
      <c r="M5" s="215"/>
    </row>
    <row r="6" spans="1:12" ht="19.5" customHeight="1" thickTop="1">
      <c r="A6" s="215"/>
      <c r="C6" s="215"/>
      <c r="D6" s="208"/>
      <c r="G6" s="217"/>
      <c r="I6" s="217"/>
      <c r="L6" s="218"/>
    </row>
    <row r="7" spans="1:12" ht="19.5" customHeight="1">
      <c r="A7" s="219" t="s">
        <v>350</v>
      </c>
      <c r="C7" s="215" t="s">
        <v>400</v>
      </c>
      <c r="D7" s="208" t="s">
        <v>631</v>
      </c>
      <c r="G7" s="220"/>
      <c r="I7" s="220"/>
      <c r="L7" s="220"/>
    </row>
    <row r="8" spans="1:12" ht="19.5" customHeight="1">
      <c r="A8" s="208"/>
      <c r="B8" s="208" t="s">
        <v>325</v>
      </c>
      <c r="D8" s="208" t="s">
        <v>401</v>
      </c>
      <c r="E8" s="211">
        <f>G8/$E$4</f>
        <v>827072.7873459681</v>
      </c>
      <c r="F8" s="211">
        <v>4</v>
      </c>
      <c r="G8" s="221">
        <v>114772890.7</v>
      </c>
      <c r="H8" s="211">
        <f>I8/137.96</f>
        <v>949937.4238909829</v>
      </c>
      <c r="I8" s="221">
        <f>131053367</f>
        <v>131053367</v>
      </c>
      <c r="J8" s="222"/>
      <c r="K8" s="223"/>
      <c r="L8" s="221"/>
    </row>
    <row r="9" spans="1:12" ht="19.5" customHeight="1">
      <c r="A9" s="208"/>
      <c r="B9" s="219" t="s">
        <v>342</v>
      </c>
      <c r="D9" s="208" t="s">
        <v>402</v>
      </c>
      <c r="E9" s="211">
        <f aca="true" t="shared" si="0" ref="E9:E72">G9/$E$4</f>
        <v>0</v>
      </c>
      <c r="G9" s="221">
        <v>0</v>
      </c>
      <c r="H9" s="211">
        <f>I9/137.96</f>
        <v>0</v>
      </c>
      <c r="I9" s="221">
        <v>0</v>
      </c>
      <c r="J9" s="222"/>
      <c r="K9" s="223"/>
      <c r="L9" s="221"/>
    </row>
    <row r="10" spans="1:12" ht="19.5" customHeight="1">
      <c r="A10" s="208"/>
      <c r="B10" s="208" t="s">
        <v>341</v>
      </c>
      <c r="D10" s="208" t="s">
        <v>403</v>
      </c>
      <c r="E10" s="211">
        <f t="shared" si="0"/>
        <v>0</v>
      </c>
      <c r="G10" s="224"/>
      <c r="H10" s="211">
        <f>I10/137.96</f>
        <v>0</v>
      </c>
      <c r="I10" s="224"/>
      <c r="J10" s="222"/>
      <c r="K10" s="223"/>
      <c r="L10" s="224"/>
    </row>
    <row r="11" spans="1:12" ht="19.5" customHeight="1">
      <c r="A11" s="208"/>
      <c r="B11" s="208" t="s">
        <v>38</v>
      </c>
      <c r="D11" s="208" t="s">
        <v>38</v>
      </c>
      <c r="E11" s="211">
        <f t="shared" si="0"/>
        <v>0</v>
      </c>
      <c r="G11" s="221"/>
      <c r="H11" s="211">
        <f>I11/137.96</f>
        <v>0</v>
      </c>
      <c r="I11" s="221"/>
      <c r="J11" s="222"/>
      <c r="K11" s="223"/>
      <c r="L11" s="221"/>
    </row>
    <row r="12" spans="1:13" ht="19.5" customHeight="1" thickBot="1">
      <c r="A12" s="208"/>
      <c r="B12" s="225" t="s">
        <v>39</v>
      </c>
      <c r="D12" s="225" t="s">
        <v>39</v>
      </c>
      <c r="E12" s="211">
        <f t="shared" si="0"/>
        <v>827072.7873459681</v>
      </c>
      <c r="G12" s="227">
        <f>SUM(G7:G11)</f>
        <v>114772890.7</v>
      </c>
      <c r="H12" s="226">
        <f>I12/137.96</f>
        <v>949937.4238909829</v>
      </c>
      <c r="I12" s="227">
        <f>SUM(I7:I11)</f>
        <v>131053367</v>
      </c>
      <c r="J12" s="222"/>
      <c r="K12" s="223"/>
      <c r="L12" s="221"/>
      <c r="M12" s="225"/>
    </row>
    <row r="13" spans="1:12" ht="19.5" customHeight="1" thickTop="1">
      <c r="A13" s="208"/>
      <c r="D13" s="208"/>
      <c r="E13" s="211">
        <f t="shared" si="0"/>
        <v>0</v>
      </c>
      <c r="G13" s="228"/>
      <c r="I13" s="228"/>
      <c r="J13" s="222"/>
      <c r="K13" s="223"/>
      <c r="L13" s="228"/>
    </row>
    <row r="14" spans="1:12" ht="19.5" customHeight="1">
      <c r="A14" s="215" t="s">
        <v>336</v>
      </c>
      <c r="C14" s="215" t="s">
        <v>404</v>
      </c>
      <c r="D14" s="208" t="s">
        <v>632</v>
      </c>
      <c r="E14" s="211">
        <f t="shared" si="0"/>
        <v>0</v>
      </c>
      <c r="G14" s="228"/>
      <c r="I14" s="228"/>
      <c r="J14" s="222"/>
      <c r="K14" s="223"/>
      <c r="L14" s="228"/>
    </row>
    <row r="15" spans="1:13" ht="19.5" customHeight="1">
      <c r="A15" s="208"/>
      <c r="B15" s="229" t="s">
        <v>326</v>
      </c>
      <c r="D15" s="229" t="s">
        <v>405</v>
      </c>
      <c r="E15" s="211">
        <f t="shared" si="0"/>
        <v>0</v>
      </c>
      <c r="G15" s="221"/>
      <c r="I15" s="221"/>
      <c r="J15" s="222"/>
      <c r="K15" s="223"/>
      <c r="L15" s="221"/>
      <c r="M15" s="229"/>
    </row>
    <row r="16" spans="1:13" ht="19.5" customHeight="1">
      <c r="A16" s="208"/>
      <c r="B16" s="208" t="s">
        <v>331</v>
      </c>
      <c r="D16" s="208" t="s">
        <v>455</v>
      </c>
      <c r="E16" s="211">
        <f t="shared" si="0"/>
        <v>5197.916840815738</v>
      </c>
      <c r="F16" s="211" t="s">
        <v>201</v>
      </c>
      <c r="G16" s="221">
        <f>tjera!C18</f>
        <v>721314.92</v>
      </c>
      <c r="H16" s="211">
        <f aca="true" t="shared" si="1" ref="H16:H21">I16/137.96</f>
        <v>5532.098144389678</v>
      </c>
      <c r="I16" s="221">
        <f>763208.26</f>
        <v>763208.26</v>
      </c>
      <c r="J16" s="222"/>
      <c r="K16" s="223"/>
      <c r="L16" s="221"/>
      <c r="M16" s="230"/>
    </row>
    <row r="17" spans="1:12" ht="19.5" customHeight="1">
      <c r="A17" s="208"/>
      <c r="B17" s="208" t="s">
        <v>332</v>
      </c>
      <c r="D17" s="208" t="s">
        <v>406</v>
      </c>
      <c r="E17" s="211">
        <f t="shared" si="0"/>
        <v>0</v>
      </c>
      <c r="G17" s="221"/>
      <c r="H17" s="211">
        <f t="shared" si="1"/>
        <v>0</v>
      </c>
      <c r="I17" s="221"/>
      <c r="J17" s="222"/>
      <c r="K17" s="223"/>
      <c r="L17" s="221"/>
    </row>
    <row r="18" spans="1:12" ht="19.5" customHeight="1">
      <c r="A18" s="208"/>
      <c r="B18" s="208" t="s">
        <v>333</v>
      </c>
      <c r="D18" s="208" t="s">
        <v>407</v>
      </c>
      <c r="E18" s="211">
        <f t="shared" si="0"/>
        <v>0</v>
      </c>
      <c r="G18" s="221"/>
      <c r="H18" s="211">
        <f t="shared" si="1"/>
        <v>0</v>
      </c>
      <c r="I18" s="221"/>
      <c r="J18" s="222"/>
      <c r="K18" s="223"/>
      <c r="L18" s="221"/>
    </row>
    <row r="19" spans="1:12" ht="19.5" customHeight="1">
      <c r="A19" s="208"/>
      <c r="B19" s="208" t="s">
        <v>334</v>
      </c>
      <c r="D19" s="208" t="s">
        <v>408</v>
      </c>
      <c r="E19" s="211">
        <f t="shared" si="0"/>
        <v>1223160.4438999784</v>
      </c>
      <c r="F19" s="211" t="s">
        <v>202</v>
      </c>
      <c r="G19" s="221">
        <f>tjera!C20-tjera!C18</f>
        <v>169737974.8</v>
      </c>
      <c r="H19" s="211">
        <f t="shared" si="1"/>
        <v>1296002.1726587417</v>
      </c>
      <c r="I19" s="221">
        <f>178244011-763208.26+1315657</f>
        <v>178796459.74</v>
      </c>
      <c r="J19" s="222"/>
      <c r="K19" s="223"/>
      <c r="L19" s="221"/>
    </row>
    <row r="20" spans="1:12" ht="19.5" customHeight="1">
      <c r="A20" s="208"/>
      <c r="B20" s="208" t="s">
        <v>335</v>
      </c>
      <c r="D20" s="208" t="s">
        <v>409</v>
      </c>
      <c r="E20" s="211">
        <f t="shared" si="0"/>
        <v>0</v>
      </c>
      <c r="G20" s="221"/>
      <c r="H20" s="211">
        <f t="shared" si="1"/>
        <v>165638.17831255434</v>
      </c>
      <c r="I20" s="221">
        <f>6089675.2+6107695.88+10654072</f>
        <v>22851443.08</v>
      </c>
      <c r="J20" s="222"/>
      <c r="K20" s="223"/>
      <c r="L20" s="221"/>
    </row>
    <row r="21" spans="1:13" ht="19.5" customHeight="1" thickBot="1">
      <c r="A21" s="208"/>
      <c r="B21" s="225" t="s">
        <v>40</v>
      </c>
      <c r="D21" s="225" t="s">
        <v>40</v>
      </c>
      <c r="E21" s="211">
        <f t="shared" si="0"/>
        <v>1228358.360740794</v>
      </c>
      <c r="G21" s="232">
        <f>SUM(G15:G20)</f>
        <v>170459289.72</v>
      </c>
      <c r="H21" s="231">
        <f t="shared" si="1"/>
        <v>1467172.4491156854</v>
      </c>
      <c r="I21" s="232">
        <f>SUM(I15:I20)</f>
        <v>202411111.07999998</v>
      </c>
      <c r="J21" s="222"/>
      <c r="K21" s="223"/>
      <c r="L21" s="241"/>
      <c r="M21" s="225"/>
    </row>
    <row r="22" spans="1:13" ht="19.5" customHeight="1">
      <c r="A22" s="208"/>
      <c r="B22" s="215"/>
      <c r="D22" s="215"/>
      <c r="E22" s="211">
        <f t="shared" si="0"/>
        <v>0</v>
      </c>
      <c r="G22" s="228"/>
      <c r="I22" s="228"/>
      <c r="J22" s="222"/>
      <c r="K22" s="223"/>
      <c r="L22" s="228"/>
      <c r="M22" s="215"/>
    </row>
    <row r="23" spans="1:13" ht="19.5" customHeight="1">
      <c r="A23" s="233" t="s">
        <v>441</v>
      </c>
      <c r="B23" s="233"/>
      <c r="C23" s="233" t="s">
        <v>410</v>
      </c>
      <c r="D23" s="233" t="s">
        <v>633</v>
      </c>
      <c r="E23" s="211">
        <f t="shared" si="0"/>
        <v>0</v>
      </c>
      <c r="G23" s="221"/>
      <c r="I23" s="221"/>
      <c r="J23" s="222"/>
      <c r="K23" s="223"/>
      <c r="L23" s="221"/>
      <c r="M23" s="215"/>
    </row>
    <row r="24" spans="1:12" ht="19.5" customHeight="1">
      <c r="A24" s="208"/>
      <c r="B24" s="234" t="s">
        <v>337</v>
      </c>
      <c r="D24" s="208" t="s">
        <v>411</v>
      </c>
      <c r="E24" s="211">
        <f t="shared" si="0"/>
        <v>1121748.2986236217</v>
      </c>
      <c r="F24" s="211" t="s">
        <v>79</v>
      </c>
      <c r="G24" s="235">
        <f>tjera!C26</f>
        <v>155665011.4</v>
      </c>
      <c r="H24" s="211">
        <f>I24/137.96</f>
        <v>725495.275804581</v>
      </c>
      <c r="I24" s="235">
        <f>100089328.25</f>
        <v>100089328.25</v>
      </c>
      <c r="J24" s="222"/>
      <c r="K24" s="223"/>
      <c r="L24" s="235"/>
    </row>
    <row r="25" spans="1:12" ht="19.5" customHeight="1">
      <c r="A25" s="208"/>
      <c r="B25" s="234" t="s">
        <v>338</v>
      </c>
      <c r="D25" s="208" t="s">
        <v>412</v>
      </c>
      <c r="E25" s="211">
        <f t="shared" si="0"/>
        <v>125665.491316567</v>
      </c>
      <c r="F25" s="211" t="s">
        <v>79</v>
      </c>
      <c r="G25" s="235">
        <f>tjera!C29+tjera!C30+tjera!C32+tjera!C33-tjera!C33+tjera!C31</f>
        <v>17438600.230000004</v>
      </c>
      <c r="H25" s="211">
        <f>I25/137.96</f>
        <v>43712.5090605973</v>
      </c>
      <c r="I25" s="235">
        <f>3568025-100000+89678179.4-103719711.42+17249126.77+203915-848957</f>
        <v>6030577.750000004</v>
      </c>
      <c r="J25" s="222"/>
      <c r="K25" s="223"/>
      <c r="L25" s="235"/>
    </row>
    <row r="26" spans="1:12" ht="19.5" customHeight="1">
      <c r="A26" s="208"/>
      <c r="B26" s="236" t="s">
        <v>339</v>
      </c>
      <c r="D26" s="208" t="s">
        <v>413</v>
      </c>
      <c r="E26" s="211">
        <f t="shared" si="0"/>
        <v>38260.559919290914</v>
      </c>
      <c r="F26" s="211" t="s">
        <v>79</v>
      </c>
      <c r="G26" s="221">
        <f>tjera!C33</f>
        <v>5309417.9</v>
      </c>
      <c r="H26" s="211">
        <f>I26/137.96</f>
        <v>37470.27515221803</v>
      </c>
      <c r="I26" s="221">
        <f>4427274.36+742124.8</f>
        <v>5169399.16</v>
      </c>
      <c r="J26" s="222"/>
      <c r="K26" s="223"/>
      <c r="L26" s="221"/>
    </row>
    <row r="27" spans="1:12" ht="19.5" customHeight="1">
      <c r="A27" s="208"/>
      <c r="B27" s="236" t="s">
        <v>340</v>
      </c>
      <c r="D27" s="208" t="s">
        <v>414</v>
      </c>
      <c r="E27" s="211">
        <f t="shared" si="0"/>
        <v>0</v>
      </c>
      <c r="G27" s="221"/>
      <c r="H27" s="211">
        <f>I27/137.96</f>
        <v>0</v>
      </c>
      <c r="I27" s="221"/>
      <c r="J27" s="222"/>
      <c r="K27" s="223"/>
      <c r="L27" s="221"/>
    </row>
    <row r="28" spans="1:13" ht="19.5" customHeight="1" thickBot="1">
      <c r="A28" s="208"/>
      <c r="B28" s="225" t="s">
        <v>41</v>
      </c>
      <c r="D28" s="225" t="s">
        <v>41</v>
      </c>
      <c r="E28" s="211">
        <f t="shared" si="0"/>
        <v>1285674.3498594796</v>
      </c>
      <c r="G28" s="227">
        <f>SUM(G23:G27)</f>
        <v>178413029.53</v>
      </c>
      <c r="H28" s="226">
        <f>I28/137.96</f>
        <v>806678.0600173962</v>
      </c>
      <c r="I28" s="227">
        <f>SUM(I23:I27)</f>
        <v>111289305.16</v>
      </c>
      <c r="J28" s="223"/>
      <c r="K28" s="223"/>
      <c r="L28" s="241"/>
      <c r="M28" s="225"/>
    </row>
    <row r="29" spans="1:12" ht="19.5" customHeight="1" thickTop="1">
      <c r="A29" s="208"/>
      <c r="D29" s="208"/>
      <c r="E29" s="211">
        <f t="shared" si="0"/>
        <v>0</v>
      </c>
      <c r="G29" s="221"/>
      <c r="I29" s="221"/>
      <c r="J29" s="222"/>
      <c r="K29" s="223"/>
      <c r="L29" s="221"/>
    </row>
    <row r="30" spans="1:12" ht="19.5" customHeight="1">
      <c r="A30" s="208"/>
      <c r="B30" s="219" t="s">
        <v>343</v>
      </c>
      <c r="D30" s="208" t="s">
        <v>415</v>
      </c>
      <c r="E30" s="211">
        <f t="shared" si="0"/>
        <v>724389.0786192981</v>
      </c>
      <c r="F30" s="211" t="s">
        <v>80</v>
      </c>
      <c r="G30" s="224">
        <f>tjera!C8</f>
        <v>100523472.44</v>
      </c>
      <c r="H30" s="211">
        <f>I30/137.96</f>
        <v>341391.21991881705</v>
      </c>
      <c r="I30" s="224">
        <f>47098332.7</f>
        <v>47098332.7</v>
      </c>
      <c r="J30" s="222"/>
      <c r="K30" s="223"/>
      <c r="L30" s="224"/>
    </row>
    <row r="31" spans="1:12" ht="19.5" customHeight="1">
      <c r="A31" s="208"/>
      <c r="B31" s="219" t="s">
        <v>344</v>
      </c>
      <c r="D31" s="208" t="s">
        <v>416</v>
      </c>
      <c r="E31" s="211">
        <f t="shared" si="0"/>
        <v>0</v>
      </c>
      <c r="G31" s="228"/>
      <c r="H31" s="211">
        <f>I31/137.96</f>
        <v>0</v>
      </c>
      <c r="I31" s="228"/>
      <c r="J31" s="222"/>
      <c r="K31" s="223"/>
      <c r="L31" s="228"/>
    </row>
    <row r="32" spans="1:12" ht="19.5" customHeight="1">
      <c r="A32" s="208"/>
      <c r="D32" s="208"/>
      <c r="E32" s="211">
        <f t="shared" si="0"/>
        <v>0</v>
      </c>
      <c r="G32" s="221"/>
      <c r="H32" s="211">
        <f>I32/137.96</f>
        <v>0</v>
      </c>
      <c r="I32" s="221"/>
      <c r="J32" s="222"/>
      <c r="K32" s="223"/>
      <c r="L32" s="221"/>
    </row>
    <row r="33" spans="1:13" ht="19.5" customHeight="1" thickBot="1">
      <c r="A33" s="208"/>
      <c r="B33" s="225" t="s">
        <v>349</v>
      </c>
      <c r="D33" s="225" t="s">
        <v>417</v>
      </c>
      <c r="E33" s="211">
        <f t="shared" si="0"/>
        <v>724389.0786192981</v>
      </c>
      <c r="G33" s="232">
        <f>SUM(G30:G32)</f>
        <v>100523472.44</v>
      </c>
      <c r="H33" s="231">
        <f>I33/137.96</f>
        <v>341391.21991881705</v>
      </c>
      <c r="I33" s="232">
        <f>SUM(I30:I32)</f>
        <v>47098332.7</v>
      </c>
      <c r="J33" s="222"/>
      <c r="K33" s="223"/>
      <c r="L33" s="221"/>
      <c r="M33" s="225"/>
    </row>
    <row r="34" spans="1:12" ht="19.5" customHeight="1">
      <c r="A34" s="208"/>
      <c r="D34" s="208"/>
      <c r="E34" s="211">
        <f t="shared" si="0"/>
        <v>0</v>
      </c>
      <c r="G34" s="221"/>
      <c r="I34" s="221"/>
      <c r="J34" s="222"/>
      <c r="K34" s="223"/>
      <c r="L34" s="221"/>
    </row>
    <row r="35" spans="1:12" ht="19.5" customHeight="1">
      <c r="A35" s="208"/>
      <c r="D35" s="208" t="s">
        <v>418</v>
      </c>
      <c r="E35" s="211">
        <f t="shared" si="0"/>
        <v>0</v>
      </c>
      <c r="G35" s="221">
        <v>0</v>
      </c>
      <c r="I35" s="221">
        <v>0</v>
      </c>
      <c r="J35" s="222"/>
      <c r="K35" s="223"/>
      <c r="L35" s="221"/>
    </row>
    <row r="36" spans="1:12" ht="19.5" customHeight="1">
      <c r="A36" s="208"/>
      <c r="B36" s="237" t="s">
        <v>346</v>
      </c>
      <c r="D36" s="208" t="s">
        <v>419</v>
      </c>
      <c r="E36" s="211">
        <f t="shared" si="0"/>
        <v>0</v>
      </c>
      <c r="G36" s="221"/>
      <c r="I36" s="221"/>
      <c r="J36" s="222"/>
      <c r="K36" s="223"/>
      <c r="L36" s="221"/>
    </row>
    <row r="37" spans="1:12" ht="19.5" customHeight="1">
      <c r="A37" s="208"/>
      <c r="B37" s="237" t="s">
        <v>345</v>
      </c>
      <c r="D37" s="208" t="s">
        <v>420</v>
      </c>
      <c r="E37" s="211">
        <f t="shared" si="0"/>
        <v>19492.008287093748</v>
      </c>
      <c r="F37" s="211" t="s">
        <v>628</v>
      </c>
      <c r="G37" s="221">
        <f>+tjera!C36+41922</f>
        <v>2704905.9899999998</v>
      </c>
      <c r="H37" s="211">
        <f>I37/137.96</f>
        <v>27652.678022615248</v>
      </c>
      <c r="I37" s="221">
        <f>574566.27+234027.99+597000.6+537412+555604.47+1316352.13</f>
        <v>3814963.46</v>
      </c>
      <c r="J37" s="222"/>
      <c r="K37" s="223"/>
      <c r="L37" s="221"/>
    </row>
    <row r="38" spans="1:12" ht="19.5" customHeight="1">
      <c r="A38" s="208"/>
      <c r="D38" s="208"/>
      <c r="E38" s="211">
        <f t="shared" si="0"/>
        <v>19492.008287093748</v>
      </c>
      <c r="G38" s="221">
        <f>G37</f>
        <v>2704905.9899999998</v>
      </c>
      <c r="H38" s="211">
        <f>I38/137.96</f>
        <v>27652.678022615248</v>
      </c>
      <c r="I38" s="221">
        <f>574566.27+234027.99+597000.6+537412+555604.47+1316352.13</f>
        <v>3814963.46</v>
      </c>
      <c r="J38" s="238"/>
      <c r="K38" s="223"/>
      <c r="L38" s="221"/>
    </row>
    <row r="39" spans="1:13" ht="19.5" customHeight="1" thickBot="1">
      <c r="A39" s="208"/>
      <c r="B39" s="239" t="s">
        <v>347</v>
      </c>
      <c r="D39" s="240" t="s">
        <v>421</v>
      </c>
      <c r="E39" s="211">
        <f t="shared" si="0"/>
        <v>3257913.7975066653</v>
      </c>
      <c r="G39" s="227">
        <f>+G38+G28+G21+G33</f>
        <v>452100697.68</v>
      </c>
      <c r="H39" s="226">
        <f>I39/137.96</f>
        <v>2642894.407074514</v>
      </c>
      <c r="I39" s="227">
        <f>+I38+I28+I21+I33</f>
        <v>364613712.4</v>
      </c>
      <c r="J39" s="222"/>
      <c r="K39" s="223"/>
      <c r="L39" s="221"/>
      <c r="M39" s="240"/>
    </row>
    <row r="40" spans="1:12" ht="19.5" customHeight="1" thickTop="1">
      <c r="A40" s="208"/>
      <c r="D40" s="208"/>
      <c r="E40" s="211">
        <f t="shared" si="0"/>
        <v>0</v>
      </c>
      <c r="G40" s="221"/>
      <c r="I40" s="221"/>
      <c r="J40" s="222"/>
      <c r="K40" s="223"/>
      <c r="L40" s="221"/>
    </row>
    <row r="41" spans="1:12" ht="19.5" customHeight="1">
      <c r="A41" s="208"/>
      <c r="D41" s="208"/>
      <c r="E41" s="211">
        <f t="shared" si="0"/>
        <v>0</v>
      </c>
      <c r="G41" s="221"/>
      <c r="I41" s="221"/>
      <c r="J41" s="222"/>
      <c r="K41" s="223"/>
      <c r="L41" s="221"/>
    </row>
    <row r="42" spans="1:13" ht="19.5" customHeight="1">
      <c r="A42" s="208"/>
      <c r="B42" s="239" t="s">
        <v>348</v>
      </c>
      <c r="D42" s="215" t="s">
        <v>422</v>
      </c>
      <c r="E42" s="211">
        <f t="shared" si="0"/>
        <v>4084986.5848526335</v>
      </c>
      <c r="G42" s="221">
        <f>+G12+G39</f>
        <v>566873588.38</v>
      </c>
      <c r="H42" s="211">
        <f>I42/137.96</f>
        <v>3592831.830965497</v>
      </c>
      <c r="I42" s="221">
        <f>+I12+I39</f>
        <v>495667079.4</v>
      </c>
      <c r="J42" s="222"/>
      <c r="K42" s="223"/>
      <c r="L42" s="241"/>
      <c r="M42" s="215"/>
    </row>
    <row r="43" spans="1:12" ht="19.5" customHeight="1">
      <c r="A43" s="208"/>
      <c r="D43" s="208"/>
      <c r="E43" s="211">
        <f t="shared" si="0"/>
        <v>0</v>
      </c>
      <c r="G43" s="221"/>
      <c r="I43" s="221"/>
      <c r="J43" s="222"/>
      <c r="K43" s="223"/>
      <c r="L43" s="221"/>
    </row>
    <row r="44" spans="1:12" ht="19.5" customHeight="1">
      <c r="A44" s="208"/>
      <c r="D44" s="208"/>
      <c r="E44" s="211">
        <f t="shared" si="0"/>
        <v>0</v>
      </c>
      <c r="G44" s="221"/>
      <c r="I44" s="221"/>
      <c r="J44" s="222"/>
      <c r="K44" s="223"/>
      <c r="L44" s="221"/>
    </row>
    <row r="45" spans="1:12" ht="19.5" customHeight="1">
      <c r="A45" s="215" t="s">
        <v>369</v>
      </c>
      <c r="C45" s="215" t="s">
        <v>423</v>
      </c>
      <c r="D45" s="208" t="s">
        <v>634</v>
      </c>
      <c r="E45" s="211">
        <f t="shared" si="0"/>
        <v>0</v>
      </c>
      <c r="G45" s="221"/>
      <c r="I45" s="221"/>
      <c r="J45" s="222"/>
      <c r="K45" s="223"/>
      <c r="L45" s="221"/>
    </row>
    <row r="46" spans="1:12" ht="19.5" customHeight="1">
      <c r="A46" s="208"/>
      <c r="D46" s="208"/>
      <c r="E46" s="211">
        <f t="shared" si="0"/>
        <v>0</v>
      </c>
      <c r="G46" s="221"/>
      <c r="I46" s="221"/>
      <c r="J46" s="222"/>
      <c r="K46" s="223"/>
      <c r="L46" s="221"/>
    </row>
    <row r="47" spans="1:12" ht="19.5" customHeight="1">
      <c r="A47" s="215" t="s">
        <v>370</v>
      </c>
      <c r="C47" s="215" t="s">
        <v>424</v>
      </c>
      <c r="D47" s="208" t="s">
        <v>424</v>
      </c>
      <c r="E47" s="211">
        <f t="shared" si="0"/>
        <v>0</v>
      </c>
      <c r="G47" s="221"/>
      <c r="I47" s="221"/>
      <c r="J47" s="222"/>
      <c r="K47" s="223"/>
      <c r="L47" s="221"/>
    </row>
    <row r="48" spans="1:12" ht="19.5" customHeight="1">
      <c r="A48" s="208"/>
      <c r="B48" s="208" t="s">
        <v>329</v>
      </c>
      <c r="D48" s="208" t="s">
        <v>24</v>
      </c>
      <c r="E48" s="211">
        <f t="shared" si="0"/>
        <v>158622.1805865821</v>
      </c>
      <c r="F48" s="211">
        <v>6</v>
      </c>
      <c r="G48" s="235">
        <f>'kap veta'!B22</f>
        <v>22012000</v>
      </c>
      <c r="H48" s="211">
        <f aca="true" t="shared" si="2" ref="H48:H53">I48/137.96</f>
        <v>724.8477819657871</v>
      </c>
      <c r="I48" s="235">
        <v>100000</v>
      </c>
      <c r="J48" s="222"/>
      <c r="K48" s="223"/>
      <c r="L48" s="235"/>
    </row>
    <row r="49" spans="1:12" ht="19.5" customHeight="1">
      <c r="A49" s="208"/>
      <c r="B49" s="208" t="s">
        <v>330</v>
      </c>
      <c r="D49" s="208" t="s">
        <v>425</v>
      </c>
      <c r="E49" s="211">
        <f t="shared" si="0"/>
        <v>0</v>
      </c>
      <c r="G49" s="235"/>
      <c r="H49" s="211">
        <f t="shared" si="2"/>
        <v>0</v>
      </c>
      <c r="I49" s="235"/>
      <c r="J49" s="222"/>
      <c r="K49" s="223"/>
      <c r="L49" s="235"/>
    </row>
    <row r="50" spans="1:12" ht="19.5" customHeight="1">
      <c r="A50" s="208"/>
      <c r="B50" s="242" t="s">
        <v>367</v>
      </c>
      <c r="D50" s="208" t="s">
        <v>426</v>
      </c>
      <c r="E50" s="211">
        <f t="shared" si="0"/>
        <v>0</v>
      </c>
      <c r="G50" s="221"/>
      <c r="H50" s="211">
        <f t="shared" si="2"/>
        <v>0</v>
      </c>
      <c r="I50" s="221"/>
      <c r="J50" s="222"/>
      <c r="K50" s="223"/>
      <c r="L50" s="221"/>
    </row>
    <row r="51" spans="1:12" ht="19.5" customHeight="1">
      <c r="A51" s="208"/>
      <c r="B51" s="208" t="s">
        <v>366</v>
      </c>
      <c r="D51" s="208" t="s">
        <v>27</v>
      </c>
      <c r="E51" s="211">
        <f t="shared" si="0"/>
        <v>144.12336960438134</v>
      </c>
      <c r="F51" s="211">
        <v>6</v>
      </c>
      <c r="G51" s="221">
        <f>20000</f>
        <v>20000</v>
      </c>
      <c r="H51" s="211">
        <f t="shared" si="2"/>
        <v>72.48477819657872</v>
      </c>
      <c r="I51" s="221">
        <v>10000</v>
      </c>
      <c r="J51" s="222"/>
      <c r="K51" s="223"/>
      <c r="L51" s="221"/>
    </row>
    <row r="52" spans="1:12" ht="19.5" customHeight="1">
      <c r="A52" s="208"/>
      <c r="B52" s="242" t="s">
        <v>355</v>
      </c>
      <c r="D52" s="208" t="s">
        <v>1</v>
      </c>
      <c r="E52" s="211">
        <f t="shared" si="0"/>
        <v>0</v>
      </c>
      <c r="G52" s="243"/>
      <c r="H52" s="211">
        <f t="shared" si="2"/>
        <v>0</v>
      </c>
      <c r="I52" s="243"/>
      <c r="J52" s="222"/>
      <c r="K52" s="223"/>
      <c r="L52" s="243"/>
    </row>
    <row r="53" spans="1:12" ht="19.5" customHeight="1">
      <c r="A53" s="208"/>
      <c r="B53" s="208" t="s">
        <v>328</v>
      </c>
      <c r="D53" s="208" t="s">
        <v>28</v>
      </c>
      <c r="E53" s="211">
        <f t="shared" si="0"/>
        <v>12.437846796858109</v>
      </c>
      <c r="F53" s="211">
        <v>6</v>
      </c>
      <c r="G53" s="243">
        <v>1726</v>
      </c>
      <c r="H53" s="211">
        <f t="shared" si="2"/>
        <v>0</v>
      </c>
      <c r="I53" s="243"/>
      <c r="J53" s="222"/>
      <c r="K53" s="223"/>
      <c r="L53" s="243"/>
    </row>
    <row r="54" spans="1:12" ht="19.5" customHeight="1">
      <c r="A54" s="208"/>
      <c r="B54" s="208" t="s">
        <v>327</v>
      </c>
      <c r="D54" s="208" t="s">
        <v>43</v>
      </c>
      <c r="E54" s="211">
        <f t="shared" si="0"/>
        <v>476782.863731354</v>
      </c>
      <c r="F54" s="211">
        <v>6</v>
      </c>
      <c r="G54" s="228">
        <f>'kap veta'!F18</f>
        <v>66163158</v>
      </c>
      <c r="H54" s="211">
        <f>I54/132.65</f>
        <v>165274.98680738785</v>
      </c>
      <c r="I54" s="228">
        <v>21923727</v>
      </c>
      <c r="J54" s="222"/>
      <c r="K54" s="223"/>
      <c r="L54" s="228"/>
    </row>
    <row r="55" spans="1:12" ht="19.5" customHeight="1" thickBot="1">
      <c r="A55" s="208"/>
      <c r="D55" s="208"/>
      <c r="E55" s="211">
        <f t="shared" si="0"/>
        <v>635561.6055343373</v>
      </c>
      <c r="G55" s="227">
        <f>SUM(G48:G54)</f>
        <v>88196884</v>
      </c>
      <c r="H55" s="226">
        <f>I55/137.96</f>
        <v>159710.98144389677</v>
      </c>
      <c r="I55" s="227">
        <f>SUM(I48:I54)</f>
        <v>22033727</v>
      </c>
      <c r="J55" s="222"/>
      <c r="K55" s="223"/>
      <c r="L55" s="221"/>
    </row>
    <row r="56" spans="1:12" ht="19.5" customHeight="1" thickTop="1">
      <c r="A56" s="208"/>
      <c r="D56" s="208"/>
      <c r="E56" s="211">
        <f t="shared" si="0"/>
        <v>0</v>
      </c>
      <c r="G56" s="221"/>
      <c r="I56" s="221"/>
      <c r="J56" s="222"/>
      <c r="K56" s="223"/>
      <c r="L56" s="221"/>
    </row>
    <row r="57" spans="1:12" ht="19.5" customHeight="1">
      <c r="A57" s="219" t="s">
        <v>352</v>
      </c>
      <c r="C57" s="215" t="s">
        <v>427</v>
      </c>
      <c r="D57" s="208" t="s">
        <v>635</v>
      </c>
      <c r="E57" s="211">
        <f t="shared" si="0"/>
        <v>0</v>
      </c>
      <c r="F57" s="211">
        <v>7</v>
      </c>
      <c r="G57" s="221"/>
      <c r="I57" s="221"/>
      <c r="J57" s="222"/>
      <c r="K57" s="223"/>
      <c r="L57" s="221"/>
    </row>
    <row r="58" spans="1:12" ht="19.5" customHeight="1">
      <c r="A58" s="208"/>
      <c r="B58" s="244" t="s">
        <v>352</v>
      </c>
      <c r="D58" s="208" t="s">
        <v>428</v>
      </c>
      <c r="E58" s="211">
        <f t="shared" si="0"/>
        <v>944108.3869712471</v>
      </c>
      <c r="F58" s="211" t="s">
        <v>629</v>
      </c>
      <c r="G58" s="228">
        <f>tjera!C107</f>
        <v>131013920.85999998</v>
      </c>
      <c r="H58" s="211">
        <f aca="true" t="shared" si="3" ref="H58:H63">I58/137.96</f>
        <v>683126.6656277183</v>
      </c>
      <c r="I58" s="228">
        <v>94244154.79000002</v>
      </c>
      <c r="J58" s="222"/>
      <c r="K58" s="223"/>
      <c r="L58" s="228"/>
    </row>
    <row r="59" spans="1:12" ht="19.5" customHeight="1">
      <c r="A59" s="208"/>
      <c r="B59" s="245" t="s">
        <v>396</v>
      </c>
      <c r="D59" s="208" t="s">
        <v>429</v>
      </c>
      <c r="E59" s="211">
        <f t="shared" si="0"/>
        <v>0</v>
      </c>
      <c r="G59" s="228"/>
      <c r="H59" s="211">
        <f t="shared" si="3"/>
        <v>418601.13801101764</v>
      </c>
      <c r="I59" s="228">
        <v>57750213</v>
      </c>
      <c r="J59" s="222"/>
      <c r="K59" s="223"/>
      <c r="L59" s="228"/>
    </row>
    <row r="60" spans="1:12" ht="19.5" customHeight="1">
      <c r="A60" s="208"/>
      <c r="B60" s="245" t="s">
        <v>353</v>
      </c>
      <c r="D60" s="208" t="s">
        <v>430</v>
      </c>
      <c r="E60" s="211">
        <f t="shared" si="0"/>
        <v>0</v>
      </c>
      <c r="G60" s="221"/>
      <c r="H60" s="211">
        <f t="shared" si="3"/>
        <v>0</v>
      </c>
      <c r="I60" s="221"/>
      <c r="J60" s="222"/>
      <c r="K60" s="223"/>
      <c r="L60" s="221"/>
    </row>
    <row r="61" spans="1:12" ht="19.5" customHeight="1">
      <c r="A61" s="208"/>
      <c r="B61" s="245" t="s">
        <v>354</v>
      </c>
      <c r="D61" s="208" t="s">
        <v>431</v>
      </c>
      <c r="E61" s="211">
        <f t="shared" si="0"/>
        <v>41417.4973697485</v>
      </c>
      <c r="F61" s="211" t="s">
        <v>630</v>
      </c>
      <c r="G61" s="228">
        <f>3522088+1459787.09+73884.68+393105.64+298640.7</f>
        <v>5747506.109999999</v>
      </c>
      <c r="H61" s="211">
        <f t="shared" si="3"/>
        <v>65840.18621339518</v>
      </c>
      <c r="I61" s="228">
        <f>7044165+2039147.09</f>
        <v>9083312.09</v>
      </c>
      <c r="J61" s="222"/>
      <c r="K61" s="223"/>
      <c r="L61" s="228"/>
    </row>
    <row r="62" spans="1:12" ht="19.5" customHeight="1">
      <c r="A62" s="208"/>
      <c r="D62" s="208"/>
      <c r="E62" s="211">
        <f t="shared" si="0"/>
        <v>0</v>
      </c>
      <c r="G62" s="221"/>
      <c r="H62" s="211">
        <f t="shared" si="3"/>
        <v>0</v>
      </c>
      <c r="I62" s="221"/>
      <c r="J62" s="222"/>
      <c r="K62" s="223"/>
      <c r="L62" s="221"/>
    </row>
    <row r="63" spans="1:13" ht="19.5" customHeight="1" thickBot="1">
      <c r="A63" s="208"/>
      <c r="B63" s="246" t="s">
        <v>351</v>
      </c>
      <c r="D63" s="240" t="s">
        <v>432</v>
      </c>
      <c r="E63" s="211">
        <f t="shared" si="0"/>
        <v>985525.8843409956</v>
      </c>
      <c r="G63" s="227">
        <f>SUM(G58:G62)</f>
        <v>136761426.96999997</v>
      </c>
      <c r="H63" s="226">
        <f t="shared" si="3"/>
        <v>1167567.989852131</v>
      </c>
      <c r="I63" s="227">
        <f>SUM(I58:I62)</f>
        <v>161077679.88000003</v>
      </c>
      <c r="J63" s="222"/>
      <c r="K63" s="223"/>
      <c r="L63" s="221"/>
      <c r="M63" s="240"/>
    </row>
    <row r="64" spans="1:12" ht="19.5" customHeight="1" thickTop="1">
      <c r="A64" s="208"/>
      <c r="D64" s="208"/>
      <c r="E64" s="211">
        <f t="shared" si="0"/>
        <v>0</v>
      </c>
      <c r="G64" s="221"/>
      <c r="I64" s="221"/>
      <c r="J64" s="222"/>
      <c r="K64" s="223"/>
      <c r="L64" s="221"/>
    </row>
    <row r="65" spans="1:12" ht="19.5" customHeight="1">
      <c r="A65" s="208"/>
      <c r="D65" s="208"/>
      <c r="E65" s="211">
        <f t="shared" si="0"/>
        <v>0</v>
      </c>
      <c r="G65" s="221"/>
      <c r="I65" s="221"/>
      <c r="J65" s="222"/>
      <c r="K65" s="223"/>
      <c r="L65" s="221"/>
    </row>
    <row r="66" spans="1:12" ht="19.5" customHeight="1">
      <c r="A66" s="219"/>
      <c r="C66" s="208" t="s">
        <v>433</v>
      </c>
      <c r="D66" s="208"/>
      <c r="E66" s="211">
        <f t="shared" si="0"/>
        <v>0</v>
      </c>
      <c r="G66" s="221"/>
      <c r="I66" s="221"/>
      <c r="J66" s="222"/>
      <c r="K66" s="223"/>
      <c r="L66" s="221"/>
    </row>
    <row r="67" spans="1:12" ht="19.5" customHeight="1">
      <c r="A67" s="219" t="s">
        <v>356</v>
      </c>
      <c r="C67" s="208" t="s">
        <v>434</v>
      </c>
      <c r="D67" s="208" t="s">
        <v>636</v>
      </c>
      <c r="E67" s="211">
        <f t="shared" si="0"/>
        <v>0</v>
      </c>
      <c r="G67" s="221"/>
      <c r="I67" s="221"/>
      <c r="J67" s="222"/>
      <c r="K67" s="223"/>
      <c r="L67" s="221"/>
    </row>
    <row r="68" spans="1:13" ht="19.5" customHeight="1">
      <c r="A68" s="208"/>
      <c r="B68" s="219" t="s">
        <v>357</v>
      </c>
      <c r="D68" s="247" t="s">
        <v>435</v>
      </c>
      <c r="E68" s="211">
        <f t="shared" si="0"/>
        <v>350000</v>
      </c>
      <c r="G68" s="221">
        <f>48569500</f>
        <v>48569500</v>
      </c>
      <c r="H68" s="211">
        <f>I68/137.96</f>
        <v>349934.769933314</v>
      </c>
      <c r="I68" s="221">
        <f>48277000.86</f>
        <v>48277000.86</v>
      </c>
      <c r="J68" s="222"/>
      <c r="K68" s="223"/>
      <c r="L68" s="221"/>
      <c r="M68" s="247"/>
    </row>
    <row r="69" spans="1:13" ht="19.5" customHeight="1">
      <c r="A69" s="208"/>
      <c r="B69" s="248" t="s">
        <v>456</v>
      </c>
      <c r="D69" s="247" t="s">
        <v>436</v>
      </c>
      <c r="E69" s="211">
        <f t="shared" si="0"/>
        <v>0</v>
      </c>
      <c r="G69" s="221"/>
      <c r="H69" s="211">
        <f aca="true" t="shared" si="4" ref="H69:H77">I69/137.96</f>
        <v>0</v>
      </c>
      <c r="I69" s="221"/>
      <c r="J69" s="222"/>
      <c r="K69" s="223"/>
      <c r="L69" s="221"/>
      <c r="M69" s="247"/>
    </row>
    <row r="70" spans="1:13" ht="19.5" customHeight="1">
      <c r="A70" s="208"/>
      <c r="B70" s="249" t="s">
        <v>358</v>
      </c>
      <c r="D70" s="247" t="s">
        <v>25</v>
      </c>
      <c r="E70" s="211">
        <f t="shared" si="0"/>
        <v>1368124.6335663327</v>
      </c>
      <c r="F70" s="211" t="s">
        <v>81</v>
      </c>
      <c r="G70" s="235">
        <f>189879634-24978.6</f>
        <v>189854655.4</v>
      </c>
      <c r="H70" s="211">
        <f t="shared" si="4"/>
        <v>1039959.2997970425</v>
      </c>
      <c r="I70" s="235">
        <f>150646705-52000*137.96</f>
        <v>143472785</v>
      </c>
      <c r="J70" s="222"/>
      <c r="K70" s="223"/>
      <c r="L70" s="235"/>
      <c r="M70" s="247"/>
    </row>
    <row r="71" spans="1:13" ht="19.5" customHeight="1">
      <c r="A71" s="208"/>
      <c r="B71" s="249" t="s">
        <v>359</v>
      </c>
      <c r="D71" s="247" t="s">
        <v>44</v>
      </c>
      <c r="E71" s="211">
        <f t="shared" si="0"/>
        <v>1621.38790804929</v>
      </c>
      <c r="F71" s="211" t="s">
        <v>195</v>
      </c>
      <c r="G71" s="235">
        <f>220000+5000</f>
        <v>225000</v>
      </c>
      <c r="H71" s="211">
        <f t="shared" si="4"/>
        <v>4533.66917947231</v>
      </c>
      <c r="I71" s="235">
        <f>620465+5000</f>
        <v>625465</v>
      </c>
      <c r="J71" s="222"/>
      <c r="K71" s="223"/>
      <c r="L71" s="235"/>
      <c r="M71" s="247"/>
    </row>
    <row r="72" spans="1:13" ht="19.5" customHeight="1">
      <c r="A72" s="208"/>
      <c r="B72" s="249" t="s">
        <v>360</v>
      </c>
      <c r="D72" s="247" t="s">
        <v>74</v>
      </c>
      <c r="E72" s="211">
        <f t="shared" si="0"/>
        <v>27985.40534697701</v>
      </c>
      <c r="F72" s="211" t="s">
        <v>82</v>
      </c>
      <c r="G72" s="235">
        <f>tjera!C112</f>
        <v>3883534.7</v>
      </c>
      <c r="H72" s="211">
        <f t="shared" si="4"/>
        <v>4496.245288489417</v>
      </c>
      <c r="I72" s="235">
        <f>203125+417177</f>
        <v>620302</v>
      </c>
      <c r="J72" s="222"/>
      <c r="K72" s="223"/>
      <c r="L72" s="235"/>
      <c r="M72" s="247"/>
    </row>
    <row r="73" spans="1:14" ht="19.5" customHeight="1">
      <c r="A73" s="208"/>
      <c r="B73" s="249" t="s">
        <v>361</v>
      </c>
      <c r="D73" s="247" t="s">
        <v>457</v>
      </c>
      <c r="E73" s="211">
        <f aca="true" t="shared" si="5" ref="E73:E82">G73/$E$4</f>
        <v>640544.80795561</v>
      </c>
      <c r="F73" s="211" t="s">
        <v>194</v>
      </c>
      <c r="G73" s="235">
        <f>88888403</f>
        <v>88888403</v>
      </c>
      <c r="H73" s="211">
        <f t="shared" si="4"/>
        <v>644305.6174253406</v>
      </c>
      <c r="I73" s="235">
        <f>66666302.23+22222100.75</f>
        <v>88888402.97999999</v>
      </c>
      <c r="J73" s="222"/>
      <c r="K73" s="223"/>
      <c r="L73" s="235"/>
      <c r="M73" s="247"/>
      <c r="N73" s="250"/>
    </row>
    <row r="74" spans="1:13" ht="19.5" customHeight="1">
      <c r="A74" s="208"/>
      <c r="B74" s="249" t="s">
        <v>362</v>
      </c>
      <c r="D74" s="247" t="s">
        <v>26</v>
      </c>
      <c r="E74" s="211">
        <f t="shared" si="5"/>
        <v>75622.86135331844</v>
      </c>
      <c r="G74" s="235">
        <f>10414659.09+79525.38</f>
        <v>10494184.47</v>
      </c>
      <c r="H74" s="211">
        <f t="shared" si="4"/>
        <v>222323.2572484778</v>
      </c>
      <c r="I74" s="235">
        <f>30671716.57</f>
        <v>30671716.57</v>
      </c>
      <c r="J74" s="222"/>
      <c r="K74" s="223"/>
      <c r="L74" s="235"/>
      <c r="M74" s="247"/>
    </row>
    <row r="75" spans="1:12" ht="19.5" customHeight="1">
      <c r="A75" s="208"/>
      <c r="D75" s="208"/>
      <c r="E75" s="211">
        <f t="shared" si="5"/>
        <v>0</v>
      </c>
      <c r="G75" s="221"/>
      <c r="H75" s="211">
        <f t="shared" si="4"/>
        <v>0</v>
      </c>
      <c r="I75" s="221"/>
      <c r="J75" s="222"/>
      <c r="K75" s="223"/>
      <c r="L75" s="221"/>
    </row>
    <row r="76" spans="1:12" ht="19.5" customHeight="1">
      <c r="A76" s="208"/>
      <c r="B76" s="245" t="s">
        <v>363</v>
      </c>
      <c r="D76" s="208" t="s">
        <v>431</v>
      </c>
      <c r="E76" s="211">
        <f t="shared" si="5"/>
        <v>0</v>
      </c>
      <c r="G76" s="221"/>
      <c r="H76" s="211">
        <f t="shared" si="4"/>
        <v>0</v>
      </c>
      <c r="I76" s="221"/>
      <c r="J76" s="222"/>
      <c r="K76" s="223"/>
      <c r="L76" s="221"/>
    </row>
    <row r="77" spans="1:12" ht="19.5" customHeight="1">
      <c r="A77" s="208"/>
      <c r="B77" s="251" t="s">
        <v>364</v>
      </c>
      <c r="D77" s="208" t="s">
        <v>437</v>
      </c>
      <c r="E77" s="211">
        <f t="shared" si="5"/>
        <v>0</v>
      </c>
      <c r="G77" s="221"/>
      <c r="H77" s="211">
        <f t="shared" si="4"/>
        <v>0</v>
      </c>
      <c r="I77" s="221"/>
      <c r="J77" s="222"/>
      <c r="K77" s="223"/>
      <c r="L77" s="221"/>
    </row>
    <row r="78" spans="1:12" ht="19.5" customHeight="1">
      <c r="A78" s="208"/>
      <c r="B78" s="208" t="s">
        <v>395</v>
      </c>
      <c r="D78" s="208" t="s">
        <v>438</v>
      </c>
      <c r="E78" s="211">
        <f>'ardh-shpenz'!E26-'BK'!E54</f>
        <v>3356.166021910787</v>
      </c>
      <c r="G78" s="221"/>
      <c r="H78" s="211">
        <v>6361</v>
      </c>
      <c r="I78" s="221"/>
      <c r="J78" s="222"/>
      <c r="K78" s="223"/>
      <c r="L78" s="221"/>
    </row>
    <row r="79" spans="1:13" ht="19.5" customHeight="1" thickBot="1">
      <c r="A79" s="208"/>
      <c r="B79" s="246" t="s">
        <v>365</v>
      </c>
      <c r="D79" s="240" t="s">
        <v>439</v>
      </c>
      <c r="E79" s="211">
        <f t="shared" si="5"/>
        <v>2463899.0961302877</v>
      </c>
      <c r="G79" s="227">
        <f>SUM(G65:G77)</f>
        <v>341915277.57000005</v>
      </c>
      <c r="H79" s="226">
        <f>I79/137.96</f>
        <v>2265552.858872137</v>
      </c>
      <c r="I79" s="227">
        <f>SUM(I65:I77)</f>
        <v>312555672.41</v>
      </c>
      <c r="J79" s="222"/>
      <c r="K79" s="223"/>
      <c r="L79" s="221"/>
      <c r="M79" s="240"/>
    </row>
    <row r="80" spans="1:9" ht="19.5" customHeight="1" thickTop="1">
      <c r="A80" s="208"/>
      <c r="D80" s="208"/>
      <c r="E80" s="211">
        <f t="shared" si="5"/>
        <v>0</v>
      </c>
      <c r="G80" s="247"/>
      <c r="I80" s="247"/>
    </row>
    <row r="81" spans="1:12" ht="19.5" customHeight="1">
      <c r="A81" s="208"/>
      <c r="D81" s="208"/>
      <c r="E81" s="211">
        <f t="shared" si="5"/>
        <v>0</v>
      </c>
      <c r="G81" s="228"/>
      <c r="I81" s="228"/>
      <c r="J81" s="222"/>
      <c r="K81" s="223"/>
      <c r="L81" s="228"/>
    </row>
    <row r="82" spans="1:14" ht="19.5" customHeight="1">
      <c r="A82" s="208"/>
      <c r="B82" s="252" t="s">
        <v>458</v>
      </c>
      <c r="D82" s="240" t="s">
        <v>440</v>
      </c>
      <c r="E82" s="211">
        <f t="shared" si="5"/>
        <v>4084986.58600562</v>
      </c>
      <c r="G82" s="228">
        <f>+G55+G63+G79+G78</f>
        <v>566873588.54</v>
      </c>
      <c r="H82" s="211">
        <f>I82/137.96</f>
        <v>3592831.8301681653</v>
      </c>
      <c r="I82" s="228">
        <f>+I55+I63+I79+I78</f>
        <v>495667079.2900001</v>
      </c>
      <c r="J82" s="223"/>
      <c r="K82" s="223"/>
      <c r="L82" s="253"/>
      <c r="M82" s="240"/>
      <c r="N82" s="250"/>
    </row>
    <row r="83" spans="7:12" ht="19.5" customHeight="1">
      <c r="G83" s="254"/>
      <c r="I83" s="254"/>
      <c r="J83" s="222"/>
      <c r="K83" s="223"/>
      <c r="L83" s="228"/>
    </row>
    <row r="84" spans="4:12" ht="19.5" customHeight="1">
      <c r="D84" s="8" t="s">
        <v>650</v>
      </c>
      <c r="E84" s="364"/>
      <c r="F84" s="364"/>
      <c r="G84" s="18" t="s">
        <v>644</v>
      </c>
      <c r="I84" s="254"/>
      <c r="J84" s="222"/>
      <c r="K84" s="223"/>
      <c r="L84" s="228"/>
    </row>
    <row r="85" spans="4:12" ht="19.5" customHeight="1">
      <c r="D85" s="8" t="s">
        <v>645</v>
      </c>
      <c r="E85" s="364"/>
      <c r="F85" s="364"/>
      <c r="G85" s="18" t="s">
        <v>646</v>
      </c>
      <c r="I85" s="254">
        <f>I82-I42</f>
        <v>-0.1099998950958252</v>
      </c>
      <c r="J85" s="222"/>
      <c r="K85" s="223"/>
      <c r="L85" s="228"/>
    </row>
    <row r="86" spans="7:12" ht="19.5" customHeight="1">
      <c r="G86" s="254"/>
      <c r="I86" s="254"/>
      <c r="J86" s="222"/>
      <c r="K86" s="223"/>
      <c r="L86" s="228"/>
    </row>
    <row r="87" ht="19.5" customHeight="1">
      <c r="M87" s="222"/>
    </row>
    <row r="90" spans="7:12" ht="19.5" customHeight="1">
      <c r="G90" s="254"/>
      <c r="I90" s="254"/>
      <c r="L90" s="228"/>
    </row>
  </sheetData>
  <sheetProtection/>
  <mergeCells count="1">
    <mergeCell ref="A2:B2"/>
  </mergeCells>
  <printOptions/>
  <pageMargins left="0.17" right="0.21" top="0.4" bottom="0.36" header="0.26" footer="0.1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C16">
      <selection activeCell="C30" sqref="C30"/>
    </sheetView>
  </sheetViews>
  <sheetFormatPr defaultColWidth="9.140625" defaultRowHeight="24.75" customHeight="1"/>
  <cols>
    <col min="1" max="1" width="13.57421875" style="129" hidden="1" customWidth="1"/>
    <col min="2" max="2" width="0.2890625" style="129" hidden="1" customWidth="1"/>
    <col min="3" max="3" width="59.140625" style="129" customWidth="1"/>
    <col min="4" max="4" width="11.57421875" style="128" customWidth="1"/>
    <col min="5" max="5" width="0.42578125" style="128" customWidth="1"/>
    <col min="6" max="6" width="20.140625" style="129" customWidth="1"/>
    <col min="7" max="7" width="0.2890625" style="128" customWidth="1"/>
    <col min="8" max="8" width="18.8515625" style="129" customWidth="1"/>
    <col min="9" max="9" width="11.7109375" style="129" customWidth="1"/>
    <col min="10" max="10" width="10.140625" style="129" bestFit="1" customWidth="1"/>
    <col min="11" max="16384" width="9.140625" style="129" customWidth="1"/>
  </cols>
  <sheetData>
    <row r="1" spans="1:3" ht="24.75" customHeight="1">
      <c r="A1" s="130" t="s">
        <v>83</v>
      </c>
      <c r="B1" s="127"/>
      <c r="C1" s="127" t="s">
        <v>638</v>
      </c>
    </row>
    <row r="2" spans="1:6" ht="24.75" customHeight="1">
      <c r="A2" s="255" t="s">
        <v>460</v>
      </c>
      <c r="C2" s="370" t="s">
        <v>637</v>
      </c>
      <c r="D2" s="370"/>
      <c r="E2" s="370"/>
      <c r="F2" s="370"/>
    </row>
    <row r="3" ht="24.75" customHeight="1">
      <c r="A3" s="255" t="s">
        <v>385</v>
      </c>
    </row>
    <row r="4" spans="4:8" ht="24.75" customHeight="1" thickBot="1">
      <c r="D4" s="128" t="s">
        <v>75</v>
      </c>
      <c r="E4" s="256" t="s">
        <v>459</v>
      </c>
      <c r="F4" s="256" t="s">
        <v>627</v>
      </c>
      <c r="G4" s="256" t="s">
        <v>386</v>
      </c>
      <c r="H4" s="256" t="s">
        <v>640</v>
      </c>
    </row>
    <row r="5" ht="24.75" customHeight="1" thickTop="1"/>
    <row r="6" spans="1:9" ht="24.75" customHeight="1">
      <c r="A6" s="127"/>
      <c r="B6" s="349" t="s">
        <v>371</v>
      </c>
      <c r="C6" s="347" t="s">
        <v>442</v>
      </c>
      <c r="D6" s="128" t="s">
        <v>196</v>
      </c>
      <c r="E6" s="257">
        <f>F6/137.8</f>
        <v>8178184.904281567</v>
      </c>
      <c r="F6" s="258">
        <f>tjera!C155</f>
        <v>1126953879.81</v>
      </c>
      <c r="G6" s="257">
        <v>4845451.478477196</v>
      </c>
      <c r="H6" s="258">
        <v>642749138.62</v>
      </c>
      <c r="I6" s="259"/>
    </row>
    <row r="7" spans="1:9" ht="24.75" customHeight="1">
      <c r="A7" s="127"/>
      <c r="B7" s="130" t="s">
        <v>198</v>
      </c>
      <c r="C7" s="127" t="s">
        <v>641</v>
      </c>
      <c r="E7" s="257">
        <f aca="true" t="shared" si="0" ref="E7:E26">F7/137.8</f>
        <v>29763.701015965165</v>
      </c>
      <c r="F7" s="258">
        <f>tjera!C159+tjera!C160</f>
        <v>4101438</v>
      </c>
      <c r="G7" s="257">
        <v>26551.662269129287</v>
      </c>
      <c r="H7" s="258">
        <v>3522078</v>
      </c>
      <c r="I7" s="259"/>
    </row>
    <row r="8" spans="1:9" ht="24.75" customHeight="1">
      <c r="A8" s="127"/>
      <c r="B8" s="349" t="s">
        <v>372</v>
      </c>
      <c r="C8" s="127" t="s">
        <v>443</v>
      </c>
      <c r="D8" s="128" t="s">
        <v>197</v>
      </c>
      <c r="E8" s="257">
        <f t="shared" si="0"/>
        <v>435676.4592888244</v>
      </c>
      <c r="F8" s="258">
        <f>tjera!C168-F7</f>
        <v>60036216.09000001</v>
      </c>
      <c r="G8" s="257">
        <v>267870.04334715416</v>
      </c>
      <c r="H8" s="258">
        <v>35532961.25</v>
      </c>
      <c r="I8" s="259"/>
    </row>
    <row r="9" spans="1:9" ht="24.75" customHeight="1">
      <c r="A9" s="127"/>
      <c r="B9" s="349" t="s">
        <v>373</v>
      </c>
      <c r="C9" s="348" t="s">
        <v>444</v>
      </c>
      <c r="E9" s="257">
        <f t="shared" si="0"/>
        <v>0</v>
      </c>
      <c r="F9" s="258"/>
      <c r="G9" s="257">
        <v>0</v>
      </c>
      <c r="H9" s="258"/>
      <c r="I9" s="259"/>
    </row>
    <row r="10" spans="1:9" ht="24.75" customHeight="1">
      <c r="A10" s="127"/>
      <c r="B10" s="260" t="s">
        <v>29</v>
      </c>
      <c r="C10" s="348" t="s">
        <v>29</v>
      </c>
      <c r="E10" s="257">
        <f t="shared" si="0"/>
        <v>0</v>
      </c>
      <c r="F10" s="258"/>
      <c r="G10" s="257">
        <v>0</v>
      </c>
      <c r="H10" s="258"/>
      <c r="I10" s="259"/>
    </row>
    <row r="11" spans="1:9" ht="24.75" customHeight="1">
      <c r="A11" s="127"/>
      <c r="B11" s="349" t="s">
        <v>374</v>
      </c>
      <c r="C11" s="127" t="s">
        <v>445</v>
      </c>
      <c r="D11" s="128">
        <v>9</v>
      </c>
      <c r="E11" s="257">
        <f t="shared" si="0"/>
        <v>-6976737.461248185</v>
      </c>
      <c r="F11" s="258">
        <v>-961394422.16</v>
      </c>
      <c r="G11" s="257">
        <v>-3833211.1160196005</v>
      </c>
      <c r="H11" s="258">
        <v>-508475454.54</v>
      </c>
      <c r="I11" s="259"/>
    </row>
    <row r="12" spans="1:9" ht="24.75" customHeight="1">
      <c r="A12" s="127"/>
      <c r="B12" s="349" t="s">
        <v>375</v>
      </c>
      <c r="C12" s="127" t="s">
        <v>446</v>
      </c>
      <c r="D12" s="128">
        <v>10</v>
      </c>
      <c r="E12" s="257">
        <f t="shared" si="0"/>
        <v>-477095.2079825834</v>
      </c>
      <c r="F12" s="258">
        <f>-tjera!C231</f>
        <v>-65743719.66</v>
      </c>
      <c r="G12" s="257">
        <v>-447337.15816057293</v>
      </c>
      <c r="H12" s="258">
        <v>-59339274.03</v>
      </c>
      <c r="I12" s="259"/>
    </row>
    <row r="13" spans="1:9" ht="24.75" customHeight="1">
      <c r="A13" s="127"/>
      <c r="B13" s="349" t="s">
        <v>376</v>
      </c>
      <c r="C13" s="127" t="s">
        <v>447</v>
      </c>
      <c r="D13" s="128">
        <v>11</v>
      </c>
      <c r="E13" s="257">
        <f t="shared" si="0"/>
        <v>-212876.68359941943</v>
      </c>
      <c r="F13" s="258">
        <v>-29334407</v>
      </c>
      <c r="G13" s="257">
        <v>-217438.36788541274</v>
      </c>
      <c r="H13" s="258">
        <v>-28843199.5</v>
      </c>
      <c r="I13" s="259"/>
    </row>
    <row r="14" spans="1:9" ht="24.75" customHeight="1">
      <c r="A14" s="127"/>
      <c r="B14" s="349" t="s">
        <v>377</v>
      </c>
      <c r="C14" s="127" t="s">
        <v>448</v>
      </c>
      <c r="E14" s="257">
        <f t="shared" si="0"/>
        <v>-250077.29999999996</v>
      </c>
      <c r="F14" s="258">
        <f>-26651363-7809288.94</f>
        <v>-34460651.94</v>
      </c>
      <c r="G14" s="257">
        <v>-170850.08820203543</v>
      </c>
      <c r="H14" s="258">
        <v>-22663264.2</v>
      </c>
      <c r="I14" s="259"/>
    </row>
    <row r="15" spans="1:9" s="127" customFormat="1" ht="24.75" customHeight="1" thickBot="1">
      <c r="A15" s="368" t="s">
        <v>378</v>
      </c>
      <c r="B15" s="369"/>
      <c r="D15" s="261"/>
      <c r="E15" s="257">
        <f t="shared" si="0"/>
        <v>726838.4117561675</v>
      </c>
      <c r="F15" s="262">
        <f>SUM(F6:F14)</f>
        <v>100158333.1399999</v>
      </c>
      <c r="G15" s="257">
        <v>471036.4538258573</v>
      </c>
      <c r="H15" s="262">
        <v>62482985.59999998</v>
      </c>
      <c r="I15" s="259"/>
    </row>
    <row r="16" spans="2:8" s="127" customFormat="1" ht="24.75" customHeight="1" thickTop="1">
      <c r="B16" s="263"/>
      <c r="C16" s="263"/>
      <c r="D16" s="261"/>
      <c r="E16" s="257">
        <f t="shared" si="0"/>
        <v>0</v>
      </c>
      <c r="F16" s="264"/>
      <c r="G16" s="257">
        <v>0</v>
      </c>
      <c r="H16" s="264"/>
    </row>
    <row r="17" spans="4:8" s="127" customFormat="1" ht="24.75" customHeight="1">
      <c r="D17" s="261"/>
      <c r="E17" s="257">
        <f t="shared" si="0"/>
        <v>0</v>
      </c>
      <c r="F17" s="264"/>
      <c r="G17" s="257">
        <v>0</v>
      </c>
      <c r="H17" s="264"/>
    </row>
    <row r="18" spans="2:8" ht="24.75" customHeight="1">
      <c r="B18" s="265" t="s">
        <v>380</v>
      </c>
      <c r="C18" s="260" t="s">
        <v>449</v>
      </c>
      <c r="E18" s="257">
        <f t="shared" si="0"/>
        <v>0</v>
      </c>
      <c r="F18" s="258"/>
      <c r="G18" s="257">
        <v>0</v>
      </c>
      <c r="H18" s="258"/>
    </row>
    <row r="19" spans="2:8" ht="24.75" customHeight="1">
      <c r="B19" s="266" t="s">
        <v>379</v>
      </c>
      <c r="C19" s="260" t="s">
        <v>450</v>
      </c>
      <c r="E19" s="257">
        <f t="shared" si="0"/>
        <v>0</v>
      </c>
      <c r="F19" s="267"/>
      <c r="G19" s="257">
        <v>0</v>
      </c>
      <c r="H19" s="267"/>
    </row>
    <row r="20" spans="2:9" ht="24.75" customHeight="1">
      <c r="B20" s="265" t="s">
        <v>381</v>
      </c>
      <c r="C20" s="129" t="s">
        <v>451</v>
      </c>
      <c r="D20" s="128">
        <v>12</v>
      </c>
      <c r="E20" s="257">
        <f t="shared" si="0"/>
        <v>-183259.60696661827</v>
      </c>
      <c r="F20" s="258">
        <f>tjera!C240</f>
        <v>-25253173.84</v>
      </c>
      <c r="G20" s="257">
        <v>-279492.3784395025</v>
      </c>
      <c r="H20" s="258">
        <v>-37074664.00000001</v>
      </c>
      <c r="I20" s="259"/>
    </row>
    <row r="21" spans="5:10" ht="24.75" customHeight="1">
      <c r="E21" s="257">
        <f t="shared" si="0"/>
        <v>0</v>
      </c>
      <c r="F21" s="258"/>
      <c r="G21" s="257">
        <v>0</v>
      </c>
      <c r="H21" s="258"/>
      <c r="J21" s="259"/>
    </row>
    <row r="22" spans="2:10" s="127" customFormat="1" ht="36" customHeight="1" thickBot="1">
      <c r="B22" s="351" t="s">
        <v>382</v>
      </c>
      <c r="C22" s="268" t="s">
        <v>452</v>
      </c>
      <c r="D22" s="269"/>
      <c r="E22" s="257">
        <f t="shared" si="0"/>
        <v>543578.8047895492</v>
      </c>
      <c r="F22" s="262">
        <f>SUM(F15:F21)</f>
        <v>74905159.2999999</v>
      </c>
      <c r="G22" s="257">
        <v>191544.07538635485</v>
      </c>
      <c r="H22" s="262">
        <v>25408321.59999997</v>
      </c>
      <c r="I22" s="270"/>
      <c r="J22" s="271"/>
    </row>
    <row r="23" spans="2:8" s="127" customFormat="1" ht="24.75" customHeight="1" thickTop="1">
      <c r="B23" s="263"/>
      <c r="C23" s="263"/>
      <c r="D23" s="269"/>
      <c r="E23" s="257">
        <f t="shared" si="0"/>
        <v>0</v>
      </c>
      <c r="F23" s="264"/>
      <c r="G23" s="257">
        <v>0</v>
      </c>
      <c r="H23" s="264"/>
    </row>
    <row r="24" spans="2:10" s="127" customFormat="1" ht="33.75" customHeight="1">
      <c r="B24" s="350" t="s">
        <v>383</v>
      </c>
      <c r="C24" s="263" t="s">
        <v>453</v>
      </c>
      <c r="D24" s="269"/>
      <c r="E24" s="257">
        <f t="shared" si="0"/>
        <v>-63439.77503628447</v>
      </c>
      <c r="F24" s="264">
        <f>-8599694-142307</f>
        <v>-8742001</v>
      </c>
      <c r="G24" s="257">
        <v>-26269.09159442141</v>
      </c>
      <c r="H24" s="264">
        <v>-3484595</v>
      </c>
      <c r="J24" s="270"/>
    </row>
    <row r="25" spans="2:8" s="127" customFormat="1" ht="24.75" customHeight="1">
      <c r="B25" s="263"/>
      <c r="C25" s="263"/>
      <c r="D25" s="269"/>
      <c r="E25" s="257">
        <f t="shared" si="0"/>
        <v>0</v>
      </c>
      <c r="F25" s="264"/>
      <c r="G25" s="257">
        <v>0</v>
      </c>
      <c r="H25" s="264"/>
    </row>
    <row r="26" spans="2:8" s="127" customFormat="1" ht="24.75" customHeight="1" thickBot="1">
      <c r="B26" s="352" t="s">
        <v>384</v>
      </c>
      <c r="C26" s="268" t="s">
        <v>454</v>
      </c>
      <c r="D26" s="261">
        <v>13</v>
      </c>
      <c r="E26" s="257">
        <f t="shared" si="0"/>
        <v>480139.0297532648</v>
      </c>
      <c r="F26" s="262">
        <f>SUM(F22:F25)</f>
        <v>66163158.29999989</v>
      </c>
      <c r="G26" s="257">
        <v>165274.98379193345</v>
      </c>
      <c r="H26" s="262">
        <v>21923726.59999997</v>
      </c>
    </row>
    <row r="27" spans="5:8" ht="24.75" customHeight="1" thickTop="1">
      <c r="E27" s="257"/>
      <c r="F27" s="272"/>
      <c r="H27" s="272"/>
    </row>
    <row r="29" spans="3:6" ht="24.75" customHeight="1">
      <c r="C29" s="8" t="s">
        <v>650</v>
      </c>
      <c r="D29" s="364"/>
      <c r="E29" s="364"/>
      <c r="F29" s="18" t="s">
        <v>644</v>
      </c>
    </row>
    <row r="30" spans="3:8" ht="24.75" customHeight="1">
      <c r="C30" s="8" t="s">
        <v>645</v>
      </c>
      <c r="D30" s="364"/>
      <c r="E30" s="364"/>
      <c r="F30" s="18" t="s">
        <v>646</v>
      </c>
      <c r="H30" s="259"/>
    </row>
    <row r="31" spans="6:8" ht="24.75" customHeight="1">
      <c r="F31" s="272"/>
      <c r="H31" s="272"/>
    </row>
  </sheetData>
  <sheetProtection/>
  <mergeCells count="2">
    <mergeCell ref="A15:B15"/>
    <mergeCell ref="C2:F2"/>
  </mergeCells>
  <printOptions/>
  <pageMargins left="0.5" right="0.25" top="1" bottom="1" header="0.5" footer="0.5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16384" width="9.140625" style="1" customWidth="1"/>
  </cols>
  <sheetData>
    <row r="1" spans="1:6" s="2" customFormat="1" ht="15.75">
      <c r="A1" s="68"/>
      <c r="B1" s="71"/>
      <c r="D1" s="13"/>
      <c r="E1" s="13"/>
      <c r="F1" s="13"/>
    </row>
    <row r="2" spans="1:6" s="2" customFormat="1" ht="15">
      <c r="A2" s="70"/>
      <c r="D2" s="13"/>
      <c r="E2" s="13"/>
      <c r="F2" s="13"/>
    </row>
    <row r="3" spans="1:6" s="2" customFormat="1" ht="12.75">
      <c r="A3" s="9"/>
      <c r="D3" s="13"/>
      <c r="E3" s="13"/>
      <c r="F3" s="13"/>
    </row>
    <row r="4" spans="1:6" s="2" customFormat="1" ht="16.5">
      <c r="A4" s="69"/>
      <c r="C4" s="6"/>
      <c r="D4" s="11"/>
      <c r="E4" s="13"/>
      <c r="F4" s="11"/>
    </row>
    <row r="5" spans="2:6" s="2" customFormat="1" ht="13.5" thickBot="1">
      <c r="B5" s="6"/>
      <c r="C5" s="6"/>
      <c r="D5" s="15"/>
      <c r="E5" s="13"/>
      <c r="F5" s="15"/>
    </row>
    <row r="6" spans="1:6" s="2" customFormat="1" ht="13.5" thickTop="1">
      <c r="A6" s="3"/>
      <c r="C6" s="6"/>
      <c r="D6" s="11"/>
      <c r="E6" s="13"/>
      <c r="F6" s="11"/>
    </row>
    <row r="7" spans="3:6" s="2" customFormat="1" ht="12.75">
      <c r="C7" s="6"/>
      <c r="D7" s="16"/>
      <c r="E7" s="13"/>
      <c r="F7" s="16"/>
    </row>
    <row r="8" spans="3:6" s="2" customFormat="1" ht="12.75">
      <c r="C8" s="6"/>
      <c r="D8" s="11"/>
      <c r="E8" s="13"/>
      <c r="F8" s="11"/>
    </row>
    <row r="9" spans="3:6" s="2" customFormat="1" ht="12.75">
      <c r="C9" s="6"/>
      <c r="D9" s="11"/>
      <c r="E9" s="13"/>
      <c r="F9" s="11"/>
    </row>
    <row r="10" spans="3:6" s="2" customFormat="1" ht="12.75">
      <c r="C10" s="6"/>
      <c r="D10" s="11"/>
      <c r="E10" s="13"/>
      <c r="F10" s="11"/>
    </row>
    <row r="11" spans="3:6" s="2" customFormat="1" ht="12.75">
      <c r="C11" s="6"/>
      <c r="D11" s="11"/>
      <c r="E11" s="13"/>
      <c r="F11" s="12"/>
    </row>
    <row r="12" spans="3:6" s="2" customFormat="1" ht="12.75"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12.75">
      <c r="B14" s="4"/>
      <c r="D14" s="13"/>
      <c r="E14" s="11"/>
      <c r="F14" s="13"/>
    </row>
    <row r="15" spans="4:6" s="2" customFormat="1" ht="12.75">
      <c r="D15" s="13"/>
      <c r="E15" s="11"/>
      <c r="F15" s="11"/>
    </row>
    <row r="16" spans="4:6" s="2" customFormat="1" ht="12.75">
      <c r="D16" s="11"/>
      <c r="E16" s="11"/>
      <c r="F16" s="11"/>
    </row>
    <row r="17" spans="4:9" s="2" customFormat="1" ht="12.75">
      <c r="D17" s="19"/>
      <c r="E17" s="11"/>
      <c r="F17" s="13"/>
      <c r="I17" s="25"/>
    </row>
    <row r="18" spans="2:6" s="2" customFormat="1" ht="12.75">
      <c r="B18" s="3"/>
      <c r="D18" s="20"/>
      <c r="E18" s="11"/>
      <c r="F18" s="20"/>
    </row>
    <row r="19" spans="4:6" s="2" customFormat="1" ht="12.75" customHeight="1">
      <c r="D19" s="11"/>
      <c r="E19" s="11"/>
      <c r="F19" s="11"/>
    </row>
    <row r="20" spans="4:8" s="2" customFormat="1" ht="12.75" customHeight="1">
      <c r="D20" s="11"/>
      <c r="E20" s="11"/>
      <c r="F20" s="11"/>
      <c r="H20" s="10"/>
    </row>
    <row r="21" spans="4:6" s="2" customFormat="1" ht="12.75">
      <c r="D21" s="11"/>
      <c r="E21" s="11"/>
      <c r="F21" s="11"/>
    </row>
    <row r="22" spans="1:6" s="2" customFormat="1" ht="12.75">
      <c r="A22" s="7"/>
      <c r="D22" s="13"/>
      <c r="E22" s="13"/>
      <c r="F22" s="13"/>
    </row>
    <row r="23" spans="1:6" s="2" customFormat="1" ht="12.75">
      <c r="A23" s="7"/>
      <c r="D23" s="13"/>
      <c r="E23" s="11"/>
      <c r="F23" s="13"/>
    </row>
    <row r="24" spans="4:6" s="2" customFormat="1" ht="12.75">
      <c r="D24" s="13"/>
      <c r="E24" s="11"/>
      <c r="F24" s="13"/>
    </row>
    <row r="25" spans="4:6" s="2" customFormat="1" ht="12.75">
      <c r="D25" s="11"/>
      <c r="E25" s="11"/>
      <c r="F25" s="11"/>
    </row>
    <row r="26" spans="4:6" s="2" customFormat="1" ht="12.75">
      <c r="D26" s="11"/>
      <c r="E26" s="11"/>
      <c r="F26" s="11"/>
    </row>
    <row r="27" spans="4:6" s="2" customFormat="1" ht="12.75" customHeight="1">
      <c r="D27" s="11"/>
      <c r="E27" s="11"/>
      <c r="F27" s="11"/>
    </row>
    <row r="28" spans="4:6" s="2" customFormat="1" ht="12.75" customHeight="1"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/>
      <c r="D30" s="21"/>
      <c r="E30" s="11"/>
      <c r="F30" s="21"/>
    </row>
    <row r="31" spans="2:6" s="2" customFormat="1" ht="12.75">
      <c r="B31" s="6"/>
      <c r="C31" s="6"/>
      <c r="D31" s="11"/>
      <c r="E31" s="11"/>
      <c r="F31" s="11"/>
    </row>
    <row r="32" spans="4:6" s="2" customFormat="1" ht="12.75">
      <c r="D32" s="13"/>
      <c r="E32" s="11"/>
      <c r="F32" s="13"/>
    </row>
    <row r="33" spans="4:6" s="2" customFormat="1" ht="12.75">
      <c r="D33" s="13"/>
      <c r="E33" s="11"/>
      <c r="F33" s="13"/>
    </row>
    <row r="34" spans="4:6" s="2" customFormat="1" ht="12.75">
      <c r="D34" s="11"/>
      <c r="E34" s="11"/>
      <c r="F34" s="11"/>
    </row>
    <row r="35" spans="4:6" s="2" customFormat="1" ht="12.75">
      <c r="D35" s="11"/>
      <c r="E35" s="11"/>
      <c r="F35" s="11"/>
    </row>
    <row r="36" spans="4:6" s="2" customFormat="1" ht="12.75" customHeight="1">
      <c r="D36" s="11"/>
      <c r="E36" s="11"/>
      <c r="F36" s="11"/>
    </row>
    <row r="37" spans="2:6" s="2" customFormat="1" ht="12.75">
      <c r="B37" s="6"/>
      <c r="C37" s="6"/>
      <c r="D37" s="11"/>
      <c r="E37" s="11"/>
      <c r="F37" s="11"/>
    </row>
    <row r="38" spans="2:6" s="2" customFormat="1" ht="12.75">
      <c r="B38" s="8"/>
      <c r="D38" s="21"/>
      <c r="E38" s="11"/>
      <c r="F38" s="21"/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/>
      <c r="D40" s="22"/>
      <c r="E40" s="11"/>
      <c r="F40" s="22"/>
    </row>
    <row r="41" spans="4:7" s="2" customFormat="1" ht="12.75">
      <c r="D41" s="11"/>
      <c r="E41" s="11"/>
      <c r="F41" s="11"/>
      <c r="G41" s="10"/>
    </row>
    <row r="42" spans="2:7" s="2" customFormat="1" ht="12.75">
      <c r="B42" s="7"/>
      <c r="D42" s="13"/>
      <c r="E42" s="13"/>
      <c r="F42" s="13"/>
      <c r="G42" s="10"/>
    </row>
    <row r="43" spans="2:7" s="2" customFormat="1" ht="12.75">
      <c r="B43" s="7"/>
      <c r="D43" s="13"/>
      <c r="E43" s="13"/>
      <c r="F43" s="13"/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1">
      <selection activeCell="B51" sqref="B51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7" width="9.140625" style="1" customWidth="1"/>
    <col min="8" max="8" width="9.57421875" style="1" bestFit="1" customWidth="1"/>
    <col min="9" max="16384" width="9.140625" style="1" customWidth="1"/>
  </cols>
  <sheetData>
    <row r="1" spans="1:6" s="2" customFormat="1" ht="15.75">
      <c r="A1" s="68" t="s">
        <v>84</v>
      </c>
      <c r="B1" s="71"/>
      <c r="D1" s="13"/>
      <c r="E1" s="13"/>
      <c r="F1" s="13"/>
    </row>
    <row r="2" spans="1:6" s="2" customFormat="1" ht="15">
      <c r="A2" s="70" t="s">
        <v>11</v>
      </c>
      <c r="D2" s="13"/>
      <c r="E2" s="13"/>
      <c r="F2" s="13"/>
    </row>
    <row r="3" spans="1:6" s="2" customFormat="1" ht="12.75">
      <c r="A3" s="9" t="s">
        <v>577</v>
      </c>
      <c r="D3" s="13"/>
      <c r="E3" s="13"/>
      <c r="F3" s="13"/>
    </row>
    <row r="4" spans="1:6" s="2" customFormat="1" ht="16.5">
      <c r="A4" s="69" t="s">
        <v>73</v>
      </c>
      <c r="C4" s="6"/>
      <c r="D4" s="11"/>
      <c r="E4" s="13"/>
      <c r="F4" s="11"/>
    </row>
    <row r="5" spans="2:6" s="2" customFormat="1" ht="13.5" thickBot="1">
      <c r="B5" s="6"/>
      <c r="C5" s="6"/>
      <c r="D5" s="15" t="s">
        <v>608</v>
      </c>
      <c r="E5" s="13"/>
      <c r="F5" s="15" t="s">
        <v>301</v>
      </c>
    </row>
    <row r="6" spans="1:6" s="2" customFormat="1" ht="13.5" thickTop="1">
      <c r="A6" s="3" t="s">
        <v>12</v>
      </c>
      <c r="C6" s="6"/>
      <c r="D6" s="11"/>
      <c r="E6" s="13"/>
      <c r="F6" s="11"/>
    </row>
    <row r="7" spans="2:6" s="2" customFormat="1" ht="12.75">
      <c r="B7" s="2" t="s">
        <v>13</v>
      </c>
      <c r="C7" s="6"/>
      <c r="D7" s="16">
        <f>'ardh-shpenz'!F22</f>
        <v>74905159.2999999</v>
      </c>
      <c r="E7" s="13"/>
      <c r="F7" s="16">
        <v>25408322</v>
      </c>
    </row>
    <row r="8" spans="2:6" s="2" customFormat="1" ht="12.75">
      <c r="B8" s="2" t="s">
        <v>14</v>
      </c>
      <c r="C8" s="6"/>
      <c r="D8" s="11"/>
      <c r="E8" s="13"/>
      <c r="F8" s="11"/>
    </row>
    <row r="9" spans="2:6" s="2" customFormat="1" ht="12.75">
      <c r="B9" s="2" t="s">
        <v>15</v>
      </c>
      <c r="C9" s="6"/>
      <c r="D9" s="11">
        <f>-'ardh-shpenz'!F14</f>
        <v>34460651.94</v>
      </c>
      <c r="E9" s="13"/>
      <c r="F9" s="11">
        <f>-'ardh-shpenz'!H14</f>
        <v>22663264.2</v>
      </c>
    </row>
    <row r="10" spans="2:6" s="2" customFormat="1" ht="12.75">
      <c r="B10" s="2" t="s">
        <v>200</v>
      </c>
      <c r="C10" s="6"/>
      <c r="D10" s="11">
        <f>'BK'!G35-'BK'!L35+'BK'!G78-'BK'!L78</f>
        <v>0</v>
      </c>
      <c r="E10" s="13"/>
      <c r="F10" s="11"/>
    </row>
    <row r="11" spans="2:6" s="2" customFormat="1" ht="12.75">
      <c r="B11" s="2" t="s">
        <v>16</v>
      </c>
      <c r="C11" s="6"/>
      <c r="D11" s="11"/>
      <c r="E11" s="13"/>
      <c r="F11" s="12"/>
    </row>
    <row r="12" spans="2:6" s="2" customFormat="1" ht="12.75">
      <c r="B12" s="2" t="s">
        <v>17</v>
      </c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25.5">
      <c r="B14" s="4" t="s">
        <v>30</v>
      </c>
      <c r="D14" s="13">
        <f>'BK'!I28-'BK'!G28+'BK'!I38-'BK'!G38</f>
        <v>-66013666.900000006</v>
      </c>
      <c r="E14" s="11"/>
      <c r="F14" s="13">
        <v>-64042621</v>
      </c>
    </row>
    <row r="15" spans="4:6" s="2" customFormat="1" ht="12.75">
      <c r="D15" s="13"/>
      <c r="E15" s="11"/>
      <c r="F15" s="11"/>
    </row>
    <row r="16" spans="2:6" s="2" customFormat="1" ht="12.75">
      <c r="B16" s="2" t="s">
        <v>18</v>
      </c>
      <c r="D16" s="11">
        <f>'BK'!I21-'BK'!G21</f>
        <v>31951821.359999985</v>
      </c>
      <c r="E16" s="11"/>
      <c r="F16" s="11">
        <v>-35935474</v>
      </c>
    </row>
    <row r="17" spans="2:9" s="2" customFormat="1" ht="12.75">
      <c r="B17" s="2" t="s">
        <v>76</v>
      </c>
      <c r="D17" s="19">
        <f>'BK'!G79-'BK'!I79-'cash-flow'!D20+'ardh-shpenz'!F24</f>
        <v>23703512.160000026</v>
      </c>
      <c r="E17" s="11"/>
      <c r="F17" s="13">
        <v>135125143</v>
      </c>
      <c r="H17" s="10"/>
      <c r="I17" s="25"/>
    </row>
    <row r="18" spans="2:6" s="2" customFormat="1" ht="12.75">
      <c r="B18" s="3" t="s">
        <v>19</v>
      </c>
      <c r="D18" s="189">
        <f>SUM(D7:D17)</f>
        <v>99007477.8599999</v>
      </c>
      <c r="E18" s="11"/>
      <c r="F18" s="20">
        <f>SUM(F7:F17)</f>
        <v>83218634.2</v>
      </c>
    </row>
    <row r="19" spans="2:6" s="2" customFormat="1" ht="12.75" customHeight="1">
      <c r="B19" s="2" t="s">
        <v>2</v>
      </c>
      <c r="D19" s="11"/>
      <c r="E19" s="11"/>
      <c r="F19" s="11"/>
    </row>
    <row r="20" spans="2:8" s="2" customFormat="1" ht="12.75" customHeight="1">
      <c r="B20" s="2" t="s">
        <v>3</v>
      </c>
      <c r="D20" s="11">
        <v>-3085908</v>
      </c>
      <c r="E20" s="11"/>
      <c r="F20" s="11">
        <v>-4500000</v>
      </c>
      <c r="H20" s="10"/>
    </row>
    <row r="21" spans="4:6" s="2" customFormat="1" ht="12.75">
      <c r="D21" s="11"/>
      <c r="E21" s="11"/>
      <c r="F21" s="11"/>
    </row>
    <row r="22" spans="1:6" s="2" customFormat="1" ht="12.75">
      <c r="A22" s="7" t="s">
        <v>4</v>
      </c>
      <c r="D22" s="188">
        <f>D18+D19+D20</f>
        <v>95921569.8599999</v>
      </c>
      <c r="E22" s="13">
        <f>E18+E19+E20</f>
        <v>0</v>
      </c>
      <c r="F22" s="13">
        <f>F18+F19+F20</f>
        <v>78718634.2</v>
      </c>
    </row>
    <row r="23" spans="1:6" s="2" customFormat="1" ht="12.75">
      <c r="A23" s="7"/>
      <c r="D23" s="13"/>
      <c r="E23" s="11"/>
      <c r="F23" s="13"/>
    </row>
    <row r="24" spans="2:6" s="2" customFormat="1" ht="12.75">
      <c r="B24" s="2" t="s">
        <v>20</v>
      </c>
      <c r="D24" s="13"/>
      <c r="E24" s="11"/>
      <c r="F24" s="13"/>
    </row>
    <row r="25" spans="2:6" s="2" customFormat="1" ht="12.75">
      <c r="B25" s="2" t="s">
        <v>45</v>
      </c>
      <c r="D25" s="11">
        <f>-'BK'!G8+'BK'!I8+'ardh-shpenz'!F14</f>
        <v>-18180175.64</v>
      </c>
      <c r="E25" s="11"/>
      <c r="F25" s="11">
        <v>-76096970</v>
      </c>
    </row>
    <row r="26" spans="2:6" s="2" customFormat="1" ht="12.75">
      <c r="B26" s="2" t="s">
        <v>21</v>
      </c>
      <c r="D26" s="11"/>
      <c r="E26" s="11"/>
      <c r="F26" s="11"/>
    </row>
    <row r="27" spans="2:6" s="2" customFormat="1" ht="12.75" customHeight="1">
      <c r="B27" s="2" t="s">
        <v>5</v>
      </c>
      <c r="D27" s="11"/>
      <c r="E27" s="11"/>
      <c r="F27" s="11"/>
    </row>
    <row r="28" spans="2:6" s="2" customFormat="1" ht="12.75" customHeight="1">
      <c r="B28" s="2" t="s">
        <v>6</v>
      </c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 t="s">
        <v>31</v>
      </c>
      <c r="D30" s="190">
        <f>SUM(D24:D29)</f>
        <v>-18180175.64</v>
      </c>
      <c r="E30" s="11"/>
      <c r="F30" s="21">
        <f>SUM(F24:F29)</f>
        <v>-76096970</v>
      </c>
    </row>
    <row r="31" spans="2:6" s="2" customFormat="1" ht="12.75">
      <c r="B31" s="6"/>
      <c r="C31" s="6"/>
      <c r="D31" s="11"/>
      <c r="E31" s="11"/>
      <c r="F31" s="11"/>
    </row>
    <row r="32" spans="2:6" s="2" customFormat="1" ht="12.75">
      <c r="B32" s="2" t="s">
        <v>33</v>
      </c>
      <c r="D32" s="13"/>
      <c r="E32" s="11"/>
      <c r="F32" s="13"/>
    </row>
    <row r="33" spans="2:6" s="2" customFormat="1" ht="12.75">
      <c r="B33" s="2" t="s">
        <v>7</v>
      </c>
      <c r="D33" s="13"/>
      <c r="E33" s="11"/>
      <c r="F33" s="13"/>
    </row>
    <row r="34" spans="2:6" s="2" customFormat="1" ht="12.75">
      <c r="B34" s="2" t="s">
        <v>22</v>
      </c>
      <c r="D34" s="11">
        <f>'BK'!G63-'BK'!I63-2</f>
        <v>-24316254.910000056</v>
      </c>
      <c r="E34" s="11"/>
      <c r="F34" s="11">
        <v>122429101</v>
      </c>
    </row>
    <row r="35" spans="2:6" s="2" customFormat="1" ht="12.75">
      <c r="B35" s="2" t="s">
        <v>8</v>
      </c>
      <c r="D35" s="11"/>
      <c r="E35" s="11"/>
      <c r="F35" s="11"/>
    </row>
    <row r="36" spans="2:6" s="2" customFormat="1" ht="12.75" customHeight="1">
      <c r="B36" s="2" t="s">
        <v>23</v>
      </c>
      <c r="D36" s="11"/>
      <c r="E36" s="11"/>
      <c r="F36" s="11">
        <v>-98764896</v>
      </c>
    </row>
    <row r="37" spans="2:6" s="2" customFormat="1" ht="12.75">
      <c r="B37" s="6" t="s">
        <v>199</v>
      </c>
      <c r="C37" s="6"/>
      <c r="D37" s="11"/>
      <c r="E37" s="11"/>
      <c r="F37" s="11"/>
    </row>
    <row r="38" spans="2:6" s="2" customFormat="1" ht="12.75">
      <c r="B38" s="8" t="s">
        <v>77</v>
      </c>
      <c r="D38" s="190">
        <f>SUM(D32:D37)</f>
        <v>-24316254.910000056</v>
      </c>
      <c r="E38" s="11"/>
      <c r="F38" s="21">
        <f>SUM(F32:F37)</f>
        <v>23664205</v>
      </c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 t="s">
        <v>9</v>
      </c>
      <c r="D40" s="22">
        <f>D18+D19+D20+D30+D38</f>
        <v>53425139.30999984</v>
      </c>
      <c r="E40" s="11"/>
      <c r="F40" s="22">
        <f>F18+F19+F20+F30+F38</f>
        <v>26285869.200000003</v>
      </c>
    </row>
    <row r="41" spans="4:7" s="2" customFormat="1" ht="12.75">
      <c r="D41" s="11"/>
      <c r="E41" s="11"/>
      <c r="F41" s="11"/>
      <c r="G41" s="10"/>
    </row>
    <row r="42" spans="2:7" s="2" customFormat="1" ht="12.75">
      <c r="B42" s="7" t="s">
        <v>32</v>
      </c>
      <c r="D42" s="13">
        <v>47098333</v>
      </c>
      <c r="E42" s="13"/>
      <c r="F42" s="13">
        <v>20812456</v>
      </c>
      <c r="G42" s="10"/>
    </row>
    <row r="43" spans="2:7" s="2" customFormat="1" ht="12.75">
      <c r="B43" s="7" t="s">
        <v>10</v>
      </c>
      <c r="D43" s="13">
        <f>+'BK'!G30</f>
        <v>100523472.44</v>
      </c>
      <c r="E43" s="13"/>
      <c r="F43" s="13">
        <f>'BK'!I30</f>
        <v>47098332.7</v>
      </c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  <row r="46" spans="2:5" ht="12.75">
      <c r="B46" s="8" t="s">
        <v>650</v>
      </c>
      <c r="C46" s="364"/>
      <c r="D46" s="364"/>
      <c r="E46" s="18" t="s">
        <v>644</v>
      </c>
    </row>
    <row r="47" spans="2:5" ht="12.75">
      <c r="B47" s="8" t="s">
        <v>645</v>
      </c>
      <c r="C47" s="364"/>
      <c r="D47" s="364"/>
      <c r="E47" s="18" t="s">
        <v>646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K27" sqref="K27"/>
    </sheetView>
  </sheetViews>
  <sheetFormatPr defaultColWidth="12.57421875" defaultRowHeight="12.75"/>
  <cols>
    <col min="1" max="1" width="18.57421875" style="1" customWidth="1"/>
    <col min="2" max="2" width="12.57421875" style="18" customWidth="1"/>
    <col min="3" max="3" width="6.00390625" style="18" customWidth="1"/>
    <col min="4" max="4" width="12.57421875" style="18" customWidth="1"/>
    <col min="5" max="5" width="8.28125" style="18" customWidth="1"/>
    <col min="6" max="6" width="12.57421875" style="18" customWidth="1"/>
    <col min="7" max="7" width="7.57421875" style="18" customWidth="1"/>
    <col min="8" max="8" width="12.140625" style="18" customWidth="1"/>
    <col min="9" max="9" width="12.57421875" style="18" customWidth="1"/>
    <col min="10" max="16384" width="12.57421875" style="1" customWidth="1"/>
  </cols>
  <sheetData>
    <row r="1" spans="1:2" ht="15.75">
      <c r="A1" s="68" t="s">
        <v>84</v>
      </c>
      <c r="B1" s="71"/>
    </row>
    <row r="2" ht="16.5">
      <c r="A2" s="69" t="s">
        <v>578</v>
      </c>
    </row>
    <row r="3" spans="1:2" ht="16.5">
      <c r="A3" s="69" t="s">
        <v>73</v>
      </c>
      <c r="B3" s="207">
        <v>138.77</v>
      </c>
    </row>
    <row r="4" spans="2:9" s="2" customFormat="1" ht="38.25">
      <c r="B4" s="24" t="s">
        <v>647</v>
      </c>
      <c r="C4" s="24"/>
      <c r="D4" s="24" t="s">
        <v>648</v>
      </c>
      <c r="E4" s="24"/>
      <c r="F4" s="24" t="s">
        <v>649</v>
      </c>
      <c r="G4" s="24"/>
      <c r="H4" s="24" t="s">
        <v>390</v>
      </c>
      <c r="I4" s="25"/>
    </row>
    <row r="5" spans="1:9" s="2" customFormat="1" ht="12.75">
      <c r="A5" s="6"/>
      <c r="B5" s="26"/>
      <c r="C5" s="26"/>
      <c r="D5" s="26"/>
      <c r="E5" s="26"/>
      <c r="F5" s="26"/>
      <c r="G5" s="26"/>
      <c r="H5" s="26"/>
      <c r="I5" s="25"/>
    </row>
    <row r="6" spans="1:9" s="2" customFormat="1" ht="25.5">
      <c r="A6" s="5" t="s">
        <v>568</v>
      </c>
      <c r="B6" s="27">
        <v>100000</v>
      </c>
      <c r="C6" s="28"/>
      <c r="D6" s="27">
        <v>98774889</v>
      </c>
      <c r="E6" s="28"/>
      <c r="F6" s="27"/>
      <c r="G6" s="28"/>
      <c r="H6" s="27">
        <f>B6+D6+F6</f>
        <v>98874889</v>
      </c>
      <c r="I6" s="25"/>
    </row>
    <row r="7" spans="1:9" s="2" customFormat="1" ht="12.75">
      <c r="A7" s="5"/>
      <c r="B7" s="28"/>
      <c r="C7" s="28"/>
      <c r="D7" s="28"/>
      <c r="E7" s="28"/>
      <c r="F7" s="28"/>
      <c r="G7" s="28"/>
      <c r="H7" s="28"/>
      <c r="I7" s="25"/>
    </row>
    <row r="8" spans="1:9" s="2" customFormat="1" ht="25.5">
      <c r="A8" s="6" t="s">
        <v>34</v>
      </c>
      <c r="B8" s="29"/>
      <c r="C8" s="29"/>
      <c r="D8" s="29"/>
      <c r="E8" s="29"/>
      <c r="F8" s="28"/>
      <c r="G8" s="28"/>
      <c r="H8" s="28">
        <f>SUM(B8:G8)</f>
        <v>0</v>
      </c>
      <c r="I8" s="25"/>
    </row>
    <row r="9" spans="1:9" s="2" customFormat="1" ht="12.75">
      <c r="A9" s="6" t="s">
        <v>35</v>
      </c>
      <c r="B9" s="28"/>
      <c r="C9" s="28"/>
      <c r="D9" s="28"/>
      <c r="E9" s="28"/>
      <c r="F9" s="28"/>
      <c r="G9" s="28"/>
      <c r="H9" s="28"/>
      <c r="I9" s="25"/>
    </row>
    <row r="10" spans="1:9" s="2" customFormat="1" ht="25.5">
      <c r="A10" s="6" t="s">
        <v>36</v>
      </c>
      <c r="B10" s="29"/>
      <c r="C10" s="29"/>
      <c r="D10" s="29"/>
      <c r="E10" s="29"/>
      <c r="F10" s="28">
        <v>21923725</v>
      </c>
      <c r="G10" s="28"/>
      <c r="H10" s="28">
        <f>+F10</f>
        <v>21923725</v>
      </c>
      <c r="I10" s="25"/>
    </row>
    <row r="11" spans="1:9" s="2" customFormat="1" ht="12.75">
      <c r="A11" s="6" t="s">
        <v>23</v>
      </c>
      <c r="B11" s="29"/>
      <c r="C11" s="29"/>
      <c r="D11" s="29"/>
      <c r="E11" s="29"/>
      <c r="F11" s="28"/>
      <c r="G11" s="28"/>
      <c r="H11" s="28">
        <f>+F11</f>
        <v>0</v>
      </c>
      <c r="I11" s="25"/>
    </row>
    <row r="12" spans="1:9" s="2" customFormat="1" ht="25.5">
      <c r="A12" s="6" t="s">
        <v>37</v>
      </c>
      <c r="B12" s="29"/>
      <c r="C12" s="29"/>
      <c r="D12" s="28">
        <v>-98764888</v>
      </c>
      <c r="E12" s="28"/>
      <c r="F12" s="28"/>
      <c r="G12" s="28"/>
      <c r="H12" s="28">
        <f>+F12+D12</f>
        <v>-98764888</v>
      </c>
      <c r="I12" s="25"/>
    </row>
    <row r="13" spans="1:9" s="2" customFormat="1" ht="12.75">
      <c r="A13" s="6"/>
      <c r="B13" s="28"/>
      <c r="C13" s="29"/>
      <c r="D13" s="29"/>
      <c r="E13" s="29"/>
      <c r="F13" s="29"/>
      <c r="G13" s="29"/>
      <c r="H13" s="28"/>
      <c r="I13" s="25"/>
    </row>
    <row r="14" spans="1:9" s="2" customFormat="1" ht="11.25" customHeight="1">
      <c r="A14" s="6"/>
      <c r="B14" s="29"/>
      <c r="C14" s="29"/>
      <c r="D14" s="29"/>
      <c r="E14" s="29"/>
      <c r="F14" s="29"/>
      <c r="G14" s="29"/>
      <c r="H14" s="29"/>
      <c r="I14" s="25"/>
    </row>
    <row r="15" spans="1:9" s="2" customFormat="1" ht="26.25" thickBot="1">
      <c r="A15" s="5" t="s">
        <v>569</v>
      </c>
      <c r="B15" s="30">
        <f>SUM(B6:B14)</f>
        <v>100000</v>
      </c>
      <c r="C15" s="28"/>
      <c r="D15" s="30">
        <f>SUM(D6:D14)</f>
        <v>10001</v>
      </c>
      <c r="E15" s="28"/>
      <c r="F15" s="30">
        <f>SUM(F6:F14)</f>
        <v>21923725</v>
      </c>
      <c r="G15" s="28"/>
      <c r="H15" s="30">
        <f>SUM(H6:H14)</f>
        <v>22033726</v>
      </c>
      <c r="I15" s="25"/>
    </row>
    <row r="16" spans="1:9" s="2" customFormat="1" ht="26.25" thickTop="1">
      <c r="A16" s="6" t="s">
        <v>34</v>
      </c>
      <c r="B16" s="28"/>
      <c r="C16" s="28"/>
      <c r="D16" s="28"/>
      <c r="E16" s="28"/>
      <c r="F16" s="28"/>
      <c r="G16" s="28"/>
      <c r="H16" s="28"/>
      <c r="I16" s="25"/>
    </row>
    <row r="17" spans="1:9" s="2" customFormat="1" ht="12.75">
      <c r="A17" s="6" t="s">
        <v>35</v>
      </c>
      <c r="B17" s="28"/>
      <c r="C17" s="19"/>
      <c r="D17" s="28"/>
      <c r="E17" s="19"/>
      <c r="F17" s="18"/>
      <c r="G17" s="28"/>
      <c r="H17" s="28">
        <f>+F17</f>
        <v>0</v>
      </c>
      <c r="I17" s="25"/>
    </row>
    <row r="18" spans="1:9" s="2" customFormat="1" ht="25.5">
      <c r="A18" s="6" t="s">
        <v>36</v>
      </c>
      <c r="B18" s="28"/>
      <c r="C18" s="29"/>
      <c r="D18" s="28"/>
      <c r="E18" s="29"/>
      <c r="F18" s="18">
        <f>tjera!C259</f>
        <v>66163158</v>
      </c>
      <c r="G18" s="18"/>
      <c r="H18" s="18">
        <f>SUM(B18:G18)</f>
        <v>66163158</v>
      </c>
      <c r="I18" s="25"/>
    </row>
    <row r="19" spans="1:9" s="2" customFormat="1" ht="12.75">
      <c r="A19" s="6" t="s">
        <v>23</v>
      </c>
      <c r="B19" s="28"/>
      <c r="C19" s="29"/>
      <c r="D19" s="28"/>
      <c r="E19" s="29"/>
      <c r="F19" s="28"/>
      <c r="G19" s="29"/>
      <c r="H19" s="28">
        <f>+F19+D19</f>
        <v>0</v>
      </c>
      <c r="I19" s="25"/>
    </row>
    <row r="20" spans="1:9" s="2" customFormat="1" ht="25.5">
      <c r="A20" s="6" t="s">
        <v>37</v>
      </c>
      <c r="B20" s="28">
        <f>22012000-100000</f>
        <v>21912000</v>
      </c>
      <c r="C20" s="28"/>
      <c r="D20" s="28">
        <v>10000</v>
      </c>
      <c r="E20" s="29"/>
      <c r="F20" s="28">
        <f>-21912000-10000</f>
        <v>-21922000</v>
      </c>
      <c r="G20" s="29"/>
      <c r="H20" s="28">
        <f>+F20+D20+B20</f>
        <v>0</v>
      </c>
      <c r="I20" s="25"/>
    </row>
    <row r="21" spans="1:9" s="2" customFormat="1" ht="12.75">
      <c r="A21" s="6"/>
      <c r="B21" s="29"/>
      <c r="C21" s="29"/>
      <c r="D21" s="29"/>
      <c r="E21" s="29"/>
      <c r="F21" s="29"/>
      <c r="G21" s="29"/>
      <c r="H21" s="29"/>
      <c r="I21" s="25"/>
    </row>
    <row r="22" spans="1:9" s="2" customFormat="1" ht="26.25" thickBot="1">
      <c r="A22" s="5" t="s">
        <v>570</v>
      </c>
      <c r="B22" s="31">
        <f>SUM(B15:B21)</f>
        <v>22012000</v>
      </c>
      <c r="C22" s="28"/>
      <c r="D22" s="31">
        <f>SUM(D15:D21)</f>
        <v>20001</v>
      </c>
      <c r="E22" s="28"/>
      <c r="F22" s="31">
        <f>SUM(F15:F21)</f>
        <v>66164883</v>
      </c>
      <c r="G22" s="32"/>
      <c r="H22" s="31">
        <f>B22+D22+F22</f>
        <v>88196884</v>
      </c>
      <c r="I22" s="25"/>
    </row>
    <row r="23" spans="1:9" s="2" customFormat="1" ht="13.5" thickTop="1">
      <c r="A23" s="6"/>
      <c r="B23" s="26"/>
      <c r="C23" s="26"/>
      <c r="D23" s="26"/>
      <c r="E23" s="26"/>
      <c r="F23" s="26"/>
      <c r="G23" s="26"/>
      <c r="H23" s="26"/>
      <c r="I23" s="25"/>
    </row>
    <row r="24" spans="1:9" s="2" customFormat="1" ht="12.75">
      <c r="A24" s="8" t="s">
        <v>650</v>
      </c>
      <c r="B24" s="364"/>
      <c r="C24" s="364"/>
      <c r="D24" s="18" t="s">
        <v>644</v>
      </c>
      <c r="E24" s="26"/>
      <c r="F24" s="26"/>
      <c r="G24" s="26"/>
      <c r="H24" s="26"/>
      <c r="I24" s="25"/>
    </row>
    <row r="25" spans="1:9" s="2" customFormat="1" ht="12.75">
      <c r="A25" s="8" t="s">
        <v>645</v>
      </c>
      <c r="B25" s="364"/>
      <c r="C25" s="364"/>
      <c r="D25" s="18" t="s">
        <v>646</v>
      </c>
      <c r="E25" s="26"/>
      <c r="F25" s="26"/>
      <c r="G25" s="26"/>
      <c r="H25" s="26"/>
      <c r="I25" s="25"/>
    </row>
    <row r="27" spans="1:2" ht="15.75">
      <c r="A27" s="68" t="s">
        <v>84</v>
      </c>
      <c r="B27" s="71"/>
    </row>
    <row r="28" ht="16.5">
      <c r="A28" s="69" t="s">
        <v>263</v>
      </c>
    </row>
    <row r="29" spans="1:2" ht="16.5">
      <c r="A29" s="69" t="s">
        <v>73</v>
      </c>
      <c r="B29" s="207">
        <v>137.96</v>
      </c>
    </row>
    <row r="30" spans="1:8" ht="25.5">
      <c r="A30" s="2"/>
      <c r="B30" s="24" t="s">
        <v>387</v>
      </c>
      <c r="C30" s="24"/>
      <c r="D30" s="24" t="s">
        <v>388</v>
      </c>
      <c r="E30" s="24"/>
      <c r="F30" s="24" t="s">
        <v>389</v>
      </c>
      <c r="G30" s="24"/>
      <c r="H30" s="24" t="s">
        <v>390</v>
      </c>
    </row>
    <row r="31" spans="1:8" ht="12.75">
      <c r="A31" s="6"/>
      <c r="B31" s="26"/>
      <c r="C31" s="26"/>
      <c r="D31" s="26"/>
      <c r="E31" s="26"/>
      <c r="F31" s="26"/>
      <c r="G31" s="26"/>
      <c r="H31" s="26"/>
    </row>
    <row r="32" spans="1:8" ht="25.5">
      <c r="A32" s="5" t="s">
        <v>568</v>
      </c>
      <c r="B32" s="27">
        <f>B6/$B$3</f>
        <v>720.6168480219067</v>
      </c>
      <c r="C32" s="27">
        <f aca="true" t="shared" si="0" ref="C32:H32">C6/$B$3</f>
        <v>0</v>
      </c>
      <c r="D32" s="27">
        <f t="shared" si="0"/>
        <v>711788.491748937</v>
      </c>
      <c r="E32" s="27">
        <f t="shared" si="0"/>
        <v>0</v>
      </c>
      <c r="F32" s="27">
        <f t="shared" si="0"/>
        <v>0</v>
      </c>
      <c r="G32" s="27">
        <f t="shared" si="0"/>
        <v>0</v>
      </c>
      <c r="H32" s="27">
        <f t="shared" si="0"/>
        <v>712509.1085969589</v>
      </c>
    </row>
    <row r="33" spans="1:8" ht="12.75">
      <c r="A33" s="5"/>
      <c r="B33" s="27">
        <f aca="true" t="shared" si="1" ref="B33:H48">B7/$B$3</f>
        <v>0</v>
      </c>
      <c r="C33" s="28"/>
      <c r="D33" s="28"/>
      <c r="E33" s="28"/>
      <c r="F33" s="28"/>
      <c r="G33" s="28"/>
      <c r="H33" s="28"/>
    </row>
    <row r="34" spans="1:8" ht="25.5">
      <c r="A34" s="6" t="s">
        <v>34</v>
      </c>
      <c r="B34" s="27">
        <f t="shared" si="1"/>
        <v>0</v>
      </c>
      <c r="C34" s="27">
        <f t="shared" si="1"/>
        <v>0</v>
      </c>
      <c r="D34" s="27">
        <f t="shared" si="1"/>
        <v>0</v>
      </c>
      <c r="E34" s="27">
        <f t="shared" si="1"/>
        <v>0</v>
      </c>
      <c r="F34" s="27">
        <f t="shared" si="1"/>
        <v>0</v>
      </c>
      <c r="G34" s="27">
        <f t="shared" si="1"/>
        <v>0</v>
      </c>
      <c r="H34" s="27">
        <f t="shared" si="1"/>
        <v>0</v>
      </c>
    </row>
    <row r="35" spans="1:8" ht="12.75">
      <c r="A35" s="6" t="s">
        <v>35</v>
      </c>
      <c r="B35" s="27">
        <f t="shared" si="1"/>
        <v>0</v>
      </c>
      <c r="C35" s="27">
        <f t="shared" si="1"/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</row>
    <row r="36" spans="1:8" ht="25.5">
      <c r="A36" s="6" t="s">
        <v>391</v>
      </c>
      <c r="B36" s="27">
        <f t="shared" si="1"/>
        <v>0</v>
      </c>
      <c r="C36" s="27">
        <f t="shared" si="1"/>
        <v>0</v>
      </c>
      <c r="D36" s="27">
        <f t="shared" si="1"/>
        <v>0</v>
      </c>
      <c r="E36" s="27">
        <f t="shared" si="1"/>
        <v>0</v>
      </c>
      <c r="F36" s="27">
        <f t="shared" si="1"/>
        <v>157986.05606399078</v>
      </c>
      <c r="G36" s="27">
        <f t="shared" si="1"/>
        <v>0</v>
      </c>
      <c r="H36" s="27">
        <f t="shared" si="1"/>
        <v>157986.05606399078</v>
      </c>
    </row>
    <row r="37" spans="1:8" ht="20.25" customHeight="1">
      <c r="A37" s="6" t="s">
        <v>392</v>
      </c>
      <c r="B37" s="27">
        <f t="shared" si="1"/>
        <v>0</v>
      </c>
      <c r="C37" s="27">
        <f t="shared" si="1"/>
        <v>0</v>
      </c>
      <c r="D37" s="27">
        <f t="shared" si="1"/>
        <v>0</v>
      </c>
      <c r="E37" s="27">
        <f t="shared" si="1"/>
        <v>0</v>
      </c>
      <c r="F37" s="27">
        <f t="shared" si="1"/>
        <v>0</v>
      </c>
      <c r="G37" s="27">
        <f t="shared" si="1"/>
        <v>0</v>
      </c>
      <c r="H37" s="27">
        <f t="shared" si="1"/>
        <v>0</v>
      </c>
    </row>
    <row r="38" spans="1:8" ht="24" customHeight="1">
      <c r="A38" s="6" t="s">
        <v>394</v>
      </c>
      <c r="B38" s="27">
        <f t="shared" si="1"/>
        <v>0</v>
      </c>
      <c r="C38" s="27">
        <f t="shared" si="1"/>
        <v>0</v>
      </c>
      <c r="D38" s="27">
        <f t="shared" si="1"/>
        <v>-711716.4228579664</v>
      </c>
      <c r="E38" s="27">
        <f t="shared" si="1"/>
        <v>0</v>
      </c>
      <c r="F38" s="27">
        <f t="shared" si="1"/>
        <v>0</v>
      </c>
      <c r="G38" s="27">
        <f t="shared" si="1"/>
        <v>0</v>
      </c>
      <c r="H38" s="27">
        <f t="shared" si="1"/>
        <v>-711716.4228579664</v>
      </c>
    </row>
    <row r="39" spans="1:8" ht="12.75">
      <c r="A39" s="6"/>
      <c r="B39" s="27">
        <f t="shared" si="1"/>
        <v>0</v>
      </c>
      <c r="C39" s="29"/>
      <c r="D39" s="29"/>
      <c r="E39" s="29"/>
      <c r="F39" s="29"/>
      <c r="G39" s="29"/>
      <c r="H39" s="28"/>
    </row>
    <row r="40" spans="1:8" ht="12.75">
      <c r="A40" s="6"/>
      <c r="B40" s="27">
        <f t="shared" si="1"/>
        <v>0</v>
      </c>
      <c r="C40" s="27">
        <f t="shared" si="1"/>
        <v>0</v>
      </c>
      <c r="D40" s="27">
        <f t="shared" si="1"/>
        <v>0</v>
      </c>
      <c r="E40" s="27">
        <f t="shared" si="1"/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</row>
    <row r="41" spans="1:8" ht="25.5">
      <c r="A41" s="5" t="s">
        <v>569</v>
      </c>
      <c r="B41" s="27">
        <f t="shared" si="1"/>
        <v>720.6168480219067</v>
      </c>
      <c r="C41" s="27">
        <f t="shared" si="1"/>
        <v>0</v>
      </c>
      <c r="D41" s="27">
        <f t="shared" si="1"/>
        <v>72.06889097067089</v>
      </c>
      <c r="E41" s="27">
        <f t="shared" si="1"/>
        <v>0</v>
      </c>
      <c r="F41" s="27">
        <f t="shared" si="1"/>
        <v>157986.05606399078</v>
      </c>
      <c r="G41" s="27">
        <f t="shared" si="1"/>
        <v>0</v>
      </c>
      <c r="H41" s="27">
        <f t="shared" si="1"/>
        <v>158778.74180298334</v>
      </c>
    </row>
    <row r="42" spans="1:8" ht="25.5">
      <c r="A42" s="6" t="s">
        <v>34</v>
      </c>
      <c r="B42" s="27">
        <f>B16/$B$3</f>
        <v>0</v>
      </c>
      <c r="C42" s="27">
        <f aca="true" t="shared" si="2" ref="C42:H42">C16/$B$3</f>
        <v>0</v>
      </c>
      <c r="D42" s="27">
        <f t="shared" si="2"/>
        <v>0</v>
      </c>
      <c r="E42" s="27">
        <f t="shared" si="2"/>
        <v>0</v>
      </c>
      <c r="F42" s="27">
        <f t="shared" si="2"/>
        <v>0</v>
      </c>
      <c r="G42" s="27">
        <f t="shared" si="2"/>
        <v>0</v>
      </c>
      <c r="H42" s="27">
        <f t="shared" si="2"/>
        <v>0</v>
      </c>
    </row>
    <row r="43" spans="1:8" ht="12.75">
      <c r="A43" s="6" t="s">
        <v>35</v>
      </c>
      <c r="B43" s="27">
        <f t="shared" si="1"/>
        <v>0</v>
      </c>
      <c r="C43" s="19"/>
      <c r="D43" s="28"/>
      <c r="E43" s="19"/>
      <c r="G43" s="28"/>
      <c r="H43" s="28">
        <f>+F43</f>
        <v>0</v>
      </c>
    </row>
    <row r="44" spans="1:8" ht="25.5">
      <c r="A44" s="6" t="s">
        <v>393</v>
      </c>
      <c r="B44" s="27">
        <f t="shared" si="1"/>
        <v>0</v>
      </c>
      <c r="C44" s="27">
        <f t="shared" si="1"/>
        <v>0</v>
      </c>
      <c r="D44" s="27">
        <f t="shared" si="1"/>
        <v>0</v>
      </c>
      <c r="E44" s="27">
        <f t="shared" si="1"/>
        <v>0</v>
      </c>
      <c r="F44" s="27">
        <f t="shared" si="1"/>
        <v>476782.863731354</v>
      </c>
      <c r="G44" s="27">
        <f t="shared" si="1"/>
        <v>0</v>
      </c>
      <c r="H44" s="27">
        <f t="shared" si="1"/>
        <v>476782.863731354</v>
      </c>
    </row>
    <row r="45" spans="1:8" ht="23.25" customHeight="1">
      <c r="A45" s="6" t="s">
        <v>392</v>
      </c>
      <c r="B45" s="27">
        <f t="shared" si="1"/>
        <v>0</v>
      </c>
      <c r="C45" s="27">
        <f t="shared" si="1"/>
        <v>0</v>
      </c>
      <c r="D45" s="27">
        <f t="shared" si="1"/>
        <v>0</v>
      </c>
      <c r="E45" s="27">
        <f t="shared" si="1"/>
        <v>0</v>
      </c>
      <c r="F45" s="27">
        <f t="shared" si="1"/>
        <v>0</v>
      </c>
      <c r="G45" s="27">
        <f t="shared" si="1"/>
        <v>0</v>
      </c>
      <c r="H45" s="27">
        <f t="shared" si="1"/>
        <v>0</v>
      </c>
    </row>
    <row r="46" spans="1:8" ht="20.25" customHeight="1">
      <c r="A46" s="6" t="s">
        <v>394</v>
      </c>
      <c r="B46" s="27">
        <f t="shared" si="1"/>
        <v>157901.5637385602</v>
      </c>
      <c r="C46" s="27">
        <f t="shared" si="1"/>
        <v>0</v>
      </c>
      <c r="D46" s="27">
        <f t="shared" si="1"/>
        <v>72.06168480219067</v>
      </c>
      <c r="E46" s="27">
        <f t="shared" si="1"/>
        <v>0</v>
      </c>
      <c r="F46" s="27">
        <f t="shared" si="1"/>
        <v>-157973.6254233624</v>
      </c>
      <c r="G46" s="27">
        <f t="shared" si="1"/>
        <v>0</v>
      </c>
      <c r="H46" s="27">
        <f t="shared" si="1"/>
        <v>0</v>
      </c>
    </row>
    <row r="47" spans="1:8" ht="12.75">
      <c r="A47" s="6"/>
      <c r="B47" s="27">
        <f>B21/$B$3</f>
        <v>0</v>
      </c>
      <c r="C47" s="27">
        <f aca="true" t="shared" si="3" ref="C47:H47">C21/$B$3</f>
        <v>0</v>
      </c>
      <c r="D47" s="27">
        <f t="shared" si="3"/>
        <v>0</v>
      </c>
      <c r="E47" s="27">
        <f t="shared" si="3"/>
        <v>0</v>
      </c>
      <c r="F47" s="27">
        <f t="shared" si="3"/>
        <v>0</v>
      </c>
      <c r="G47" s="27">
        <f t="shared" si="3"/>
        <v>0</v>
      </c>
      <c r="H47" s="27">
        <f t="shared" si="3"/>
        <v>0</v>
      </c>
    </row>
    <row r="48" spans="1:8" ht="25.5">
      <c r="A48" s="5" t="s">
        <v>570</v>
      </c>
      <c r="B48" s="27">
        <f t="shared" si="1"/>
        <v>158622.1805865821</v>
      </c>
      <c r="C48" s="27">
        <f t="shared" si="1"/>
        <v>0</v>
      </c>
      <c r="D48" s="27">
        <f t="shared" si="1"/>
        <v>144.13057577286156</v>
      </c>
      <c r="E48" s="27">
        <f t="shared" si="1"/>
        <v>0</v>
      </c>
      <c r="F48" s="27">
        <f t="shared" si="1"/>
        <v>476795.2943719824</v>
      </c>
      <c r="G48" s="27">
        <f t="shared" si="1"/>
        <v>0</v>
      </c>
      <c r="H48" s="27">
        <f t="shared" si="1"/>
        <v>635561.6055343373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140625" style="110" customWidth="1"/>
    <col min="2" max="2" width="18.140625" style="110" customWidth="1"/>
    <col min="3" max="3" width="7.8515625" style="110" customWidth="1"/>
    <col min="4" max="4" width="2.57421875" style="110" customWidth="1"/>
    <col min="5" max="5" width="3.28125" style="110" customWidth="1"/>
    <col min="6" max="6" width="9.8515625" style="110" customWidth="1"/>
    <col min="7" max="7" width="2.140625" style="110" customWidth="1"/>
    <col min="8" max="8" width="11.140625" style="110" customWidth="1"/>
    <col min="9" max="9" width="2.7109375" style="110" customWidth="1"/>
    <col min="10" max="10" width="11.140625" style="110" customWidth="1"/>
    <col min="11" max="11" width="2.57421875" style="110" customWidth="1"/>
    <col min="12" max="12" width="10.7109375" style="110" customWidth="1"/>
    <col min="13" max="13" width="2.28125" style="110" customWidth="1"/>
    <col min="14" max="14" width="10.7109375" style="110" customWidth="1"/>
    <col min="15" max="15" width="12.8515625" style="110" bestFit="1" customWidth="1"/>
    <col min="16" max="16384" width="9.140625" style="110" customWidth="1"/>
  </cols>
  <sheetData>
    <row r="1" ht="19.5" customHeight="1">
      <c r="A1" s="109"/>
    </row>
    <row r="2" spans="2:14" s="124" customFormat="1" ht="40.5" customHeight="1">
      <c r="B2" s="173"/>
      <c r="C2" s="174" t="s">
        <v>46</v>
      </c>
      <c r="D2" s="175"/>
      <c r="E2" s="175"/>
      <c r="F2" s="175" t="s">
        <v>193</v>
      </c>
      <c r="G2" s="175"/>
      <c r="H2" s="175" t="s">
        <v>191</v>
      </c>
      <c r="I2" s="175"/>
      <c r="J2" s="175" t="s">
        <v>192</v>
      </c>
      <c r="K2" s="175"/>
      <c r="L2" s="176" t="s">
        <v>47</v>
      </c>
      <c r="M2" s="176"/>
      <c r="N2" s="175" t="s">
        <v>0</v>
      </c>
    </row>
    <row r="3" spans="2:15" s="111" customFormat="1" ht="19.5" customHeight="1">
      <c r="B3" s="112" t="s">
        <v>48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2:15" s="111" customFormat="1" ht="19.5" customHeight="1">
      <c r="B4" s="113" t="s">
        <v>579</v>
      </c>
      <c r="C4" s="113"/>
      <c r="D4" s="113"/>
      <c r="E4" s="113"/>
      <c r="F4" s="113">
        <v>20984995</v>
      </c>
      <c r="G4" s="113"/>
      <c r="H4" s="113">
        <f>20594538</f>
        <v>20594538</v>
      </c>
      <c r="I4" s="113"/>
      <c r="J4" s="113">
        <f>126366366</f>
        <v>126366366</v>
      </c>
      <c r="K4" s="113"/>
      <c r="L4" s="113">
        <f>18942207</f>
        <v>18942207</v>
      </c>
      <c r="M4" s="113"/>
      <c r="N4" s="113">
        <f>SUM(C4:L4)</f>
        <v>186888106</v>
      </c>
      <c r="O4" s="114"/>
    </row>
    <row r="5" spans="2:15" s="111" customFormat="1" ht="19.5" customHeight="1">
      <c r="B5" s="113" t="s">
        <v>85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>
        <f>SUM(C5:L5)</f>
        <v>0</v>
      </c>
      <c r="O5" s="114"/>
    </row>
    <row r="6" spans="2:15" s="111" customFormat="1" ht="19.5" customHeight="1">
      <c r="B6" s="113" t="s">
        <v>49</v>
      </c>
      <c r="C6" s="113"/>
      <c r="D6" s="113"/>
      <c r="E6" s="113"/>
      <c r="F6" s="113"/>
      <c r="G6" s="113"/>
      <c r="H6" s="113">
        <f>307264</f>
        <v>307264</v>
      </c>
      <c r="I6" s="113"/>
      <c r="J6" s="113">
        <f>5746641+2227550+13956029</f>
        <v>21930220</v>
      </c>
      <c r="K6" s="113"/>
      <c r="L6" s="113">
        <f>250056+452297</f>
        <v>702353</v>
      </c>
      <c r="M6" s="113"/>
      <c r="N6" s="113">
        <f>SUM(C6:L6)</f>
        <v>22939837</v>
      </c>
      <c r="O6" s="114"/>
    </row>
    <row r="7" spans="2:15" s="111" customFormat="1" ht="19.5" customHeight="1">
      <c r="B7" s="113" t="s">
        <v>50</v>
      </c>
      <c r="C7" s="113">
        <v>0</v>
      </c>
      <c r="D7" s="113"/>
      <c r="E7" s="113"/>
      <c r="F7" s="113"/>
      <c r="G7" s="113"/>
      <c r="H7" s="113">
        <v>-633347</v>
      </c>
      <c r="I7" s="113"/>
      <c r="J7" s="113">
        <f>-3144502-2236596</f>
        <v>-5381098</v>
      </c>
      <c r="K7" s="113"/>
      <c r="L7" s="113">
        <f>-69715-47000</f>
        <v>-116715</v>
      </c>
      <c r="M7" s="113"/>
      <c r="N7" s="113">
        <f>SUM(C7:L7)</f>
        <v>-6131160</v>
      </c>
      <c r="O7" s="114"/>
    </row>
    <row r="8" spans="1:16" s="111" customFormat="1" ht="19.5" customHeight="1" thickBot="1">
      <c r="A8" s="109"/>
      <c r="B8" s="113" t="s">
        <v>580</v>
      </c>
      <c r="C8" s="115">
        <f>SUM(C4:C7)</f>
        <v>0</v>
      </c>
      <c r="D8" s="113"/>
      <c r="E8" s="113"/>
      <c r="F8" s="116">
        <f>SUM(F4:F7)</f>
        <v>20984995</v>
      </c>
      <c r="G8" s="113"/>
      <c r="H8" s="116">
        <f>SUM(H4:H7)</f>
        <v>20268455</v>
      </c>
      <c r="I8" s="113"/>
      <c r="J8" s="116">
        <f>SUM(J3:J7)</f>
        <v>142915488</v>
      </c>
      <c r="K8" s="113"/>
      <c r="L8" s="115">
        <f>SUM(L4:L7)</f>
        <v>19527845</v>
      </c>
      <c r="M8" s="113"/>
      <c r="N8" s="115">
        <f>SUM(N4:N7)</f>
        <v>203696783</v>
      </c>
      <c r="O8" s="114"/>
      <c r="P8" s="114"/>
    </row>
    <row r="9" spans="2:15" s="111" customFormat="1" ht="19.5" customHeight="1" thickTop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2:14" s="111" customFormat="1" ht="19.5" customHeight="1">
      <c r="B10" s="112" t="s">
        <v>51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2:14" s="111" customFormat="1" ht="19.5" customHeight="1">
      <c r="B11" s="113" t="s">
        <v>581</v>
      </c>
      <c r="C11" s="117"/>
      <c r="D11" s="117"/>
      <c r="E11" s="117"/>
      <c r="F11" s="113">
        <f>3950770</f>
        <v>3950770</v>
      </c>
      <c r="G11" s="117"/>
      <c r="H11" s="117">
        <f>10357389</f>
        <v>10357389</v>
      </c>
      <c r="I11" s="117"/>
      <c r="J11" s="113">
        <v>31513122</v>
      </c>
      <c r="K11" s="117"/>
      <c r="L11" s="118">
        <v>10013460</v>
      </c>
      <c r="M11" s="118"/>
      <c r="N11" s="118">
        <f>SUM(C11:L11)</f>
        <v>55834741</v>
      </c>
    </row>
    <row r="12" spans="2:14" s="111" customFormat="1" ht="19.5" customHeight="1">
      <c r="B12" s="113" t="s">
        <v>85</v>
      </c>
      <c r="C12" s="117"/>
      <c r="D12" s="117"/>
      <c r="E12" s="117"/>
      <c r="F12" s="113"/>
      <c r="G12" s="117"/>
      <c r="H12" s="117"/>
      <c r="I12" s="117"/>
      <c r="J12" s="113"/>
      <c r="K12" s="117"/>
      <c r="L12" s="118"/>
      <c r="M12" s="118"/>
      <c r="N12" s="118">
        <f>SUM(C12:L12)</f>
        <v>0</v>
      </c>
    </row>
    <row r="13" spans="2:14" s="111" customFormat="1" ht="19.5" customHeight="1">
      <c r="B13" s="113" t="s">
        <v>52</v>
      </c>
      <c r="C13" s="117"/>
      <c r="D13" s="117"/>
      <c r="E13" s="117"/>
      <c r="F13" s="113">
        <f>1018543+25945+4762</f>
        <v>1049250</v>
      </c>
      <c r="G13" s="117"/>
      <c r="H13" s="113">
        <f>2132856</f>
        <v>2132856</v>
      </c>
      <c r="I13" s="117"/>
      <c r="J13" s="113">
        <f>546332+12275100+7793539+8579734</f>
        <v>29194705</v>
      </c>
      <c r="K13" s="117"/>
      <c r="L13" s="118">
        <f>1303149+780692</f>
        <v>2083841</v>
      </c>
      <c r="M13" s="118"/>
      <c r="N13" s="118">
        <f>SUM(C13:L13)</f>
        <v>34460652</v>
      </c>
    </row>
    <row r="14" spans="2:14" s="111" customFormat="1" ht="19.5" customHeight="1">
      <c r="B14" s="113" t="s">
        <v>50</v>
      </c>
      <c r="C14" s="117">
        <v>0</v>
      </c>
      <c r="D14" s="117"/>
      <c r="E14" s="117"/>
      <c r="F14" s="113"/>
      <c r="G14" s="117"/>
      <c r="H14" s="113">
        <v>-332125</v>
      </c>
      <c r="I14" s="117"/>
      <c r="J14" s="118">
        <f>-398860-560768</f>
        <v>-959628</v>
      </c>
      <c r="K14" s="117"/>
      <c r="L14" s="118">
        <f>-59184-20563</f>
        <v>-79747</v>
      </c>
      <c r="M14" s="118"/>
      <c r="N14" s="118">
        <f>SUM(C14:L14)</f>
        <v>-1371500</v>
      </c>
    </row>
    <row r="15" spans="2:15" s="111" customFormat="1" ht="19.5" customHeight="1" thickBot="1">
      <c r="B15" s="113" t="s">
        <v>582</v>
      </c>
      <c r="C15" s="115">
        <f>SUM(C11:C14)</f>
        <v>0</v>
      </c>
      <c r="D15" s="113"/>
      <c r="E15" s="113"/>
      <c r="F15" s="116">
        <f>SUM(F11:F14)</f>
        <v>5000020</v>
      </c>
      <c r="G15" s="113"/>
      <c r="H15" s="116">
        <f>SUM(H11:H14)</f>
        <v>12158120</v>
      </c>
      <c r="I15" s="113"/>
      <c r="J15" s="116">
        <f>SUM(J11:J14)</f>
        <v>59748199</v>
      </c>
      <c r="K15" s="113"/>
      <c r="L15" s="125">
        <f>+L11+L13+L12+L14</f>
        <v>12017554</v>
      </c>
      <c r="M15" s="126"/>
      <c r="N15" s="125">
        <f>SUM(N11:N14)</f>
        <v>88923893</v>
      </c>
      <c r="O15" s="119"/>
    </row>
    <row r="16" spans="2:14" s="111" customFormat="1" ht="19.5" customHeight="1" thickTop="1">
      <c r="B16" s="113"/>
      <c r="C16" s="117"/>
      <c r="D16" s="117"/>
      <c r="E16" s="117"/>
      <c r="F16" s="113"/>
      <c r="G16" s="117"/>
      <c r="H16" s="117"/>
      <c r="I16" s="117"/>
      <c r="J16" s="117"/>
      <c r="K16" s="117"/>
      <c r="L16" s="118"/>
      <c r="M16" s="118"/>
      <c r="N16" s="118"/>
    </row>
    <row r="17" spans="2:15" s="111" customFormat="1" ht="19.5" customHeight="1">
      <c r="B17" s="113" t="s">
        <v>642</v>
      </c>
      <c r="C17" s="113">
        <f>+C4-C11</f>
        <v>0</v>
      </c>
      <c r="D17" s="113">
        <f aca="true" t="shared" si="0" ref="D17:N17">+D4-D11</f>
        <v>0</v>
      </c>
      <c r="E17" s="113">
        <f t="shared" si="0"/>
        <v>0</v>
      </c>
      <c r="F17" s="113">
        <f t="shared" si="0"/>
        <v>17034225</v>
      </c>
      <c r="G17" s="113">
        <f t="shared" si="0"/>
        <v>0</v>
      </c>
      <c r="H17" s="113">
        <f t="shared" si="0"/>
        <v>10237149</v>
      </c>
      <c r="I17" s="113">
        <f t="shared" si="0"/>
        <v>0</v>
      </c>
      <c r="J17" s="113">
        <f t="shared" si="0"/>
        <v>94853244</v>
      </c>
      <c r="K17" s="113">
        <f t="shared" si="0"/>
        <v>0</v>
      </c>
      <c r="L17" s="113">
        <f t="shared" si="0"/>
        <v>8928747</v>
      </c>
      <c r="M17" s="113">
        <f t="shared" si="0"/>
        <v>0</v>
      </c>
      <c r="N17" s="113">
        <f t="shared" si="0"/>
        <v>131053365</v>
      </c>
      <c r="O17" s="114"/>
    </row>
    <row r="18" spans="2:15" s="111" customFormat="1" ht="19.5" customHeight="1" thickBot="1">
      <c r="B18" s="113" t="s">
        <v>643</v>
      </c>
      <c r="C18" s="115">
        <f>+C8-C15</f>
        <v>0</v>
      </c>
      <c r="D18" s="113"/>
      <c r="E18" s="115"/>
      <c r="F18" s="115">
        <f>+F8-F15</f>
        <v>15984975</v>
      </c>
      <c r="G18" s="115"/>
      <c r="H18" s="115">
        <f>+H8-H15</f>
        <v>8110335</v>
      </c>
      <c r="I18" s="115"/>
      <c r="J18" s="115">
        <f>+J8-J15</f>
        <v>83167289</v>
      </c>
      <c r="K18" s="113"/>
      <c r="L18" s="125">
        <f>+L8-L15</f>
        <v>7510291</v>
      </c>
      <c r="M18" s="126"/>
      <c r="N18" s="125">
        <f>+N8-N15</f>
        <v>114772890</v>
      </c>
      <c r="O18" s="114"/>
    </row>
    <row r="19" s="111" customFormat="1" ht="12.75" thickTop="1"/>
    <row r="20" s="111" customFormat="1" ht="12">
      <c r="L20" s="119"/>
    </row>
    <row r="21" s="111" customFormat="1" ht="12">
      <c r="O21" s="120"/>
    </row>
    <row r="22" s="111" customFormat="1" ht="12.75" customHeight="1"/>
    <row r="23" s="111" customFormat="1" ht="12.75" customHeight="1">
      <c r="L23" s="119"/>
    </row>
    <row r="24" s="111" customFormat="1" ht="12"/>
    <row r="25" spans="1:15" s="111" customFormat="1" ht="12">
      <c r="A25" s="121"/>
      <c r="O25" s="120"/>
    </row>
    <row r="26" s="111" customFormat="1" ht="12">
      <c r="A26" s="121"/>
    </row>
    <row r="27" s="111" customFormat="1" ht="12"/>
    <row r="28" s="111" customFormat="1" ht="12"/>
    <row r="29" s="111" customFormat="1" ht="12"/>
    <row r="30" s="111" customFormat="1" ht="12.75" customHeight="1"/>
    <row r="31" s="111" customFormat="1" ht="12.75" customHeight="1"/>
    <row r="32" spans="2:3" s="111" customFormat="1" ht="12">
      <c r="B32" s="122"/>
      <c r="C32" s="122"/>
    </row>
    <row r="33" s="111" customFormat="1" ht="12">
      <c r="B33" s="123"/>
    </row>
    <row r="34" spans="2:3" s="111" customFormat="1" ht="12">
      <c r="B34" s="122"/>
      <c r="C34" s="122"/>
    </row>
    <row r="35" s="111" customFormat="1" ht="12"/>
    <row r="36" s="111" customFormat="1" ht="12"/>
    <row r="37" s="111" customFormat="1" ht="12"/>
    <row r="38" s="111" customFormat="1" ht="12"/>
    <row r="39" s="111" customFormat="1" ht="12.75" customHeight="1"/>
    <row r="40" spans="2:3" s="111" customFormat="1" ht="12">
      <c r="B40" s="122"/>
      <c r="C40" s="122"/>
    </row>
    <row r="41" s="111" customFormat="1" ht="12">
      <c r="B41" s="123"/>
    </row>
    <row r="42" spans="2:3" s="111" customFormat="1" ht="12">
      <c r="B42" s="122"/>
      <c r="C42" s="122"/>
    </row>
    <row r="43" s="111" customFormat="1" ht="12">
      <c r="B43" s="121"/>
    </row>
    <row r="44" s="111" customFormat="1" ht="12">
      <c r="B44" s="121"/>
    </row>
    <row r="45" s="111" customFormat="1" ht="12">
      <c r="B45" s="121"/>
    </row>
    <row r="46" s="111" customFormat="1" ht="12"/>
    <row r="47" s="111" customFormat="1" ht="12"/>
    <row r="48" s="111" customFormat="1" ht="12"/>
  </sheetData>
  <sheetProtection/>
  <printOptions/>
  <pageMargins left="0.24" right="0.4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45">
      <selection activeCell="C159" sqref="C159:C160"/>
    </sheetView>
  </sheetViews>
  <sheetFormatPr defaultColWidth="9.140625" defaultRowHeight="12.75"/>
  <cols>
    <col min="1" max="1" width="34.57421875" style="0" customWidth="1"/>
    <col min="2" max="2" width="11.140625" style="0" customWidth="1"/>
    <col min="3" max="5" width="16.7109375" style="0" bestFit="1" customWidth="1"/>
    <col min="6" max="6" width="15.421875" style="0" customWidth="1"/>
    <col min="7" max="7" width="15.00390625" style="0" bestFit="1" customWidth="1"/>
    <col min="8" max="8" width="14.00390625" style="0" bestFit="1" customWidth="1"/>
    <col min="9" max="9" width="15.421875" style="0" customWidth="1"/>
  </cols>
  <sheetData>
    <row r="1" spans="1:3" ht="18">
      <c r="A1" s="371" t="s">
        <v>461</v>
      </c>
      <c r="B1" s="371"/>
      <c r="C1" s="371"/>
    </row>
    <row r="4" spans="1:6" ht="15.75" thickBot="1">
      <c r="A4" s="34"/>
      <c r="B4" s="34" t="s">
        <v>80</v>
      </c>
      <c r="C4" s="35" t="s">
        <v>555</v>
      </c>
      <c r="D4" s="35" t="s">
        <v>262</v>
      </c>
      <c r="E4" s="35"/>
      <c r="F4" s="105"/>
    </row>
    <row r="5" spans="1:6" ht="15.75" thickTop="1">
      <c r="A5" s="34" t="s">
        <v>53</v>
      </c>
      <c r="B5" s="34"/>
      <c r="C5" s="49">
        <v>2233088.56</v>
      </c>
      <c r="D5" s="49">
        <f>159316.71+28061.06</f>
        <v>187377.77</v>
      </c>
      <c r="E5" s="49"/>
      <c r="F5" s="49"/>
    </row>
    <row r="6" spans="1:6" ht="15">
      <c r="A6" s="34" t="s">
        <v>54</v>
      </c>
      <c r="B6" s="34"/>
      <c r="C6" s="49">
        <f>98290383.88</f>
        <v>98290383.88</v>
      </c>
      <c r="D6" s="49">
        <f>'BK'!I30-tjera!D5</f>
        <v>46910954.93</v>
      </c>
      <c r="E6" s="49"/>
      <c r="F6" s="49"/>
    </row>
    <row r="7" spans="1:6" ht="15">
      <c r="A7" s="34"/>
      <c r="B7" s="34"/>
      <c r="C7" s="49"/>
      <c r="D7" s="49"/>
      <c r="E7" s="49"/>
      <c r="F7" s="49"/>
    </row>
    <row r="8" spans="1:6" ht="15.75" thickBot="1">
      <c r="A8" s="37" t="s">
        <v>0</v>
      </c>
      <c r="B8" s="37"/>
      <c r="C8" s="50">
        <f>SUM(C5:C7)</f>
        <v>100523472.44</v>
      </c>
      <c r="D8" s="50">
        <f>SUM(D5:D7)</f>
        <v>47098332.7</v>
      </c>
      <c r="E8" s="50"/>
      <c r="F8" s="49"/>
    </row>
    <row r="9" spans="1:5" ht="15.75" thickTop="1">
      <c r="A9" s="34"/>
      <c r="B9" s="34"/>
      <c r="C9" s="51">
        <f>+C8-'BK'!G30</f>
        <v>0</v>
      </c>
      <c r="D9" s="51">
        <f>+D8-'BK'!I30</f>
        <v>0</v>
      </c>
      <c r="E9" s="51"/>
    </row>
    <row r="10" spans="1:5" ht="15">
      <c r="A10" s="34" t="s">
        <v>55</v>
      </c>
      <c r="B10" s="34" t="s">
        <v>78</v>
      </c>
      <c r="C10" s="34"/>
      <c r="D10" s="34"/>
      <c r="E10" s="34"/>
    </row>
    <row r="11" spans="1:5" ht="15.75" thickBot="1">
      <c r="A11" s="34" t="s">
        <v>59</v>
      </c>
      <c r="B11" s="34"/>
      <c r="C11" s="35" t="s">
        <v>555</v>
      </c>
      <c r="D11" s="35" t="s">
        <v>262</v>
      </c>
      <c r="E11" s="35"/>
    </row>
    <row r="12" spans="1:9" ht="15.75" thickTop="1">
      <c r="A12" s="41" t="s">
        <v>123</v>
      </c>
      <c r="B12" s="41" t="s">
        <v>202</v>
      </c>
      <c r="C12" s="92">
        <f>103987315.7</f>
        <v>103987315.7</v>
      </c>
      <c r="D12" s="92">
        <v>66311660.11</v>
      </c>
      <c r="E12" s="92"/>
      <c r="F12" s="79">
        <f>C20-C13-D20</f>
        <v>-14274982.889999986</v>
      </c>
      <c r="I12" s="105"/>
    </row>
    <row r="13" spans="1:9" ht="15">
      <c r="A13" s="41" t="s">
        <v>229</v>
      </c>
      <c r="B13" s="41"/>
      <c r="C13" s="92">
        <f>5174604</f>
        <v>5174604</v>
      </c>
      <c r="D13" s="92">
        <v>54585979.43</v>
      </c>
      <c r="E13" s="92"/>
      <c r="I13" s="105"/>
    </row>
    <row r="14" spans="1:9" ht="15">
      <c r="A14" s="41" t="s">
        <v>124</v>
      </c>
      <c r="B14" s="41" t="s">
        <v>202</v>
      </c>
      <c r="C14" s="92">
        <f>48737472.28-151217</f>
        <v>48586255.28</v>
      </c>
      <c r="D14" s="92">
        <v>42815563.6</v>
      </c>
      <c r="E14" s="92"/>
      <c r="I14" s="103"/>
    </row>
    <row r="15" spans="1:9" ht="15">
      <c r="A15" s="41" t="s">
        <v>125</v>
      </c>
      <c r="B15" s="41" t="s">
        <v>202</v>
      </c>
      <c r="C15" s="92">
        <v>8756739.1</v>
      </c>
      <c r="D15" s="92">
        <v>11429223.1</v>
      </c>
      <c r="E15" s="92"/>
      <c r="I15" s="103"/>
    </row>
    <row r="16" spans="1:9" ht="15">
      <c r="A16" s="41" t="s">
        <v>126</v>
      </c>
      <c r="B16" s="41" t="s">
        <v>202</v>
      </c>
      <c r="C16" s="92">
        <v>3219543.92</v>
      </c>
      <c r="D16" s="92">
        <v>3598479.8</v>
      </c>
      <c r="E16" s="92"/>
      <c r="I16" s="103"/>
    </row>
    <row r="17" spans="1:9" ht="15">
      <c r="A17" s="41" t="s">
        <v>127</v>
      </c>
      <c r="B17" s="41" t="s">
        <v>202</v>
      </c>
      <c r="C17" s="92">
        <f>13516.8</f>
        <v>13516.8</v>
      </c>
      <c r="D17" s="92">
        <v>55554.31</v>
      </c>
      <c r="E17" s="92"/>
      <c r="I17" s="103"/>
    </row>
    <row r="18" spans="1:9" ht="15">
      <c r="A18" s="41" t="s">
        <v>128</v>
      </c>
      <c r="B18" s="41" t="s">
        <v>201</v>
      </c>
      <c r="C18" s="92">
        <f>1443228.99-721914.07</f>
        <v>721314.92</v>
      </c>
      <c r="D18" s="92">
        <v>763208.26</v>
      </c>
      <c r="E18" s="92"/>
      <c r="I18" s="103"/>
    </row>
    <row r="19" spans="1:9" ht="15">
      <c r="A19" s="34"/>
      <c r="B19" s="34"/>
      <c r="C19" s="52"/>
      <c r="D19" s="52"/>
      <c r="E19" s="52"/>
      <c r="I19" s="103"/>
    </row>
    <row r="20" spans="1:9" ht="15.75" thickBot="1">
      <c r="A20" s="37" t="s">
        <v>0</v>
      </c>
      <c r="B20" s="37"/>
      <c r="C20" s="53">
        <f>SUM(C12:C19)</f>
        <v>170459289.72</v>
      </c>
      <c r="D20" s="53">
        <f>SUM(D12:D19)</f>
        <v>179559668.60999998</v>
      </c>
      <c r="E20" s="53"/>
      <c r="G20" s="79">
        <f>C20-C13</f>
        <v>165284685.72</v>
      </c>
      <c r="I20" s="103"/>
    </row>
    <row r="21" spans="1:9" ht="16.5" thickBot="1" thickTop="1">
      <c r="A21" s="37"/>
      <c r="B21" s="37"/>
      <c r="C21" s="93"/>
      <c r="D21" s="93"/>
      <c r="E21" s="94"/>
      <c r="G21" s="79">
        <f>D20-G20</f>
        <v>14274982.889999986</v>
      </c>
      <c r="I21" s="104"/>
    </row>
    <row r="22" spans="1:5" ht="15.75" thickTop="1">
      <c r="A22" s="34" t="s">
        <v>295</v>
      </c>
      <c r="B22" s="34" t="s">
        <v>203</v>
      </c>
      <c r="C22" s="34">
        <f>41922.41</f>
        <v>41922.41</v>
      </c>
      <c r="D22" s="34">
        <f>22851443</f>
        <v>22851443</v>
      </c>
      <c r="E22" s="34"/>
    </row>
    <row r="23" spans="1:5" s="177" customFormat="1" ht="15.75" thickBot="1">
      <c r="A23" s="177" t="s">
        <v>302</v>
      </c>
      <c r="B23" s="39"/>
      <c r="C23" s="178">
        <f>SUM(C20:C22)</f>
        <v>170501212.13</v>
      </c>
      <c r="D23" s="178">
        <f>SUM(D20:D22)</f>
        <v>202411111.60999998</v>
      </c>
      <c r="E23" s="39"/>
    </row>
    <row r="24" spans="1:5" ht="15">
      <c r="A24" s="34"/>
      <c r="B24" s="34"/>
      <c r="C24" s="34"/>
      <c r="D24" s="34"/>
      <c r="E24" s="34"/>
    </row>
    <row r="25" spans="1:5" ht="15.75" thickBot="1">
      <c r="A25" s="34" t="s">
        <v>56</v>
      </c>
      <c r="B25" s="34"/>
      <c r="C25" s="35" t="s">
        <v>555</v>
      </c>
      <c r="D25" s="35" t="s">
        <v>262</v>
      </c>
      <c r="E25" s="35"/>
    </row>
    <row r="26" spans="1:6" ht="15.75" thickTop="1">
      <c r="A26" s="34" t="s">
        <v>70</v>
      </c>
      <c r="B26" s="34"/>
      <c r="C26" s="49">
        <f>66573700+89116290-24978.6</f>
        <v>155665011.4</v>
      </c>
      <c r="D26" s="49">
        <f>'BK'!I24</f>
        <v>100089328.25</v>
      </c>
      <c r="E26" s="49"/>
      <c r="F26" s="60"/>
    </row>
    <row r="27" spans="1:6" ht="15">
      <c r="A27" s="183" t="s">
        <v>71</v>
      </c>
      <c r="B27" s="34" t="s">
        <v>79</v>
      </c>
      <c r="C27" s="49"/>
      <c r="D27" s="49">
        <v>6030578</v>
      </c>
      <c r="E27" s="49"/>
      <c r="F27" s="60"/>
    </row>
    <row r="28" spans="1:6" ht="15">
      <c r="A28" s="184" t="s">
        <v>558</v>
      </c>
      <c r="B28" s="34"/>
      <c r="C28" s="49"/>
      <c r="D28" s="49"/>
      <c r="E28" s="49"/>
      <c r="F28" s="60"/>
    </row>
    <row r="29" spans="1:6" ht="15">
      <c r="A29" s="184" t="s">
        <v>559</v>
      </c>
      <c r="B29" s="34"/>
      <c r="C29" s="49">
        <f>22533.66+7241</f>
        <v>29774.66</v>
      </c>
      <c r="D29" s="49"/>
      <c r="E29" s="49"/>
      <c r="F29" s="60"/>
    </row>
    <row r="30" spans="1:6" ht="15">
      <c r="A30" s="185" t="s">
        <v>296</v>
      </c>
      <c r="B30" s="34"/>
      <c r="C30" s="49">
        <v>222217.57</v>
      </c>
      <c r="D30" s="49"/>
      <c r="E30" s="49"/>
      <c r="F30" s="60"/>
    </row>
    <row r="31" spans="1:6" ht="15">
      <c r="A31" s="185" t="s">
        <v>625</v>
      </c>
      <c r="B31" s="34"/>
      <c r="C31" s="49">
        <f>109068</f>
        <v>109068</v>
      </c>
      <c r="D31" s="49"/>
      <c r="E31" s="49"/>
      <c r="F31" s="60"/>
    </row>
    <row r="32" spans="1:5" ht="15">
      <c r="A32" s="186" t="s">
        <v>297</v>
      </c>
      <c r="B32" s="34"/>
      <c r="C32" s="49">
        <f>17077540</f>
        <v>17077540</v>
      </c>
      <c r="D32" s="49"/>
      <c r="E32" s="49"/>
    </row>
    <row r="33" spans="1:5" ht="15">
      <c r="A33" s="34" t="s">
        <v>298</v>
      </c>
      <c r="B33" s="34"/>
      <c r="C33" s="49">
        <f>23640.03+4453268.07+742124.8+90385</f>
        <v>5309417.9</v>
      </c>
      <c r="D33" s="49">
        <f>5169399</f>
        <v>5169399</v>
      </c>
      <c r="E33" s="49"/>
    </row>
    <row r="34" spans="1:5" ht="15.75" thickBot="1">
      <c r="A34" s="37" t="s">
        <v>0</v>
      </c>
      <c r="B34" s="37"/>
      <c r="C34" s="50">
        <f>SUM(C26:C33)-0.09</f>
        <v>178413029.44</v>
      </c>
      <c r="D34" s="50">
        <f>SUM(D26:D33)-0.09</f>
        <v>111289305.16</v>
      </c>
      <c r="E34" s="50"/>
    </row>
    <row r="35" spans="1:5" ht="15.75" thickTop="1">
      <c r="A35" s="37"/>
      <c r="B35" s="37"/>
      <c r="C35" s="54">
        <f>+C34-'BK'!G24-'BK'!G25-'BK'!G26</f>
        <v>-0.09000001288950443</v>
      </c>
      <c r="D35" s="54">
        <f>+D34-'BK'!I24-'BK'!I25-'BK'!I26</f>
        <v>-7.450580596923828E-09</v>
      </c>
      <c r="E35" s="40"/>
    </row>
    <row r="36" spans="1:5" ht="15">
      <c r="A36" s="37" t="s">
        <v>299</v>
      </c>
      <c r="B36" s="37"/>
      <c r="C36" s="54">
        <f>704946+101727.23+579770.38+282334+994206.38</f>
        <v>2662983.9899999998</v>
      </c>
      <c r="D36" s="54">
        <f>3814962</f>
        <v>3814962</v>
      </c>
      <c r="E36" s="40"/>
    </row>
    <row r="37" spans="1:5" ht="15">
      <c r="A37" s="95" t="s">
        <v>56</v>
      </c>
      <c r="B37" s="95" t="s">
        <v>79</v>
      </c>
      <c r="C37" s="40"/>
      <c r="D37" s="40"/>
      <c r="E37" s="40"/>
    </row>
    <row r="38" spans="1:5" ht="15">
      <c r="A38" s="95" t="s">
        <v>141</v>
      </c>
      <c r="B38" s="95"/>
      <c r="C38" s="54">
        <v>23030797</v>
      </c>
      <c r="D38" s="54">
        <v>23030797</v>
      </c>
      <c r="E38" s="54"/>
    </row>
    <row r="39" spans="1:5" ht="15">
      <c r="A39" s="36" t="s">
        <v>140</v>
      </c>
      <c r="B39" s="36"/>
      <c r="C39" s="54"/>
      <c r="D39" s="54">
        <v>1678104.04</v>
      </c>
      <c r="E39" s="51"/>
    </row>
    <row r="40" spans="1:5" ht="15">
      <c r="A40" s="36" t="s">
        <v>280</v>
      </c>
      <c r="B40" s="36"/>
      <c r="C40" s="54"/>
      <c r="D40" s="54">
        <f>2855772</f>
        <v>2855772</v>
      </c>
      <c r="E40" s="51"/>
    </row>
    <row r="41" spans="1:5" ht="15">
      <c r="A41" s="36" t="s">
        <v>285</v>
      </c>
      <c r="B41" s="36"/>
      <c r="C41" s="54">
        <f>1526470</f>
        <v>1526470</v>
      </c>
      <c r="D41" s="54">
        <v>3035120</v>
      </c>
      <c r="E41" s="51"/>
    </row>
    <row r="42" spans="1:5" ht="15">
      <c r="A42" s="36" t="s">
        <v>286</v>
      </c>
      <c r="B42" s="36"/>
      <c r="C42" s="54">
        <f>3052940</f>
        <v>3052940</v>
      </c>
      <c r="D42" s="54">
        <f>3035120</f>
        <v>3035120</v>
      </c>
      <c r="E42" s="51"/>
    </row>
    <row r="43" spans="1:5" ht="15">
      <c r="A43" s="36" t="s">
        <v>129</v>
      </c>
      <c r="B43" s="36"/>
      <c r="C43" s="165">
        <f>2747646</f>
        <v>2747646</v>
      </c>
      <c r="D43" s="165">
        <v>2731608</v>
      </c>
      <c r="E43" s="51"/>
    </row>
    <row r="44" spans="1:5" ht="15">
      <c r="A44" s="36" t="s">
        <v>294</v>
      </c>
      <c r="B44" s="36"/>
      <c r="C44" s="165">
        <f>76998+9971096.31</f>
        <v>10048094.31</v>
      </c>
      <c r="D44" s="165">
        <f>9912840</f>
        <v>9912840</v>
      </c>
      <c r="E44" s="51"/>
    </row>
    <row r="45" spans="1:5" ht="15">
      <c r="A45" s="36" t="s">
        <v>591</v>
      </c>
      <c r="B45" s="36"/>
      <c r="C45" s="165">
        <f>1977472.5</f>
        <v>1977472.5</v>
      </c>
      <c r="D45" s="165">
        <f>1965930</f>
        <v>1965930</v>
      </c>
      <c r="E45" s="51"/>
    </row>
    <row r="46" spans="1:5" ht="15">
      <c r="A46" s="36" t="s">
        <v>130</v>
      </c>
      <c r="B46" s="36"/>
      <c r="C46" s="165">
        <f>2289705</f>
        <v>2289705</v>
      </c>
      <c r="D46" s="165">
        <v>2276340</v>
      </c>
      <c r="E46" s="51"/>
    </row>
    <row r="47" spans="1:5" ht="15">
      <c r="A47" s="36" t="s">
        <v>131</v>
      </c>
      <c r="B47" s="36"/>
      <c r="C47" s="165">
        <v>1126396</v>
      </c>
      <c r="D47" s="165">
        <v>1119821</v>
      </c>
      <c r="E47" s="51"/>
    </row>
    <row r="48" spans="1:5" ht="15">
      <c r="A48" s="36" t="s">
        <v>293</v>
      </c>
      <c r="B48" s="36"/>
      <c r="C48" s="165">
        <f>5951290.22</f>
        <v>5951290.22</v>
      </c>
      <c r="D48" s="165">
        <f>5916552.56</f>
        <v>5916552.56</v>
      </c>
      <c r="E48" s="96"/>
    </row>
    <row r="49" spans="1:5" ht="15">
      <c r="A49" s="36" t="s">
        <v>132</v>
      </c>
      <c r="B49" s="36"/>
      <c r="C49" s="165">
        <v>2664522.77</v>
      </c>
      <c r="D49" s="165">
        <v>2648969.96</v>
      </c>
      <c r="E49" s="96"/>
    </row>
    <row r="50" spans="1:5" ht="15">
      <c r="A50" s="36" t="s">
        <v>133</v>
      </c>
      <c r="B50" s="36"/>
      <c r="C50" s="165">
        <f>630987.19</f>
        <v>630987.19</v>
      </c>
      <c r="D50" s="165">
        <v>627304</v>
      </c>
      <c r="E50" s="96"/>
    </row>
    <row r="51" spans="1:5" ht="15">
      <c r="A51" s="36" t="s">
        <v>291</v>
      </c>
      <c r="B51" s="36"/>
      <c r="C51" s="165">
        <f>1665240</f>
        <v>1665240</v>
      </c>
      <c r="D51" s="165">
        <f>1655520</f>
        <v>1655520</v>
      </c>
      <c r="E51" s="96"/>
    </row>
    <row r="52" spans="1:5" ht="15">
      <c r="A52" s="36" t="s">
        <v>134</v>
      </c>
      <c r="B52" s="36"/>
      <c r="C52" s="165">
        <f>5939356</f>
        <v>5939356</v>
      </c>
      <c r="D52" s="165">
        <v>5904688</v>
      </c>
      <c r="E52" s="96"/>
    </row>
    <row r="53" spans="1:5" ht="15">
      <c r="A53" s="36" t="s">
        <v>292</v>
      </c>
      <c r="B53" s="36"/>
      <c r="C53" s="165">
        <f>2671322.5</f>
        <v>2671322.5</v>
      </c>
      <c r="D53" s="165">
        <f>2655730</f>
        <v>2655730</v>
      </c>
      <c r="E53" s="96"/>
    </row>
    <row r="54" spans="1:5" ht="15">
      <c r="A54" s="36" t="s">
        <v>283</v>
      </c>
      <c r="B54" s="36"/>
      <c r="C54" s="165">
        <v>4163100</v>
      </c>
      <c r="D54" s="165">
        <f>4138800</f>
        <v>4138800</v>
      </c>
      <c r="E54" s="96"/>
    </row>
    <row r="55" spans="1:5" ht="15">
      <c r="A55" s="36" t="s">
        <v>282</v>
      </c>
      <c r="B55" s="36"/>
      <c r="C55" s="165">
        <f>14000*138.77</f>
        <v>1942780.0000000002</v>
      </c>
      <c r="D55" s="165">
        <f>1931440</f>
        <v>1931440</v>
      </c>
      <c r="E55" s="96"/>
    </row>
    <row r="56" spans="1:5" ht="15">
      <c r="A56" s="36" t="s">
        <v>281</v>
      </c>
      <c r="B56" s="36"/>
      <c r="C56" s="165">
        <f>1624580</f>
        <v>1624580</v>
      </c>
      <c r="D56" s="165">
        <f>1186345.63</f>
        <v>1186345.63</v>
      </c>
      <c r="E56" s="96"/>
    </row>
    <row r="57" spans="1:5" ht="15">
      <c r="A57" s="36" t="s">
        <v>289</v>
      </c>
      <c r="B57" s="36"/>
      <c r="C57" s="165"/>
      <c r="D57" s="165">
        <f>1793480</f>
        <v>1793480</v>
      </c>
      <c r="E57" s="96"/>
    </row>
    <row r="58" spans="1:5" ht="15">
      <c r="A58" s="36" t="s">
        <v>288</v>
      </c>
      <c r="B58" s="36"/>
      <c r="C58" s="165">
        <v>14445957</v>
      </c>
      <c r="D58" s="165">
        <f>4276898.8</f>
        <v>4276898.8</v>
      </c>
      <c r="E58" s="96"/>
    </row>
    <row r="59" spans="1:5" ht="15">
      <c r="A59" s="36" t="s">
        <v>284</v>
      </c>
      <c r="B59" s="36"/>
      <c r="C59" s="165">
        <f>699011.4+416</f>
        <v>699427.4</v>
      </c>
      <c r="D59" s="165">
        <f>1692079.4</f>
        <v>1692079.4</v>
      </c>
      <c r="E59" s="96"/>
    </row>
    <row r="60" spans="1:5" ht="15">
      <c r="A60" s="36" t="s">
        <v>287</v>
      </c>
      <c r="B60" s="36"/>
      <c r="C60" s="165">
        <f>1448839+201552</f>
        <v>1650391</v>
      </c>
      <c r="D60" s="165">
        <f>1476172</f>
        <v>1476172</v>
      </c>
      <c r="E60" s="51"/>
    </row>
    <row r="61" spans="1:5" ht="15">
      <c r="A61" s="36" t="s">
        <v>135</v>
      </c>
      <c r="B61" s="36"/>
      <c r="C61" s="165">
        <f>2775400+81600</f>
        <v>2857000</v>
      </c>
      <c r="D61" s="165">
        <v>2759200</v>
      </c>
      <c r="E61" s="51"/>
    </row>
    <row r="62" spans="1:5" ht="15">
      <c r="A62" s="36" t="s">
        <v>136</v>
      </c>
      <c r="B62" s="36"/>
      <c r="C62" s="165">
        <f>150211.58</f>
        <v>150211.58</v>
      </c>
      <c r="D62" s="165">
        <v>321794</v>
      </c>
      <c r="E62" s="51"/>
    </row>
    <row r="63" spans="1:5" ht="15">
      <c r="A63" s="36" t="s">
        <v>137</v>
      </c>
      <c r="B63" s="36"/>
      <c r="C63" s="165">
        <f>652125</f>
        <v>652125</v>
      </c>
      <c r="D63" s="165">
        <v>648318</v>
      </c>
      <c r="E63" s="51"/>
    </row>
    <row r="64" spans="1:5" ht="15">
      <c r="A64" s="36" t="s">
        <v>138</v>
      </c>
      <c r="B64" s="36"/>
      <c r="C64" s="165">
        <f>818743</f>
        <v>818743</v>
      </c>
      <c r="D64" s="165">
        <f>813964</f>
        <v>813964</v>
      </c>
      <c r="E64" s="51"/>
    </row>
    <row r="65" spans="1:5" ht="15">
      <c r="A65" s="36" t="s">
        <v>139</v>
      </c>
      <c r="B65" s="36"/>
      <c r="C65" s="51">
        <f>2914170</f>
        <v>2914170</v>
      </c>
      <c r="D65" s="51">
        <f>2897160</f>
        <v>2897160</v>
      </c>
      <c r="E65" s="40"/>
    </row>
    <row r="66" spans="1:5" ht="15">
      <c r="A66" s="36" t="s">
        <v>290</v>
      </c>
      <c r="B66" s="36"/>
      <c r="C66" s="51"/>
      <c r="D66" s="51">
        <f>3171700</f>
        <v>3171700</v>
      </c>
      <c r="E66" s="51"/>
    </row>
    <row r="67" spans="1:5" ht="15">
      <c r="A67" s="36" t="s">
        <v>592</v>
      </c>
      <c r="B67" s="36"/>
      <c r="C67" s="51">
        <f>1776256</f>
        <v>1776256</v>
      </c>
      <c r="D67" s="51"/>
      <c r="E67" s="51"/>
    </row>
    <row r="68" spans="1:5" ht="15">
      <c r="A68" s="36" t="s">
        <v>593</v>
      </c>
      <c r="B68" s="36"/>
      <c r="C68" s="51">
        <v>1748502</v>
      </c>
      <c r="D68" s="51"/>
      <c r="E68" s="51"/>
    </row>
    <row r="69" spans="1:5" ht="15">
      <c r="A69" s="36" t="s">
        <v>583</v>
      </c>
      <c r="B69" s="36"/>
      <c r="C69" s="160">
        <f>2567245</f>
        <v>2567245</v>
      </c>
      <c r="D69" s="160"/>
      <c r="E69" s="96"/>
    </row>
    <row r="70" spans="1:5" ht="15">
      <c r="A70" s="36" t="s">
        <v>584</v>
      </c>
      <c r="B70" s="36"/>
      <c r="C70" s="160">
        <f>1804010</f>
        <v>1804010</v>
      </c>
      <c r="D70" s="160"/>
      <c r="E70" s="96"/>
    </row>
    <row r="71" spans="1:5" ht="15">
      <c r="A71" s="36" t="s">
        <v>585</v>
      </c>
      <c r="B71" s="36"/>
      <c r="C71" s="160">
        <f>9485623.35</f>
        <v>9485623.35</v>
      </c>
      <c r="D71" s="160"/>
      <c r="E71" s="96"/>
    </row>
    <row r="72" spans="1:5" ht="15">
      <c r="A72" s="36" t="s">
        <v>586</v>
      </c>
      <c r="B72" s="36"/>
      <c r="C72" s="160">
        <f>13500378.22</f>
        <v>13500378.22</v>
      </c>
      <c r="D72" s="160"/>
      <c r="E72" s="96"/>
    </row>
    <row r="73" spans="1:5" ht="15">
      <c r="A73" s="36" t="s">
        <v>588</v>
      </c>
      <c r="B73" s="36"/>
      <c r="C73" s="160">
        <f>1540347</f>
        <v>1540347</v>
      </c>
      <c r="D73" s="160"/>
      <c r="E73" s="96"/>
    </row>
    <row r="74" spans="1:5" ht="15">
      <c r="A74" s="36" t="s">
        <v>587</v>
      </c>
      <c r="B74" s="36"/>
      <c r="C74" s="160">
        <f>2775400</f>
        <v>2775400</v>
      </c>
      <c r="D74" s="160"/>
      <c r="E74" s="51"/>
    </row>
    <row r="75" spans="1:5" ht="15">
      <c r="A75" s="36" t="s">
        <v>589</v>
      </c>
      <c r="B75" s="36"/>
      <c r="C75" s="160">
        <f>3954945</f>
        <v>3954945</v>
      </c>
      <c r="D75" s="160"/>
      <c r="E75" s="51"/>
    </row>
    <row r="76" spans="1:5" ht="15">
      <c r="A76" s="36" t="s">
        <v>590</v>
      </c>
      <c r="B76" s="36"/>
      <c r="C76" s="160">
        <f>2775400</f>
        <v>2775400</v>
      </c>
      <c r="D76" s="160"/>
      <c r="E76" s="51"/>
    </row>
    <row r="77" spans="1:5" ht="15">
      <c r="A77" s="36" t="s">
        <v>594</v>
      </c>
      <c r="B77" s="36"/>
      <c r="C77" s="51">
        <f>3316603</f>
        <v>3316603</v>
      </c>
      <c r="D77" s="51"/>
      <c r="E77" s="51"/>
    </row>
    <row r="78" spans="1:5" ht="15">
      <c r="A78" s="36" t="s">
        <v>595</v>
      </c>
      <c r="B78" s="36"/>
      <c r="C78" s="51">
        <f>1831764</f>
        <v>1831764</v>
      </c>
      <c r="D78" s="51"/>
      <c r="E78" s="51"/>
    </row>
    <row r="79" spans="1:5" ht="15">
      <c r="A79" s="36" t="s">
        <v>596</v>
      </c>
      <c r="B79" s="36"/>
      <c r="C79" s="51">
        <f>1824325.5</f>
        <v>1824325.5</v>
      </c>
      <c r="D79" s="51"/>
      <c r="E79" s="51"/>
    </row>
    <row r="80" spans="1:5" ht="15">
      <c r="A80" s="36" t="s">
        <v>597</v>
      </c>
      <c r="B80" s="36"/>
      <c r="C80" s="51">
        <f>1018360+421850</f>
        <v>1440210</v>
      </c>
      <c r="D80" s="51"/>
      <c r="E80" s="51"/>
    </row>
    <row r="81" spans="1:5" ht="15">
      <c r="A81" s="36" t="s">
        <v>598</v>
      </c>
      <c r="B81" s="36"/>
      <c r="C81" s="51">
        <f>9922055</f>
        <v>9922055</v>
      </c>
      <c r="D81" s="51"/>
      <c r="E81" s="51"/>
    </row>
    <row r="82" spans="1:5" ht="15">
      <c r="A82" s="36" t="s">
        <v>599</v>
      </c>
      <c r="B82" s="36"/>
      <c r="C82" s="51">
        <f>909252</f>
        <v>909252</v>
      </c>
      <c r="D82" s="51"/>
      <c r="E82" s="51"/>
    </row>
    <row r="83" spans="1:5" ht="15">
      <c r="A83" s="36" t="s">
        <v>600</v>
      </c>
      <c r="B83" s="36"/>
      <c r="C83" s="51">
        <f>1651363</f>
        <v>1651363</v>
      </c>
      <c r="D83" s="51"/>
      <c r="E83" s="51"/>
    </row>
    <row r="84" spans="1:5" ht="15">
      <c r="A84" s="36" t="s">
        <v>601</v>
      </c>
      <c r="B84" s="36"/>
      <c r="C84" s="51">
        <f>558937</f>
        <v>558937</v>
      </c>
      <c r="D84" s="51"/>
      <c r="E84" s="51"/>
    </row>
    <row r="85" spans="1:5" ht="15">
      <c r="A85" s="36" t="s">
        <v>602</v>
      </c>
      <c r="B85" s="36"/>
      <c r="C85" s="51">
        <f>1365651</f>
        <v>1365651</v>
      </c>
      <c r="D85" s="51"/>
      <c r="E85" s="51"/>
    </row>
    <row r="86" spans="1:5" ht="15">
      <c r="A86" s="36" t="s">
        <v>603</v>
      </c>
      <c r="B86" s="36"/>
      <c r="C86" s="51">
        <f>416310</f>
        <v>416310</v>
      </c>
      <c r="D86" s="51"/>
      <c r="E86" s="51"/>
    </row>
    <row r="87" spans="1:5" ht="15">
      <c r="A87" s="36" t="s">
        <v>604</v>
      </c>
      <c r="B87" s="36"/>
      <c r="C87" s="51">
        <f>339752</f>
        <v>339752</v>
      </c>
      <c r="D87" s="51"/>
      <c r="E87" s="51"/>
    </row>
    <row r="88" spans="1:5" ht="15">
      <c r="A88" s="36" t="s">
        <v>605</v>
      </c>
      <c r="B88" s="36"/>
      <c r="C88" s="51">
        <f>693850</f>
        <v>693850</v>
      </c>
      <c r="D88" s="51"/>
      <c r="E88" s="51"/>
    </row>
    <row r="89" spans="1:5" ht="15">
      <c r="A89" s="36"/>
      <c r="B89" s="36"/>
      <c r="C89" s="51"/>
      <c r="D89" s="51"/>
      <c r="E89" s="51"/>
    </row>
    <row r="90" spans="1:5" ht="15">
      <c r="A90" s="36"/>
      <c r="B90" s="36"/>
      <c r="C90" s="51"/>
      <c r="D90" s="51"/>
      <c r="E90" s="51"/>
    </row>
    <row r="91" spans="1:5" ht="15">
      <c r="A91" s="36" t="s">
        <v>607</v>
      </c>
      <c r="B91" s="36"/>
      <c r="C91" s="51">
        <f>66573700+89116290-138828105-24978</f>
        <v>16836907</v>
      </c>
      <c r="D91" s="51">
        <f>D26-SUM(D38:D66)</f>
        <v>1931759.8599999994</v>
      </c>
      <c r="E91" s="51"/>
    </row>
    <row r="92" spans="1:5" ht="15">
      <c r="A92" s="36" t="s">
        <v>606</v>
      </c>
      <c r="B92" s="36"/>
      <c r="C92" s="51">
        <f>-23030795.52-1580003</f>
        <v>-24610798.52</v>
      </c>
      <c r="D92" s="51"/>
      <c r="E92" s="51"/>
    </row>
    <row r="93" spans="1:5" ht="15.75" thickBot="1">
      <c r="A93" s="37" t="s">
        <v>142</v>
      </c>
      <c r="B93" s="37"/>
      <c r="C93" s="50">
        <f>SUM(C38:C92)</f>
        <v>155665012.02</v>
      </c>
      <c r="D93" s="50">
        <f>SUM(D38:D91)</f>
        <v>100089328.25</v>
      </c>
      <c r="E93" s="50"/>
    </row>
    <row r="94" spans="1:5" ht="15.75" thickTop="1">
      <c r="A94" s="37"/>
      <c r="B94" s="37"/>
      <c r="C94" s="54"/>
      <c r="D94" s="54"/>
      <c r="E94" s="54"/>
    </row>
    <row r="95" spans="1:5" ht="15.75" thickBot="1">
      <c r="A95" s="102" t="s">
        <v>189</v>
      </c>
      <c r="B95" s="40"/>
      <c r="C95" s="35" t="s">
        <v>262</v>
      </c>
      <c r="D95" s="35" t="s">
        <v>262</v>
      </c>
      <c r="E95" s="35"/>
    </row>
    <row r="96" spans="3:5" ht="15.75" thickTop="1">
      <c r="C96" s="72"/>
      <c r="D96" s="72"/>
      <c r="E96" s="72"/>
    </row>
    <row r="97" spans="1:6" ht="15">
      <c r="A97" s="34" t="s">
        <v>143</v>
      </c>
      <c r="B97" s="34"/>
      <c r="C97" s="163">
        <f>48569500</f>
        <v>48569500</v>
      </c>
      <c r="D97" s="163">
        <f>'BK'!I68</f>
        <v>48277000.86</v>
      </c>
      <c r="E97" s="72"/>
      <c r="F97" s="103"/>
    </row>
    <row r="98" spans="1:6" s="177" customFormat="1" ht="15">
      <c r="A98" s="39" t="s">
        <v>304</v>
      </c>
      <c r="B98" s="39"/>
      <c r="C98" s="179">
        <f>SUM(C97)</f>
        <v>48569500</v>
      </c>
      <c r="D98" s="179">
        <f>SUM(D97)</f>
        <v>48277000.86</v>
      </c>
      <c r="E98" s="182"/>
      <c r="F98" s="181"/>
    </row>
    <row r="99" spans="1:6" s="177" customFormat="1" ht="15">
      <c r="A99" s="39"/>
      <c r="B99" s="39"/>
      <c r="C99" s="179"/>
      <c r="D99" s="179"/>
      <c r="E99" s="182"/>
      <c r="F99" s="181"/>
    </row>
    <row r="100" spans="1:6" ht="15">
      <c r="A100" s="34" t="s">
        <v>145</v>
      </c>
      <c r="B100" s="34">
        <v>7</v>
      </c>
      <c r="C100" s="163">
        <f>11223560.78</f>
        <v>11223560.78</v>
      </c>
      <c r="D100" s="163">
        <f>21948430.6+3787397.93</f>
        <v>25735828.53</v>
      </c>
      <c r="E100" s="97"/>
      <c r="F100" s="103"/>
    </row>
    <row r="101" spans="1:6" ht="15">
      <c r="A101" s="34" t="s">
        <v>144</v>
      </c>
      <c r="B101" s="34" t="s">
        <v>194</v>
      </c>
      <c r="C101" s="163">
        <f>41631000</f>
        <v>41631000</v>
      </c>
      <c r="D101" s="163">
        <f>41388000</f>
        <v>41388000</v>
      </c>
      <c r="E101" s="97"/>
      <c r="F101" s="103"/>
    </row>
    <row r="102" spans="1:6" ht="15">
      <c r="A102" s="34" t="s">
        <v>264</v>
      </c>
      <c r="B102" s="34"/>
      <c r="C102" s="163">
        <f>13545266.15</f>
        <v>13545266.15</v>
      </c>
      <c r="D102" s="163">
        <f>18038556.95</f>
        <v>18038556.95</v>
      </c>
      <c r="E102" s="97"/>
      <c r="F102" s="103"/>
    </row>
    <row r="103" spans="1:6" ht="15">
      <c r="A103" s="34" t="s">
        <v>265</v>
      </c>
      <c r="B103" s="34"/>
      <c r="C103" s="163">
        <f>39079021.08</f>
        <v>39079021.08</v>
      </c>
      <c r="D103" s="163">
        <f>50469768.84</f>
        <v>50469768.84</v>
      </c>
      <c r="E103" s="97"/>
      <c r="F103" s="103"/>
    </row>
    <row r="104" spans="1:6" ht="15">
      <c r="A104" s="34" t="s">
        <v>288</v>
      </c>
      <c r="B104" s="34"/>
      <c r="C104" s="163">
        <f>3213965.96</f>
        <v>3213965.96</v>
      </c>
      <c r="D104" s="163"/>
      <c r="E104" s="97"/>
      <c r="F104" s="103"/>
    </row>
    <row r="105" spans="1:6" ht="15">
      <c r="A105" s="34" t="s">
        <v>560</v>
      </c>
      <c r="B105" s="34"/>
      <c r="C105" s="163">
        <f>4288335.76+1670557.66</f>
        <v>5958893.42</v>
      </c>
      <c r="D105" s="163"/>
      <c r="E105" s="97"/>
      <c r="F105" s="103"/>
    </row>
    <row r="106" spans="1:6" ht="15">
      <c r="A106" s="34" t="s">
        <v>266</v>
      </c>
      <c r="B106" s="34"/>
      <c r="C106" s="163">
        <f>16362213.47</f>
        <v>16362213.47</v>
      </c>
      <c r="D106" s="163">
        <f>16362213.47</f>
        <v>16362213.47</v>
      </c>
      <c r="E106" s="97"/>
      <c r="F106" s="103"/>
    </row>
    <row r="107" spans="1:6" s="177" customFormat="1" ht="15">
      <c r="A107" s="39" t="s">
        <v>303</v>
      </c>
      <c r="B107" s="39"/>
      <c r="C107" s="179">
        <f>SUM(C100:C106)</f>
        <v>131013920.85999998</v>
      </c>
      <c r="D107" s="179">
        <f>SUM(D100:D106)</f>
        <v>151994367.79</v>
      </c>
      <c r="E107" s="180"/>
      <c r="F107" s="181"/>
    </row>
    <row r="109" spans="1:6" s="177" customFormat="1" ht="15">
      <c r="A109" s="39"/>
      <c r="B109" s="39"/>
      <c r="C109" s="179"/>
      <c r="D109" s="179"/>
      <c r="E109" s="180"/>
      <c r="F109" s="181"/>
    </row>
    <row r="110" spans="1:6" ht="15">
      <c r="A110" s="1" t="s">
        <v>25</v>
      </c>
      <c r="B110" s="1" t="s">
        <v>81</v>
      </c>
      <c r="C110" s="164">
        <f>189879634</f>
        <v>189879634</v>
      </c>
      <c r="D110" s="164">
        <f>+'BK'!I70</f>
        <v>143472785</v>
      </c>
      <c r="E110" s="49"/>
      <c r="F110" s="103"/>
    </row>
    <row r="111" spans="1:6" ht="15">
      <c r="A111" s="1" t="s">
        <v>44</v>
      </c>
      <c r="B111" s="1"/>
      <c r="C111" s="164">
        <f>220000</f>
        <v>220000</v>
      </c>
      <c r="D111" s="164">
        <f>+'BK'!I71</f>
        <v>625465</v>
      </c>
      <c r="E111" s="49"/>
      <c r="F111" s="103"/>
    </row>
    <row r="112" spans="1:6" ht="15">
      <c r="A112" s="1" t="s">
        <v>74</v>
      </c>
      <c r="B112" s="1" t="s">
        <v>82</v>
      </c>
      <c r="C112" s="164">
        <f>373833+182974+104070+3113589.7+109068</f>
        <v>3883534.7</v>
      </c>
      <c r="D112" s="164">
        <f>+'BK'!I72</f>
        <v>620302</v>
      </c>
      <c r="E112" s="49"/>
      <c r="F112" s="103"/>
    </row>
    <row r="113" spans="1:6" ht="15">
      <c r="A113" s="1" t="s">
        <v>300</v>
      </c>
      <c r="B113" s="1"/>
      <c r="C113" s="164">
        <f>66666302.23+22222100.75</f>
        <v>88888402.97999999</v>
      </c>
      <c r="D113" s="164">
        <f>'BK'!I73</f>
        <v>88888402.97999999</v>
      </c>
      <c r="E113" s="49"/>
      <c r="F113" s="103"/>
    </row>
    <row r="114" spans="1:6" ht="15">
      <c r="A114" s="1" t="s">
        <v>26</v>
      </c>
      <c r="B114" s="1" t="s">
        <v>195</v>
      </c>
      <c r="C114" s="164">
        <f>10414659+79525.38</f>
        <v>10494184.38</v>
      </c>
      <c r="D114" s="164">
        <f>+'BK'!I74</f>
        <v>30671716.57</v>
      </c>
      <c r="E114" s="49"/>
      <c r="F114" s="103"/>
    </row>
    <row r="115" spans="1:6" ht="15">
      <c r="A115" s="1" t="s">
        <v>204</v>
      </c>
      <c r="B115" s="1"/>
      <c r="C115" s="164">
        <f>3522088+1459787.09+73884.69+393105.64+298640.7</f>
        <v>5747506.12</v>
      </c>
      <c r="D115" s="164">
        <f>7044165+2039147.09</f>
        <v>9083312.09</v>
      </c>
      <c r="E115" s="49"/>
      <c r="F115" s="103"/>
    </row>
    <row r="116" spans="1:6" ht="15.75" thickBot="1">
      <c r="A116" s="37" t="s">
        <v>0</v>
      </c>
      <c r="B116" s="37"/>
      <c r="C116" s="50">
        <f>C98+C107+C110+C111+C112+C113+C114+C115</f>
        <v>478696683.03999996</v>
      </c>
      <c r="D116" s="50">
        <f>D98+D107+D110+D111+D112+D113+D114+D115</f>
        <v>473633352.28999996</v>
      </c>
      <c r="E116" s="50"/>
      <c r="F116" s="106"/>
    </row>
    <row r="117" spans="1:5" ht="15.75" thickTop="1">
      <c r="A117" s="34"/>
      <c r="B117" s="34"/>
      <c r="C117" s="34"/>
      <c r="D117" s="34"/>
      <c r="E117" s="34"/>
    </row>
    <row r="118" spans="1:5" ht="15">
      <c r="A118" s="34"/>
      <c r="B118" s="34"/>
      <c r="C118" s="34">
        <f>C116+C107</f>
        <v>609710603.9</v>
      </c>
      <c r="D118" s="34"/>
      <c r="E118" s="34"/>
    </row>
    <row r="119" spans="1:5" ht="15">
      <c r="A119" s="34"/>
      <c r="B119" s="34"/>
      <c r="C119" s="34"/>
      <c r="D119" s="34"/>
      <c r="E119" s="34"/>
    </row>
    <row r="120" spans="1:5" ht="15">
      <c r="A120" s="39" t="s">
        <v>154</v>
      </c>
      <c r="B120" s="39"/>
      <c r="C120" s="34"/>
      <c r="D120" s="34"/>
      <c r="E120" s="34"/>
    </row>
    <row r="121" spans="1:5" ht="15">
      <c r="A121" s="39"/>
      <c r="B121" s="39" t="s">
        <v>81</v>
      </c>
      <c r="C121" s="161">
        <v>0</v>
      </c>
      <c r="D121" s="161">
        <v>0</v>
      </c>
      <c r="E121" s="34"/>
    </row>
    <row r="122" spans="1:5" ht="15">
      <c r="A122" s="34"/>
      <c r="B122" s="34"/>
      <c r="C122" s="161"/>
      <c r="D122" s="161"/>
      <c r="E122" s="34"/>
    </row>
    <row r="123" spans="1:5" ht="15">
      <c r="A123" s="34" t="s">
        <v>269</v>
      </c>
      <c r="B123" s="34"/>
      <c r="C123" s="355">
        <v>157608</v>
      </c>
      <c r="D123" s="161">
        <f>324612</f>
        <v>324612</v>
      </c>
      <c r="E123" s="34"/>
    </row>
    <row r="124" spans="1:5" ht="15">
      <c r="A124" s="34" t="s">
        <v>146</v>
      </c>
      <c r="B124" s="34"/>
      <c r="C124" s="355"/>
      <c r="D124" s="161"/>
      <c r="E124" s="34"/>
    </row>
    <row r="125" spans="1:5" ht="15">
      <c r="A125" s="34" t="s">
        <v>147</v>
      </c>
      <c r="B125" s="34"/>
      <c r="C125" s="355"/>
      <c r="D125" s="49">
        <f>1216117.4+722910.4</f>
        <v>1939027.7999999998</v>
      </c>
      <c r="E125" s="34"/>
    </row>
    <row r="126" spans="1:5" ht="15">
      <c r="A126" s="34" t="s">
        <v>148</v>
      </c>
      <c r="B126" s="34"/>
      <c r="C126" s="355">
        <v>0</v>
      </c>
      <c r="D126" s="49">
        <f>124478944.74+4274987.21-52500*137.96</f>
        <v>121511031.94999999</v>
      </c>
      <c r="E126" s="34"/>
    </row>
    <row r="127" spans="1:5" ht="15">
      <c r="A127" s="34" t="s">
        <v>149</v>
      </c>
      <c r="B127" s="34"/>
      <c r="C127" s="355">
        <v>0</v>
      </c>
      <c r="D127" s="161">
        <f>3909048</f>
        <v>3909048</v>
      </c>
      <c r="E127" s="34"/>
    </row>
    <row r="128" spans="1:5" ht="15">
      <c r="A128" s="34" t="s">
        <v>270</v>
      </c>
      <c r="B128" s="34"/>
      <c r="C128" s="355">
        <v>1993014.74</v>
      </c>
      <c r="D128" s="161">
        <f>3897370</f>
        <v>3897370</v>
      </c>
      <c r="E128" s="34"/>
    </row>
    <row r="129" spans="1:5" ht="15">
      <c r="A129" s="34" t="s">
        <v>268</v>
      </c>
      <c r="B129" s="34"/>
      <c r="C129" s="355">
        <v>141041904.66</v>
      </c>
      <c r="D129" s="161">
        <f>5623.66</f>
        <v>5623.66</v>
      </c>
      <c r="E129" s="34"/>
    </row>
    <row r="130" spans="1:5" ht="15">
      <c r="A130" s="34" t="s">
        <v>150</v>
      </c>
      <c r="B130" s="34"/>
      <c r="C130" s="355">
        <v>6830707</v>
      </c>
      <c r="D130" s="161">
        <f>1064391.75+168596.85</f>
        <v>1232988.6</v>
      </c>
      <c r="E130" s="34"/>
    </row>
    <row r="131" spans="1:5" ht="15">
      <c r="A131" s="34" t="s">
        <v>267</v>
      </c>
      <c r="B131" s="34"/>
      <c r="C131" s="355">
        <v>24274969.5</v>
      </c>
      <c r="D131" s="34">
        <f>1546942.72</f>
        <v>1546942.72</v>
      </c>
      <c r="E131" s="34"/>
    </row>
    <row r="132" spans="1:5" ht="15">
      <c r="A132" s="34" t="s">
        <v>151</v>
      </c>
      <c r="B132" s="34"/>
      <c r="C132" s="355">
        <v>417117</v>
      </c>
      <c r="D132" s="161">
        <v>414112.08</v>
      </c>
      <c r="E132" s="34"/>
    </row>
    <row r="133" spans="1:5" ht="15">
      <c r="A133" s="34" t="s">
        <v>271</v>
      </c>
      <c r="B133" s="34"/>
      <c r="C133" s="355">
        <v>9247971.4</v>
      </c>
      <c r="D133" s="161">
        <f>1984905</f>
        <v>1984905</v>
      </c>
      <c r="E133" s="34"/>
    </row>
    <row r="134" spans="1:5" ht="15">
      <c r="A134" s="34" t="s">
        <v>152</v>
      </c>
      <c r="B134" s="34"/>
      <c r="C134" s="356">
        <v>5891363.16</v>
      </c>
      <c r="D134" s="161">
        <f>D110-SUM(D122:D133)</f>
        <v>6707123.189999998</v>
      </c>
      <c r="E134" s="34"/>
    </row>
    <row r="135" spans="1:5" ht="15.75" thickBot="1">
      <c r="A135" s="39" t="s">
        <v>153</v>
      </c>
      <c r="B135" s="39"/>
      <c r="C135" s="38">
        <f>SUM(C122:C134)</f>
        <v>189854655.46</v>
      </c>
      <c r="D135" s="38">
        <f>SUM(D122:D134)</f>
        <v>143472785</v>
      </c>
      <c r="E135" s="38"/>
    </row>
    <row r="136" spans="1:5" ht="16.5" thickBot="1" thickTop="1">
      <c r="A136" s="39"/>
      <c r="B136" s="39"/>
      <c r="C136" s="98"/>
      <c r="D136" s="98"/>
      <c r="E136" s="98"/>
    </row>
    <row r="137" spans="1:6" ht="16.5" thickBot="1" thickTop="1">
      <c r="A137" s="39" t="s">
        <v>190</v>
      </c>
      <c r="B137" s="39" t="s">
        <v>82</v>
      </c>
      <c r="C137" s="35" t="s">
        <v>262</v>
      </c>
      <c r="D137" s="35" t="s">
        <v>262</v>
      </c>
      <c r="E137" s="35"/>
      <c r="F137" s="107"/>
    </row>
    <row r="138" spans="1:6" ht="15.75" thickTop="1">
      <c r="A138" s="34" t="s">
        <v>57</v>
      </c>
      <c r="B138" s="34"/>
      <c r="C138" s="34">
        <f>373833</f>
        <v>373833</v>
      </c>
      <c r="D138" s="34">
        <v>417177</v>
      </c>
      <c r="E138" s="34"/>
      <c r="F138" s="60"/>
    </row>
    <row r="139" spans="1:6" ht="15">
      <c r="A139" s="34" t="s">
        <v>58</v>
      </c>
      <c r="B139" s="34"/>
      <c r="C139" s="34">
        <v>182974</v>
      </c>
      <c r="D139" s="34">
        <v>203125</v>
      </c>
      <c r="E139" s="34"/>
      <c r="F139" s="60"/>
    </row>
    <row r="140" spans="1:6" ht="15">
      <c r="A140" s="34" t="s">
        <v>87</v>
      </c>
      <c r="B140" s="34"/>
      <c r="C140" s="34">
        <v>104070</v>
      </c>
      <c r="D140" s="34"/>
      <c r="E140" s="34"/>
      <c r="F140" s="60"/>
    </row>
    <row r="141" spans="1:6" ht="15">
      <c r="A141" s="34" t="s">
        <v>86</v>
      </c>
      <c r="B141" s="34"/>
      <c r="C141" s="34">
        <f>3113589.7+109068</f>
        <v>3222657.7</v>
      </c>
      <c r="D141" s="34"/>
      <c r="E141" s="34"/>
      <c r="F141" s="60"/>
    </row>
    <row r="142" spans="1:6" ht="15">
      <c r="A142" s="34" t="s">
        <v>88</v>
      </c>
      <c r="B142" s="34"/>
      <c r="C142" s="34"/>
      <c r="D142" s="34"/>
      <c r="E142" s="34"/>
      <c r="F142" s="60"/>
    </row>
    <row r="143" spans="1:6" ht="15">
      <c r="A143" s="34" t="s">
        <v>72</v>
      </c>
      <c r="B143" s="34"/>
      <c r="C143" s="34"/>
      <c r="D143" s="34"/>
      <c r="E143" s="34"/>
      <c r="F143" s="60"/>
    </row>
    <row r="144" spans="1:6" ht="15.75" thickBot="1">
      <c r="A144" s="37" t="s">
        <v>0</v>
      </c>
      <c r="B144" s="37"/>
      <c r="C144" s="38">
        <f>SUM(C138:C143)</f>
        <v>3883534.7</v>
      </c>
      <c r="D144" s="38">
        <f>SUM(D138:D143)</f>
        <v>620302</v>
      </c>
      <c r="E144" s="38"/>
      <c r="F144" s="108"/>
    </row>
    <row r="145" spans="1:5" ht="15.75" thickTop="1">
      <c r="A145" s="34"/>
      <c r="B145" s="34"/>
      <c r="C145" s="34">
        <f>+C144-C112</f>
        <v>0</v>
      </c>
      <c r="D145" s="34">
        <f>+D144-D112</f>
        <v>0</v>
      </c>
      <c r="E145" s="34"/>
    </row>
    <row r="146" spans="1:5" ht="15">
      <c r="A146" s="34"/>
      <c r="B146" s="34"/>
      <c r="C146" s="34"/>
      <c r="D146" s="34"/>
      <c r="E146" s="34"/>
    </row>
    <row r="147" spans="1:5" ht="15.75" thickBot="1">
      <c r="A147" s="34"/>
      <c r="B147" s="34"/>
      <c r="C147" s="61" t="s">
        <v>462</v>
      </c>
      <c r="D147" s="61" t="s">
        <v>272</v>
      </c>
      <c r="E147" s="34"/>
    </row>
    <row r="148" spans="1:5" ht="15.75" thickTop="1">
      <c r="A148" s="34" t="s">
        <v>463</v>
      </c>
      <c r="B148" s="34"/>
      <c r="C148" s="34"/>
      <c r="D148" s="34"/>
      <c r="E148" s="34"/>
    </row>
    <row r="149" spans="1:5" ht="15">
      <c r="A149" s="34" t="s">
        <v>464</v>
      </c>
      <c r="B149" s="34"/>
      <c r="C149" s="49">
        <f>338581050</f>
        <v>338581050</v>
      </c>
      <c r="D149" s="34"/>
      <c r="E149" s="34"/>
    </row>
    <row r="150" spans="1:5" ht="15">
      <c r="A150" s="34" t="s">
        <v>465</v>
      </c>
      <c r="B150" s="34"/>
      <c r="C150" s="49">
        <f>717924538+139290.29</f>
        <v>718063828.29</v>
      </c>
      <c r="D150" s="34">
        <f>569459964</f>
        <v>569459964</v>
      </c>
      <c r="E150" s="34"/>
    </row>
    <row r="151" spans="1:5" ht="15">
      <c r="A151" s="34" t="s">
        <v>466</v>
      </c>
      <c r="B151" s="34"/>
      <c r="C151" s="49">
        <f>3443667</f>
        <v>3443667</v>
      </c>
      <c r="D151" s="34"/>
      <c r="E151" s="34"/>
    </row>
    <row r="152" spans="1:5" ht="15">
      <c r="A152" s="34" t="s">
        <v>467</v>
      </c>
      <c r="B152" s="34"/>
      <c r="C152" s="49">
        <f>56614018+337668</f>
        <v>56951686</v>
      </c>
      <c r="D152" s="34">
        <f>49759577.71+2153778</f>
        <v>51913355.71</v>
      </c>
      <c r="E152" s="34"/>
    </row>
    <row r="153" spans="1:5" ht="15">
      <c r="A153" s="34" t="s">
        <v>468</v>
      </c>
      <c r="B153" s="34"/>
      <c r="C153" s="49">
        <f>893454</f>
        <v>893454</v>
      </c>
      <c r="D153" s="34">
        <v>13074331</v>
      </c>
      <c r="E153" s="34"/>
    </row>
    <row r="154" spans="1:5" ht="15">
      <c r="A154" s="34" t="s">
        <v>565</v>
      </c>
      <c r="B154" s="34"/>
      <c r="C154" s="49">
        <f>9020194.52</f>
        <v>9020194.52</v>
      </c>
      <c r="D154" s="34">
        <v>8301487.31</v>
      </c>
      <c r="E154" s="34"/>
    </row>
    <row r="155" spans="1:5" ht="15.75" thickBot="1">
      <c r="A155" s="39" t="s">
        <v>469</v>
      </c>
      <c r="B155" s="34"/>
      <c r="C155" s="273">
        <f>SUM(C149:C154)</f>
        <v>1126953879.81</v>
      </c>
      <c r="D155" s="273">
        <f>'ardh-shpenz'!H6</f>
        <v>642749138.62</v>
      </c>
      <c r="E155" s="34"/>
    </row>
    <row r="156" spans="1:5" ht="15.75" thickTop="1">
      <c r="A156" s="34"/>
      <c r="B156" s="34"/>
      <c r="C156" s="34"/>
      <c r="D156" s="34"/>
      <c r="E156" s="34"/>
    </row>
    <row r="157" spans="1:5" ht="15">
      <c r="A157" s="34"/>
      <c r="B157" s="34"/>
      <c r="C157" s="34"/>
      <c r="D157" s="34"/>
      <c r="E157" s="34"/>
    </row>
    <row r="158" spans="3:4" ht="14.25" customHeight="1" thickBot="1">
      <c r="C158" s="61" t="s">
        <v>462</v>
      </c>
      <c r="D158" s="61" t="s">
        <v>272</v>
      </c>
    </row>
    <row r="159" spans="1:4" s="91" customFormat="1" ht="13.5" thickTop="1">
      <c r="A159" s="91" t="s">
        <v>205</v>
      </c>
      <c r="C159" s="187">
        <f>3522078</f>
        <v>3522078</v>
      </c>
      <c r="D159" s="187">
        <f>3522078</f>
        <v>3522078</v>
      </c>
    </row>
    <row r="160" spans="1:4" ht="12.75">
      <c r="A160" t="s">
        <v>561</v>
      </c>
      <c r="C160" s="333">
        <f>579360</f>
        <v>579360</v>
      </c>
      <c r="D160" s="65"/>
    </row>
    <row r="161" spans="1:4" ht="12.75">
      <c r="A161" t="s">
        <v>563</v>
      </c>
      <c r="C161" s="65">
        <f>4936857.87</f>
        <v>4936857.87</v>
      </c>
      <c r="D161" s="65">
        <f>2558426.34</f>
        <v>2558426.34</v>
      </c>
    </row>
    <row r="162" spans="1:4" ht="12.75">
      <c r="A162" t="s">
        <v>273</v>
      </c>
      <c r="C162" s="65">
        <f>245656.97</f>
        <v>245656.97</v>
      </c>
      <c r="D162" s="65">
        <f>278263.27</f>
        <v>278263.27</v>
      </c>
    </row>
    <row r="163" spans="1:4" ht="15">
      <c r="A163" s="136" t="s">
        <v>206</v>
      </c>
      <c r="C163" s="166">
        <f>395836.5+19828583.8+33594144.76</f>
        <v>53818565.06</v>
      </c>
      <c r="D163" s="166">
        <f>329270+19919959.83+6287328.87</f>
        <v>26536558.7</v>
      </c>
    </row>
    <row r="164" spans="1:4" ht="15">
      <c r="A164" s="41" t="s">
        <v>207</v>
      </c>
      <c r="C164" s="166"/>
      <c r="D164" s="166">
        <f>357272</f>
        <v>357272</v>
      </c>
    </row>
    <row r="165" spans="1:4" ht="15">
      <c r="A165" s="41" t="s">
        <v>562</v>
      </c>
      <c r="C165" s="65">
        <f>47337.59</f>
        <v>47337.59</v>
      </c>
      <c r="D165" s="167"/>
    </row>
    <row r="166" spans="1:5" ht="15">
      <c r="A166" s="58" t="s">
        <v>274</v>
      </c>
      <c r="B166" s="58"/>
      <c r="C166" s="17">
        <f>987798.6</f>
        <v>987798.6</v>
      </c>
      <c r="D166" s="17">
        <f>5655557.69</f>
        <v>5655557.69</v>
      </c>
      <c r="E166" s="56"/>
    </row>
    <row r="167" spans="1:5" ht="15">
      <c r="A167" s="58" t="s">
        <v>275</v>
      </c>
      <c r="B167" s="58"/>
      <c r="C167" s="168"/>
      <c r="D167" s="168">
        <f>146883.25</f>
        <v>146883.25</v>
      </c>
      <c r="E167" s="58"/>
    </row>
    <row r="168" spans="1:5" ht="15" thickBot="1">
      <c r="A168" s="62" t="s">
        <v>0</v>
      </c>
      <c r="B168" s="62" t="s">
        <v>208</v>
      </c>
      <c r="C168" s="59">
        <f>SUM(C159:C167)</f>
        <v>64137654.09000001</v>
      </c>
      <c r="D168" s="59">
        <f>SUM(D161:D167)</f>
        <v>35532961.25</v>
      </c>
      <c r="E168" s="59"/>
    </row>
    <row r="169" spans="1:5" ht="15.75" thickTop="1">
      <c r="A169" s="46"/>
      <c r="B169" s="46"/>
      <c r="C169" s="46"/>
      <c r="D169" s="46"/>
      <c r="E169" s="46"/>
    </row>
    <row r="170" spans="1:6" ht="15">
      <c r="A170" s="41"/>
      <c r="B170" s="41"/>
      <c r="C170" s="41"/>
      <c r="D170" s="41"/>
      <c r="E170" s="41"/>
      <c r="F170" t="s">
        <v>305</v>
      </c>
    </row>
    <row r="171" spans="1:5" ht="15.75" thickBot="1">
      <c r="A171" s="99" t="s">
        <v>161</v>
      </c>
      <c r="B171" s="135">
        <v>9</v>
      </c>
      <c r="C171" s="42" t="s">
        <v>555</v>
      </c>
      <c r="D171" s="42" t="s">
        <v>262</v>
      </c>
      <c r="E171" s="42"/>
    </row>
    <row r="172" spans="1:5" ht="13.5" thickTop="1">
      <c r="A172" t="s">
        <v>556</v>
      </c>
      <c r="C172" s="65">
        <f>928146031-47500</f>
        <v>928098531</v>
      </c>
      <c r="D172" s="65">
        <f>368268862+107278979-1376078+47556+1392873+261899+102456-3899-52000*137.96</f>
        <v>468798728</v>
      </c>
      <c r="E172" s="73"/>
    </row>
    <row r="173" spans="1:6" ht="12.75">
      <c r="A173" t="s">
        <v>155</v>
      </c>
      <c r="C173" s="65">
        <v>648961</v>
      </c>
      <c r="D173" s="65">
        <f>1376077.54</f>
        <v>1376077.54</v>
      </c>
      <c r="E173" s="73"/>
      <c r="F173" s="66"/>
    </row>
    <row r="174" spans="1:6" ht="12.75">
      <c r="A174" t="s">
        <v>564</v>
      </c>
      <c r="C174" s="65">
        <f>47500</f>
        <v>47500</v>
      </c>
      <c r="D174" s="65"/>
      <c r="E174" s="73"/>
      <c r="F174" s="66"/>
    </row>
    <row r="175" spans="1:5" ht="12.75">
      <c r="A175" t="s">
        <v>159</v>
      </c>
      <c r="C175" s="66">
        <f>523783+37330-519817.19-12869823.03+41801535.31+315048.62+279331.88+178670+180887.7</f>
        <v>29926946.290000003</v>
      </c>
      <c r="D175" s="66">
        <f>26156732+610499+1237867</f>
        <v>28005098</v>
      </c>
      <c r="E175" s="73"/>
    </row>
    <row r="176" spans="1:4" ht="12.75">
      <c r="A176" t="s">
        <v>160</v>
      </c>
      <c r="C176" s="66">
        <f>2672484</f>
        <v>2672484</v>
      </c>
      <c r="D176" s="66">
        <f>10295551</f>
        <v>10295551</v>
      </c>
    </row>
    <row r="177" spans="1:4" ht="12.75">
      <c r="A177" t="s">
        <v>156</v>
      </c>
      <c r="C177" s="66"/>
      <c r="D177" s="66"/>
    </row>
    <row r="178" spans="1:4" ht="12.75">
      <c r="A178" t="s">
        <v>157</v>
      </c>
      <c r="C178" s="66"/>
      <c r="D178" s="66"/>
    </row>
    <row r="179" spans="1:4" ht="12.75">
      <c r="A179" t="s">
        <v>158</v>
      </c>
      <c r="C179" s="66"/>
      <c r="D179" s="66"/>
    </row>
    <row r="180" spans="1:5" ht="15" thickBot="1">
      <c r="A180" s="44" t="s">
        <v>0</v>
      </c>
      <c r="B180" s="44"/>
      <c r="C180" s="45">
        <f>SUM(C172:C179)</f>
        <v>961394422.29</v>
      </c>
      <c r="D180" s="45">
        <f>SUM(D172:D179)</f>
        <v>508475454.54</v>
      </c>
      <c r="E180" s="45"/>
    </row>
    <row r="181" spans="1:5" ht="15.75" thickTop="1">
      <c r="A181" s="41"/>
      <c r="B181" s="41"/>
      <c r="C181" s="41">
        <f>+C180+'ardh-shpenz'!F11</f>
        <v>0.12999999523162842</v>
      </c>
      <c r="D181" s="41">
        <f>+D180+'ardh-shpenz'!H11</f>
        <v>0</v>
      </c>
      <c r="E181" s="41"/>
    </row>
    <row r="182" spans="1:5" ht="15">
      <c r="A182" s="41"/>
      <c r="B182" s="41"/>
      <c r="C182" s="41"/>
      <c r="D182" s="41"/>
      <c r="E182" s="41"/>
    </row>
    <row r="183" spans="1:5" ht="15">
      <c r="A183" s="41"/>
      <c r="B183" s="41"/>
      <c r="C183" s="41"/>
      <c r="D183" s="41"/>
      <c r="E183" s="41"/>
    </row>
    <row r="184" spans="1:5" ht="15.75" thickBot="1">
      <c r="A184" s="58"/>
      <c r="B184" s="58"/>
      <c r="C184" s="61" t="s">
        <v>555</v>
      </c>
      <c r="D184" s="61" t="s">
        <v>262</v>
      </c>
      <c r="E184" s="61"/>
    </row>
    <row r="185" spans="1:5" ht="15.75" thickTop="1">
      <c r="A185" s="58" t="s">
        <v>60</v>
      </c>
      <c r="B185" s="58"/>
      <c r="C185" s="57">
        <v>26589856</v>
      </c>
      <c r="D185" s="57">
        <f>25837943</f>
        <v>25837943</v>
      </c>
      <c r="E185" s="58"/>
    </row>
    <row r="186" spans="1:5" ht="15">
      <c r="A186" s="58" t="s">
        <v>57</v>
      </c>
      <c r="B186" s="58"/>
      <c r="C186" s="314">
        <v>2636550.5</v>
      </c>
      <c r="D186" s="58">
        <f>2870257</f>
        <v>2870257</v>
      </c>
      <c r="E186" s="58"/>
    </row>
    <row r="187" spans="1:5" ht="15">
      <c r="A187" s="58" t="s">
        <v>162</v>
      </c>
      <c r="B187" s="58"/>
      <c r="C187" s="314">
        <v>108000</v>
      </c>
      <c r="D187" s="58">
        <v>135000</v>
      </c>
      <c r="E187" s="58"/>
    </row>
    <row r="188" spans="1:5" ht="15" thickBot="1">
      <c r="A188" s="62" t="s">
        <v>0</v>
      </c>
      <c r="B188" s="62"/>
      <c r="C188" s="59">
        <f>SUM(C185:C187)</f>
        <v>29334406.5</v>
      </c>
      <c r="D188" s="59">
        <f>SUM(D185:D187)</f>
        <v>28843200</v>
      </c>
      <c r="E188" s="59"/>
    </row>
    <row r="189" spans="1:5" ht="15.75" thickTop="1">
      <c r="A189" s="41"/>
      <c r="B189" s="41"/>
      <c r="C189" s="41">
        <f>+C188+'ardh-shpenz'!F13+0.5</f>
        <v>0</v>
      </c>
      <c r="D189" s="41">
        <f>+D188+'ardh-shpenz'!H13-0.5</f>
        <v>0</v>
      </c>
      <c r="E189" s="41"/>
    </row>
    <row r="190" spans="1:5" ht="15">
      <c r="A190" s="41"/>
      <c r="B190" s="41"/>
      <c r="C190" s="41"/>
      <c r="D190" s="41"/>
      <c r="E190" s="41"/>
    </row>
    <row r="191" spans="1:5" ht="15">
      <c r="A191" s="41"/>
      <c r="B191" s="41"/>
      <c r="C191" s="41"/>
      <c r="D191" s="41"/>
      <c r="E191" s="41"/>
    </row>
    <row r="192" spans="1:5" ht="15">
      <c r="A192" s="41"/>
      <c r="B192" s="41"/>
      <c r="C192" s="41"/>
      <c r="D192" s="41"/>
      <c r="E192" s="41"/>
    </row>
    <row r="193" spans="1:5" ht="15.75" thickBot="1">
      <c r="A193" s="338"/>
      <c r="B193" s="338"/>
      <c r="C193" s="339" t="s">
        <v>555</v>
      </c>
      <c r="D193" s="339" t="s">
        <v>262</v>
      </c>
      <c r="E193" s="61"/>
    </row>
    <row r="194" spans="1:5" ht="15.75" thickTop="1">
      <c r="A194" s="338"/>
      <c r="B194" s="338"/>
      <c r="C194" s="339"/>
      <c r="D194" s="339"/>
      <c r="E194" s="100"/>
    </row>
    <row r="195" spans="1:6" ht="15">
      <c r="A195" s="338" t="s">
        <v>163</v>
      </c>
      <c r="B195" s="338">
        <v>10</v>
      </c>
      <c r="C195" s="340">
        <v>1518237</v>
      </c>
      <c r="D195" s="340">
        <f>1524612.1</f>
        <v>1524612.1</v>
      </c>
      <c r="E195" s="100"/>
      <c r="F195">
        <f>1455937+62300</f>
        <v>1518237</v>
      </c>
    </row>
    <row r="196" spans="1:5" ht="15">
      <c r="A196" s="338" t="s">
        <v>173</v>
      </c>
      <c r="B196" s="338"/>
      <c r="C196" s="340">
        <f>12066450+320693</f>
        <v>12387143</v>
      </c>
      <c r="D196" s="340">
        <v>12297470</v>
      </c>
      <c r="E196" s="100"/>
    </row>
    <row r="197" spans="1:5" ht="15">
      <c r="A197" s="338" t="s">
        <v>187</v>
      </c>
      <c r="B197" s="338"/>
      <c r="C197" s="340">
        <f>1877221</f>
        <v>1877221</v>
      </c>
      <c r="D197" s="340">
        <f>1841938.51</f>
        <v>1841938.51</v>
      </c>
      <c r="E197" s="100"/>
    </row>
    <row r="198" spans="1:6" ht="15">
      <c r="A198" s="338" t="s">
        <v>164</v>
      </c>
      <c r="B198" s="338"/>
      <c r="C198" s="340">
        <f>727878.91</f>
        <v>727878.91</v>
      </c>
      <c r="D198" s="340">
        <f>433844</f>
        <v>433844</v>
      </c>
      <c r="E198" s="100"/>
      <c r="F198" s="60"/>
    </row>
    <row r="199" spans="1:5" ht="15">
      <c r="A199" s="338" t="s">
        <v>552</v>
      </c>
      <c r="B199" s="338"/>
      <c r="C199" s="340">
        <f>255706+197069+720000+1987674</f>
        <v>3160449</v>
      </c>
      <c r="D199" s="340">
        <f>1523911.03+217538.49+179811.1+715000</f>
        <v>2636260.62</v>
      </c>
      <c r="E199" s="100"/>
    </row>
    <row r="200" spans="1:5" ht="15">
      <c r="A200" s="338" t="s">
        <v>166</v>
      </c>
      <c r="B200" s="338"/>
      <c r="C200" s="340">
        <f>346945</f>
        <v>346945</v>
      </c>
      <c r="D200" s="340">
        <f>325056.17</f>
        <v>325056.17</v>
      </c>
      <c r="E200" s="100"/>
    </row>
    <row r="201" spans="1:5" ht="15">
      <c r="A201" s="338" t="s">
        <v>165</v>
      </c>
      <c r="B201" s="338"/>
      <c r="C201" s="340">
        <f>577344+170240</f>
        <v>747584</v>
      </c>
      <c r="D201" s="340">
        <f>1434119.52+127361.7</f>
        <v>1561481.22</v>
      </c>
      <c r="E201" s="100"/>
    </row>
    <row r="202" spans="1:5" ht="15">
      <c r="A202" s="338" t="s">
        <v>276</v>
      </c>
      <c r="B202" s="338"/>
      <c r="C202" s="340">
        <f>600417.89+487998.3</f>
        <v>1088416.19</v>
      </c>
      <c r="D202" s="340">
        <f>958579.42</f>
        <v>958579.42</v>
      </c>
      <c r="E202" s="100"/>
    </row>
    <row r="203" spans="1:5" ht="15">
      <c r="A203" s="338" t="s">
        <v>167</v>
      </c>
      <c r="B203" s="338"/>
      <c r="C203" s="340">
        <f>646150</f>
        <v>646150</v>
      </c>
      <c r="D203" s="340">
        <f>594800</f>
        <v>594800</v>
      </c>
      <c r="E203" s="100"/>
    </row>
    <row r="204" spans="1:5" ht="15">
      <c r="A204" s="338" t="s">
        <v>168</v>
      </c>
      <c r="B204" s="338"/>
      <c r="C204" s="340">
        <f>1820544</f>
        <v>1820544</v>
      </c>
      <c r="D204" s="340">
        <f>1238294.24</f>
        <v>1238294.24</v>
      </c>
      <c r="E204" s="100"/>
    </row>
    <row r="205" spans="1:5" ht="15">
      <c r="A205" s="338" t="s">
        <v>277</v>
      </c>
      <c r="B205" s="338"/>
      <c r="C205" s="340">
        <f>1689400</f>
        <v>1689400</v>
      </c>
      <c r="D205" s="340">
        <f>1508990+194964</f>
        <v>1703954</v>
      </c>
      <c r="E205" s="100"/>
    </row>
    <row r="206" spans="1:5" ht="15">
      <c r="A206" s="338" t="s">
        <v>169</v>
      </c>
      <c r="B206" s="338"/>
      <c r="C206" s="340"/>
      <c r="D206" s="340"/>
      <c r="E206" s="100"/>
    </row>
    <row r="207" spans="1:5" ht="15">
      <c r="A207" s="338" t="s">
        <v>170</v>
      </c>
      <c r="B207" s="338"/>
      <c r="C207" s="340">
        <f>330821</f>
        <v>330821</v>
      </c>
      <c r="D207" s="340">
        <f>411749.91+7777.8</f>
        <v>419527.70999999996</v>
      </c>
      <c r="E207" s="100"/>
    </row>
    <row r="208" spans="1:5" ht="18" customHeight="1">
      <c r="A208" s="338" t="s">
        <v>89</v>
      </c>
      <c r="B208" s="338"/>
      <c r="C208" s="340">
        <f>180000</f>
        <v>180000</v>
      </c>
      <c r="D208" s="340">
        <f>169200</f>
        <v>169200</v>
      </c>
      <c r="E208" s="100"/>
    </row>
    <row r="209" spans="1:5" ht="18" customHeight="1">
      <c r="A209" s="338" t="s">
        <v>554</v>
      </c>
      <c r="B209" s="338"/>
      <c r="C209" s="340">
        <f>12889</f>
        <v>12889</v>
      </c>
      <c r="D209" s="340"/>
      <c r="E209" s="100"/>
    </row>
    <row r="210" spans="1:6" ht="15">
      <c r="A210" s="338" t="s">
        <v>91</v>
      </c>
      <c r="B210" s="338"/>
      <c r="C210" s="340">
        <f>305202+650824</f>
        <v>956026</v>
      </c>
      <c r="D210" s="340">
        <f>119792.4+143520</f>
        <v>263312.4</v>
      </c>
      <c r="E210" s="100"/>
      <c r="F210" s="60"/>
    </row>
    <row r="211" spans="1:5" ht="15">
      <c r="A211" s="338" t="s">
        <v>171</v>
      </c>
      <c r="B211" s="338"/>
      <c r="C211" s="340">
        <f>117000</f>
        <v>117000</v>
      </c>
      <c r="D211" s="340">
        <f>108000</f>
        <v>108000</v>
      </c>
      <c r="E211" s="100"/>
    </row>
    <row r="212" spans="1:5" ht="15">
      <c r="A212" s="338" t="s">
        <v>553</v>
      </c>
      <c r="B212" s="338"/>
      <c r="C212" s="340">
        <f>27000</f>
        <v>27000</v>
      </c>
      <c r="D212" s="340"/>
      <c r="E212" s="100"/>
    </row>
    <row r="213" spans="1:6" ht="15">
      <c r="A213" s="338" t="s">
        <v>90</v>
      </c>
      <c r="B213" s="338"/>
      <c r="C213" s="340"/>
      <c r="D213" s="340">
        <f>577216.28+27778</f>
        <v>604994.28</v>
      </c>
      <c r="E213" s="100"/>
      <c r="F213" s="60"/>
    </row>
    <row r="214" spans="1:5" ht="15">
      <c r="A214" s="338" t="s">
        <v>172</v>
      </c>
      <c r="B214" s="338"/>
      <c r="C214" s="340"/>
      <c r="D214" s="340">
        <f>332370</f>
        <v>332370</v>
      </c>
      <c r="E214" s="100"/>
    </row>
    <row r="215" spans="1:5" ht="15">
      <c r="A215" s="338" t="s">
        <v>278</v>
      </c>
      <c r="B215" s="338"/>
      <c r="C215" s="340"/>
      <c r="D215" s="340">
        <f>142320.48</f>
        <v>142320.48</v>
      </c>
      <c r="E215" s="100"/>
    </row>
    <row r="216" spans="1:6" ht="15">
      <c r="A216" s="338" t="s">
        <v>174</v>
      </c>
      <c r="B216" s="338"/>
      <c r="C216" s="340">
        <f>2878940.97+6000+24760</f>
        <v>2909700.97</v>
      </c>
      <c r="D216" s="340">
        <f>711692.64+1791891.2+107965.86</f>
        <v>2611549.6999999997</v>
      </c>
      <c r="E216" s="100"/>
      <c r="F216" s="60"/>
    </row>
    <row r="217" spans="1:5" ht="15">
      <c r="A217" s="338" t="s">
        <v>175</v>
      </c>
      <c r="B217" s="338"/>
      <c r="C217" s="340">
        <f>1157500</f>
        <v>1157500</v>
      </c>
      <c r="D217" s="340">
        <f>1337499.4</f>
        <v>1337499.4</v>
      </c>
      <c r="E217" s="100"/>
    </row>
    <row r="218" spans="1:5" ht="15">
      <c r="A218" s="338" t="s">
        <v>176</v>
      </c>
      <c r="B218" s="338"/>
      <c r="C218" s="340">
        <f>136160</f>
        <v>136160</v>
      </c>
      <c r="D218" s="340">
        <f>1591914</f>
        <v>1591914</v>
      </c>
      <c r="E218" s="100"/>
    </row>
    <row r="219" spans="1:5" ht="15">
      <c r="A219" s="338" t="s">
        <v>177</v>
      </c>
      <c r="B219" s="338"/>
      <c r="C219" s="340">
        <f>5830103+556302</f>
        <v>6386405</v>
      </c>
      <c r="D219" s="340">
        <f>9326993.16+328380+263660.85+462690</f>
        <v>10381724.01</v>
      </c>
      <c r="E219" s="100"/>
    </row>
    <row r="220" spans="1:5" ht="15">
      <c r="A220" s="338" t="s">
        <v>178</v>
      </c>
      <c r="B220" s="338"/>
      <c r="C220" s="340">
        <f>2553507+165145</f>
        <v>2718652</v>
      </c>
      <c r="D220" s="340">
        <f>1387840.51+306302.84</f>
        <v>1694143.35</v>
      </c>
      <c r="E220" s="100"/>
    </row>
    <row r="221" spans="1:6" ht="15">
      <c r="A221" s="338" t="s">
        <v>179</v>
      </c>
      <c r="B221" s="338"/>
      <c r="C221" s="340">
        <f>3630525+1744072+3779814+626891.92+390051.76</f>
        <v>10171354.68</v>
      </c>
      <c r="D221" s="340">
        <f>2560565.46+5431462.4+22325</f>
        <v>8014352.86</v>
      </c>
      <c r="E221" s="100"/>
      <c r="F221" s="60">
        <f>C221</f>
        <v>10171354.68</v>
      </c>
    </row>
    <row r="222" spans="1:6" ht="15">
      <c r="A222" s="338" t="s">
        <v>180</v>
      </c>
      <c r="B222" s="338"/>
      <c r="C222" s="340">
        <f>4743761+83341+77105+667320+1969586.91+468967+162800+58261</f>
        <v>8231141.91</v>
      </c>
      <c r="D222" s="340">
        <f>543321.63+100000+689157.43+1477755+200000</f>
        <v>3010234.06</v>
      </c>
      <c r="E222" s="100"/>
      <c r="F222" s="60"/>
    </row>
    <row r="223" spans="1:5" ht="15">
      <c r="A223" s="338" t="s">
        <v>181</v>
      </c>
      <c r="B223" s="338"/>
      <c r="C223" s="340"/>
      <c r="D223" s="340"/>
      <c r="E223" s="100"/>
    </row>
    <row r="224" spans="1:5" ht="15">
      <c r="A224" s="338" t="s">
        <v>188</v>
      </c>
      <c r="B224" s="338"/>
      <c r="C224" s="340">
        <v>4722330</v>
      </c>
      <c r="D224" s="340">
        <v>2230443</v>
      </c>
      <c r="E224" s="100"/>
    </row>
    <row r="225" spans="1:6" ht="15">
      <c r="A225" s="338" t="s">
        <v>183</v>
      </c>
      <c r="B225" s="338"/>
      <c r="C225" s="340">
        <f>165293+44730+604920</f>
        <v>814943</v>
      </c>
      <c r="D225" s="340">
        <f>306490+29510+473990</f>
        <v>809990</v>
      </c>
      <c r="E225" s="100"/>
      <c r="F225" s="60"/>
    </row>
    <row r="226" spans="1:5" ht="15">
      <c r="A226" s="338" t="s">
        <v>182</v>
      </c>
      <c r="B226" s="338"/>
      <c r="C226" s="340">
        <v>15000</v>
      </c>
      <c r="D226" s="340"/>
      <c r="E226" s="100"/>
    </row>
    <row r="227" spans="1:5" ht="15">
      <c r="A227" s="338" t="s">
        <v>184</v>
      </c>
      <c r="B227" s="338"/>
      <c r="C227" s="340"/>
      <c r="D227" s="340"/>
      <c r="E227" s="100"/>
    </row>
    <row r="228" spans="1:5" ht="15">
      <c r="A228" s="338" t="s">
        <v>185</v>
      </c>
      <c r="B228" s="338"/>
      <c r="C228" s="340">
        <f>502239</f>
        <v>502239</v>
      </c>
      <c r="D228" s="340">
        <f>106676.8</f>
        <v>106676.8</v>
      </c>
      <c r="E228" s="100"/>
    </row>
    <row r="229" spans="1:5" ht="15">
      <c r="A229" s="338" t="s">
        <v>279</v>
      </c>
      <c r="B229" s="338"/>
      <c r="C229" s="340">
        <f>344589</f>
        <v>344589</v>
      </c>
      <c r="D229" s="340">
        <f>394731.7</f>
        <v>394731.7</v>
      </c>
      <c r="E229" s="100"/>
    </row>
    <row r="230" spans="1:6" ht="15">
      <c r="A230" s="338" t="s">
        <v>186</v>
      </c>
      <c r="B230" s="338"/>
      <c r="C230" s="340"/>
      <c r="D230" s="340"/>
      <c r="E230" s="100"/>
      <c r="F230" s="60"/>
    </row>
    <row r="231" spans="1:7" ht="15" thickBot="1">
      <c r="A231" s="341" t="s">
        <v>0</v>
      </c>
      <c r="B231" s="341"/>
      <c r="C231" s="342">
        <f>SUM(C195:C230)</f>
        <v>65743719.66</v>
      </c>
      <c r="D231" s="343">
        <f>SUM(D195:D230)</f>
        <v>59339274.03</v>
      </c>
      <c r="E231" s="59"/>
      <c r="F231">
        <v>5032</v>
      </c>
      <c r="G231" s="60"/>
    </row>
    <row r="232" spans="1:5" ht="15.75" thickTop="1">
      <c r="A232" s="41"/>
      <c r="B232" s="41"/>
      <c r="C232" s="41">
        <f>+C231+'ardh-shpenz'!F12</f>
        <v>0</v>
      </c>
      <c r="D232" s="41">
        <f>+D231+'ardh-shpenz'!H12</f>
        <v>0</v>
      </c>
      <c r="E232" s="41"/>
    </row>
    <row r="233" spans="1:5" ht="15">
      <c r="A233" s="41"/>
      <c r="B233" s="41"/>
      <c r="C233" s="41"/>
      <c r="D233" s="41"/>
      <c r="E233" s="41"/>
    </row>
    <row r="234" spans="1:5" ht="15.75" thickBot="1">
      <c r="A234" s="41"/>
      <c r="B234" s="41">
        <v>12</v>
      </c>
      <c r="C234" s="42" t="s">
        <v>555</v>
      </c>
      <c r="D234" s="42" t="s">
        <v>262</v>
      </c>
      <c r="E234" s="42"/>
    </row>
    <row r="235" spans="1:5" ht="15.75" thickTop="1">
      <c r="A235" s="41" t="s">
        <v>61</v>
      </c>
      <c r="B235" s="41"/>
      <c r="C235" s="133">
        <f>1663490.82+655867.86</f>
        <v>2319358.68</v>
      </c>
      <c r="D235" s="133">
        <f>1638701.86</f>
        <v>1638701.86</v>
      </c>
      <c r="E235" s="43"/>
    </row>
    <row r="236" spans="1:5" ht="15">
      <c r="A236" s="41" t="s">
        <v>62</v>
      </c>
      <c r="B236" s="41"/>
      <c r="C236" s="133">
        <f>26413.48</f>
        <v>26413.48</v>
      </c>
      <c r="D236" s="133">
        <f>39021.19</f>
        <v>39021.19</v>
      </c>
      <c r="E236" s="56"/>
    </row>
    <row r="237" spans="1:5" ht="15">
      <c r="A237" s="41" t="s">
        <v>42</v>
      </c>
      <c r="B237" s="41"/>
      <c r="C237" s="133"/>
      <c r="D237" s="133"/>
      <c r="E237" s="56"/>
    </row>
    <row r="238" spans="1:5" ht="15">
      <c r="A238" s="47" t="s">
        <v>63</v>
      </c>
      <c r="B238" s="47"/>
      <c r="C238" s="134">
        <f>-2994896</f>
        <v>-2994896</v>
      </c>
      <c r="D238" s="134">
        <f>-(6167313.78+161752.52+4760254.74+1052079.85+2693690.63+4248000+1624644.3-1315657)</f>
        <v>-19392078.82</v>
      </c>
      <c r="E238" s="56"/>
    </row>
    <row r="239" spans="1:5" ht="15">
      <c r="A239" s="41" t="s">
        <v>17</v>
      </c>
      <c r="B239" s="41"/>
      <c r="C239" s="133">
        <f>-24604050</f>
        <v>-24604050</v>
      </c>
      <c r="D239" s="133">
        <f>-(6821.21+7935537+1335994.5+5346351.21+3263912.39+789480.57+682211.38)</f>
        <v>-19360308.26</v>
      </c>
      <c r="E239" s="56"/>
    </row>
    <row r="240" spans="1:5" ht="15" thickBot="1">
      <c r="A240" s="44" t="s">
        <v>0</v>
      </c>
      <c r="B240" s="44"/>
      <c r="C240" s="59">
        <f>SUM(C235:C239)</f>
        <v>-25253173.84</v>
      </c>
      <c r="D240" s="59">
        <f>SUM(D235:D239)</f>
        <v>-37074664.03</v>
      </c>
      <c r="E240" s="59"/>
    </row>
    <row r="241" spans="1:5" ht="15.75" thickTop="1">
      <c r="A241" s="41"/>
      <c r="B241" s="41"/>
      <c r="C241" s="58">
        <f>+C240-'ardh-shpenz'!F20</f>
        <v>0</v>
      </c>
      <c r="D241" s="58">
        <f>+D240-'ardh-shpenz'!H20</f>
        <v>-0.0299999937415123</v>
      </c>
      <c r="E241" s="58"/>
    </row>
    <row r="242" spans="1:5" ht="15">
      <c r="A242" s="41"/>
      <c r="B242" s="41"/>
      <c r="C242" s="41"/>
      <c r="D242" s="41"/>
      <c r="E242" s="41"/>
    </row>
    <row r="243" spans="1:5" ht="15.75" thickBot="1">
      <c r="A243" s="58"/>
      <c r="B243" s="58"/>
      <c r="C243" s="61" t="s">
        <v>557</v>
      </c>
      <c r="D243" s="61" t="s">
        <v>230</v>
      </c>
      <c r="E243" s="61"/>
    </row>
    <row r="244" spans="1:7" ht="15.75" thickTop="1">
      <c r="A244" s="58" t="s">
        <v>64</v>
      </c>
      <c r="B244" s="58"/>
      <c r="C244" s="58">
        <f>74905159</f>
        <v>74905159</v>
      </c>
      <c r="D244" s="58">
        <v>25408322</v>
      </c>
      <c r="E244" s="58"/>
      <c r="G244" t="s">
        <v>537</v>
      </c>
    </row>
    <row r="245" spans="1:5" ht="15">
      <c r="A245" s="58" t="s">
        <v>65</v>
      </c>
      <c r="B245" s="58"/>
      <c r="C245" s="58">
        <f>shpa!D29</f>
        <v>15193219.760000002</v>
      </c>
      <c r="D245" s="58">
        <v>12959711</v>
      </c>
      <c r="E245" s="58"/>
    </row>
    <row r="246" spans="1:8" ht="15.75" thickBot="1">
      <c r="A246" s="58" t="s">
        <v>209</v>
      </c>
      <c r="B246" s="58"/>
      <c r="C246" s="58">
        <f>-3522077-579360</f>
        <v>-4101437</v>
      </c>
      <c r="D246" s="58">
        <f>-3522081</f>
        <v>-3522081</v>
      </c>
      <c r="E246" s="58"/>
      <c r="G246" s="74" t="s">
        <v>538</v>
      </c>
      <c r="H246" s="158">
        <v>74905158.67000008</v>
      </c>
    </row>
    <row r="247" spans="1:8" ht="15.75" thickBot="1">
      <c r="A247" s="58" t="s">
        <v>66</v>
      </c>
      <c r="B247" s="58"/>
      <c r="C247" s="64">
        <f>C244+C245+C246</f>
        <v>85996941.76</v>
      </c>
      <c r="D247" s="344">
        <v>34845952</v>
      </c>
      <c r="E247" s="64"/>
      <c r="G247" s="74" t="s">
        <v>539</v>
      </c>
      <c r="H247" s="158">
        <v>-3522077</v>
      </c>
    </row>
    <row r="248" spans="1:8" ht="15">
      <c r="A248" s="58" t="s">
        <v>67</v>
      </c>
      <c r="B248" s="58"/>
      <c r="C248" s="48">
        <v>10</v>
      </c>
      <c r="D248" s="345">
        <v>0.1</v>
      </c>
      <c r="E248" s="48"/>
      <c r="G248" s="74" t="s">
        <v>540</v>
      </c>
      <c r="H248" s="158">
        <v>-579360</v>
      </c>
    </row>
    <row r="249" spans="1:8" ht="14.25">
      <c r="A249" s="63" t="s">
        <v>68</v>
      </c>
      <c r="B249" s="63"/>
      <c r="C249" s="63">
        <f>C247*0.1</f>
        <v>8599694.176</v>
      </c>
      <c r="D249" s="346">
        <v>3484595</v>
      </c>
      <c r="E249" s="63"/>
      <c r="G249" s="74" t="s">
        <v>541</v>
      </c>
      <c r="H249" s="158">
        <v>16706522.700000003</v>
      </c>
    </row>
    <row r="250" spans="1:8" ht="15">
      <c r="A250" s="58" t="s">
        <v>610</v>
      </c>
      <c r="B250" s="58"/>
      <c r="C250" s="58">
        <f>142307</f>
        <v>142307</v>
      </c>
      <c r="D250" s="136"/>
      <c r="E250" s="58"/>
      <c r="G250" s="74" t="s">
        <v>542</v>
      </c>
      <c r="H250" s="158">
        <v>87510244.37000008</v>
      </c>
    </row>
    <row r="251" spans="1:8" ht="14.25">
      <c r="A251" s="63" t="s">
        <v>69</v>
      </c>
      <c r="B251" s="63">
        <v>13</v>
      </c>
      <c r="C251" s="63">
        <f>C244-C249-C250</f>
        <v>66163157.824</v>
      </c>
      <c r="D251" s="346">
        <v>21923727</v>
      </c>
      <c r="E251" s="63"/>
      <c r="G251" s="74" t="s">
        <v>543</v>
      </c>
      <c r="H251" s="158">
        <v>8599694</v>
      </c>
    </row>
    <row r="252" spans="7:8" ht="12.75">
      <c r="G252" s="74" t="s">
        <v>611</v>
      </c>
      <c r="H252" s="158">
        <f>142307</f>
        <v>142307</v>
      </c>
    </row>
    <row r="253" spans="7:8" ht="12.75">
      <c r="G253" s="74" t="s">
        <v>612</v>
      </c>
      <c r="H253" s="158">
        <f>H246-H251-H252</f>
        <v>66163157.67000008</v>
      </c>
    </row>
    <row r="254" spans="3:5" ht="15.75" thickBot="1">
      <c r="C254" s="42" t="s">
        <v>557</v>
      </c>
      <c r="D254" s="42" t="s">
        <v>230</v>
      </c>
      <c r="E254" s="42"/>
    </row>
    <row r="255" spans="1:5" ht="13.5" thickTop="1">
      <c r="A255" s="1" t="s">
        <v>24</v>
      </c>
      <c r="B255" s="1"/>
      <c r="C255" s="23">
        <f>+'BK'!G48</f>
        <v>22012000</v>
      </c>
      <c r="D255" s="23">
        <f>+'BK'!I48</f>
        <v>100000</v>
      </c>
      <c r="E255" s="23"/>
    </row>
    <row r="256" spans="1:5" ht="12.75">
      <c r="A256" s="1" t="s">
        <v>27</v>
      </c>
      <c r="B256" s="1"/>
      <c r="C256" s="17">
        <v>20000</v>
      </c>
      <c r="D256" s="17">
        <v>10000</v>
      </c>
      <c r="E256" s="17"/>
    </row>
    <row r="257" spans="1:5" ht="12.75">
      <c r="A257" s="1" t="s">
        <v>1</v>
      </c>
      <c r="B257" s="1"/>
      <c r="C257" s="17">
        <f>+'BK'!G52</f>
        <v>0</v>
      </c>
      <c r="D257" s="17">
        <f>+'BK'!I52</f>
        <v>0</v>
      </c>
      <c r="E257" s="17"/>
    </row>
    <row r="258" spans="1:5" ht="12.75">
      <c r="A258" s="1" t="s">
        <v>28</v>
      </c>
      <c r="B258" s="1"/>
      <c r="C258" s="17">
        <f>+'BK'!G53</f>
        <v>1726</v>
      </c>
      <c r="D258" s="17">
        <f>+'BK'!I53</f>
        <v>0</v>
      </c>
      <c r="E258" s="17"/>
    </row>
    <row r="259" spans="1:5" ht="12.75">
      <c r="A259" s="1" t="s">
        <v>43</v>
      </c>
      <c r="B259" s="1"/>
      <c r="C259" s="17">
        <f>66163158</f>
        <v>66163158</v>
      </c>
      <c r="D259" s="17">
        <f>+'BK'!I54</f>
        <v>21923727</v>
      </c>
      <c r="E259" s="17"/>
    </row>
    <row r="260" spans="1:5" ht="13.5" thickBot="1">
      <c r="A260" s="2"/>
      <c r="B260" s="2"/>
      <c r="C260" s="101">
        <f>SUM(C255:C259)</f>
        <v>88196884</v>
      </c>
      <c r="D260" s="101">
        <f>SUM(D255:D259)</f>
        <v>22033727</v>
      </c>
      <c r="E260" s="101"/>
    </row>
    <row r="261" ht="13.5" thickTop="1"/>
    <row r="264" spans="1:3" ht="15">
      <c r="A264" s="372" t="s">
        <v>306</v>
      </c>
      <c r="B264" s="372"/>
      <c r="C264" s="372"/>
    </row>
    <row r="265" spans="1:4" ht="12.75">
      <c r="A265" s="74" t="s">
        <v>307</v>
      </c>
      <c r="B265" s="74"/>
      <c r="C265" s="74"/>
      <c r="D265" s="158">
        <v>211632</v>
      </c>
    </row>
    <row r="266" spans="1:4" ht="12.75">
      <c r="A266" s="74" t="s">
        <v>308</v>
      </c>
      <c r="B266" s="74"/>
      <c r="C266" s="74"/>
      <c r="D266" s="158">
        <v>185232</v>
      </c>
    </row>
    <row r="267" spans="1:4" ht="12.75">
      <c r="A267" s="131" t="s">
        <v>309</v>
      </c>
      <c r="B267" s="131"/>
      <c r="C267" s="131"/>
      <c r="D267" s="159">
        <f>SUM(D265:D266)</f>
        <v>396864</v>
      </c>
    </row>
    <row r="268" spans="1:4" ht="12.75">
      <c r="A268" s="74" t="s">
        <v>310</v>
      </c>
      <c r="B268" s="74"/>
      <c r="C268" s="74"/>
      <c r="D268" s="158">
        <v>-290187.2</v>
      </c>
    </row>
    <row r="269" spans="1:4" ht="12.75">
      <c r="A269" s="358" t="s">
        <v>613</v>
      </c>
      <c r="B269" s="74"/>
      <c r="C269" s="360">
        <f>10200</f>
        <v>10200</v>
      </c>
      <c r="D269" s="158"/>
    </row>
    <row r="270" spans="1:4" ht="12.75">
      <c r="A270" s="358" t="s">
        <v>614</v>
      </c>
      <c r="B270" s="74"/>
      <c r="C270" s="360">
        <v>15480</v>
      </c>
      <c r="D270" s="158"/>
    </row>
    <row r="271" spans="1:4" ht="12.75">
      <c r="A271" s="358" t="s">
        <v>615</v>
      </c>
      <c r="B271" s="74"/>
      <c r="C271" s="360">
        <v>146320</v>
      </c>
      <c r="D271" s="158"/>
    </row>
    <row r="272" spans="1:4" ht="12.75">
      <c r="A272" s="358" t="s">
        <v>616</v>
      </c>
      <c r="B272" s="74"/>
      <c r="C272" s="360">
        <v>25080</v>
      </c>
      <c r="D272" s="158"/>
    </row>
    <row r="273" spans="1:4" ht="12.75">
      <c r="A273" s="358" t="s">
        <v>617</v>
      </c>
      <c r="B273" s="74"/>
      <c r="C273" s="360">
        <v>19070</v>
      </c>
      <c r="D273" s="158"/>
    </row>
    <row r="274" spans="1:4" ht="12.75">
      <c r="A274" s="358" t="s">
        <v>618</v>
      </c>
      <c r="B274" s="74"/>
      <c r="C274" s="360">
        <f>46899</f>
        <v>46899</v>
      </c>
      <c r="D274" s="158"/>
    </row>
    <row r="275" spans="1:4" ht="12.75">
      <c r="A275" s="358" t="s">
        <v>619</v>
      </c>
      <c r="B275" s="74"/>
      <c r="C275" s="360">
        <f>53900</f>
        <v>53900</v>
      </c>
      <c r="D275" s="158"/>
    </row>
    <row r="276" spans="1:4" ht="12.75">
      <c r="A276" s="358" t="s">
        <v>620</v>
      </c>
      <c r="B276" s="74"/>
      <c r="C276" s="360">
        <v>56880</v>
      </c>
      <c r="D276" s="158"/>
    </row>
    <row r="277" spans="1:4" ht="12.75">
      <c r="A277" s="358" t="s">
        <v>621</v>
      </c>
      <c r="B277" s="191"/>
      <c r="C277" s="360">
        <v>60920</v>
      </c>
      <c r="D277" s="362"/>
    </row>
    <row r="278" spans="1:4" ht="12.75">
      <c r="A278" s="358" t="s">
        <v>622</v>
      </c>
      <c r="C278" s="360">
        <f>50450</f>
        <v>50450</v>
      </c>
      <c r="D278" s="158"/>
    </row>
    <row r="279" spans="1:4" ht="12.75">
      <c r="A279" s="358" t="s">
        <v>623</v>
      </c>
      <c r="C279" s="360">
        <f>17040</f>
        <v>17040</v>
      </c>
      <c r="D279" s="158"/>
    </row>
    <row r="280" spans="1:4" ht="12.75">
      <c r="A280" s="359" t="s">
        <v>624</v>
      </c>
      <c r="C280" s="361">
        <f>SUM(C269:C279)</f>
        <v>502239</v>
      </c>
      <c r="D280" s="158">
        <f>SUM(D267:D279)</f>
        <v>106676.79999999999</v>
      </c>
    </row>
    <row r="282" ht="12.75">
      <c r="A282" s="334" t="s">
        <v>571</v>
      </c>
    </row>
    <row r="283" spans="1:3" ht="12.75">
      <c r="A283" s="74" t="s">
        <v>572</v>
      </c>
      <c r="B283" s="74"/>
      <c r="C283" s="158">
        <f>3522088</f>
        <v>3522088</v>
      </c>
    </row>
    <row r="284" spans="1:3" ht="12.75">
      <c r="A284" s="74" t="s">
        <v>573</v>
      </c>
      <c r="B284" s="74"/>
      <c r="C284" s="158">
        <v>1459787.09</v>
      </c>
    </row>
    <row r="285" spans="1:3" ht="12.75">
      <c r="A285" s="74" t="s">
        <v>574</v>
      </c>
      <c r="B285" s="74"/>
      <c r="C285" s="158">
        <v>73884.69</v>
      </c>
    </row>
    <row r="286" spans="1:3" ht="12.75">
      <c r="A286" s="74" t="s">
        <v>575</v>
      </c>
      <c r="B286" s="74"/>
      <c r="C286" s="158">
        <v>393105.64</v>
      </c>
    </row>
    <row r="287" spans="1:3" ht="12.75">
      <c r="A287" s="74" t="s">
        <v>576</v>
      </c>
      <c r="B287" s="74"/>
      <c r="C287" s="158">
        <v>298640.7</v>
      </c>
    </row>
    <row r="288" spans="1:3" ht="12.75">
      <c r="A288" s="335" t="s">
        <v>153</v>
      </c>
      <c r="B288" s="336"/>
      <c r="C288" s="337">
        <f>SUM(C283:C287)</f>
        <v>5747506.12</v>
      </c>
    </row>
  </sheetData>
  <sheetProtection/>
  <mergeCells count="2">
    <mergeCell ref="A1:C1"/>
    <mergeCell ref="A264:C2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Bina</cp:lastModifiedBy>
  <cp:lastPrinted>2011-03-29T14:27:46Z</cp:lastPrinted>
  <dcterms:created xsi:type="dcterms:W3CDTF">2008-12-17T10:29:05Z</dcterms:created>
  <dcterms:modified xsi:type="dcterms:W3CDTF">2011-03-30T07:59:25Z</dcterms:modified>
  <cp:category/>
  <cp:version/>
  <cp:contentType/>
  <cp:contentStatus/>
</cp:coreProperties>
</file>