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596" activeTab="3"/>
  </bookViews>
  <sheets>
    <sheet name="BK" sheetId="1" r:id="rId1"/>
    <sheet name="ardh-shpenz" sheetId="2" r:id="rId2"/>
    <sheet name="cash-flow" sheetId="3" r:id="rId3"/>
    <sheet name="kap veta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<sst xmlns="http://schemas.openxmlformats.org/spreadsheetml/2006/main" count="284" uniqueCount="237">
  <si>
    <t>Rezerva te tjera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</si>
  <si>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</si>
  <si>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</si>
  <si>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</si>
  <si>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</si>
  <si>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</si>
  <si>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</si>
  <si>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</si>
  <si>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</si>
  <si>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</si>
  <si>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</si>
  <si>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</si>
  <si>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</si>
  <si>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</si>
  <si>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</si>
  <si>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</si>
  <si>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</si>
  <si>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</si>
  <si>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</si>
  <si>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</si>
  <si>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Te ardhura nga shitja e paiisjeve</t>
  </si>
  <si>
    <t>Te ardhura nga huamarrie afatgjata</t>
  </si>
  <si>
    <t>Dividendet e paguar</t>
  </si>
  <si>
    <t>Kapitali</t>
  </si>
  <si>
    <t>Te pagueshme ndaj furnitoreve</t>
  </si>
  <si>
    <t>Parapagime te arketuara</t>
  </si>
  <si>
    <t>Rezerva Ligjore</t>
  </si>
  <si>
    <t>Fitime te pa shperndara</t>
  </si>
  <si>
    <t>Puna e kryer nga njesia ekonomike raportuese per qellimet e veta dhe e kapitalizuar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</si>
  <si>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</si>
  <si>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</si>
  <si>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</si>
  <si>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</si>
  <si>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</si>
  <si>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</si>
  <si>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</si>
  <si>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</si>
  <si>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Investime financiare  te vlefshme per shitje</t>
  </si>
  <si>
    <t>Total aktive afatgjate</t>
  </si>
  <si>
    <t>Total Iventari</t>
  </si>
  <si>
    <t>Total aktive te tjera afatshkurtet</t>
  </si>
  <si>
    <t xml:space="preserve">Fit/humbja e vitit </t>
  </si>
  <si>
    <t>Te pagueshme ndaj punonjesve</t>
  </si>
  <si>
    <t>Blerja e aktiveve afatgjata materiale</t>
  </si>
  <si>
    <t>(shumat ne Leke)</t>
  </si>
  <si>
    <t>Te pagueshme ndaj taksave</t>
  </si>
  <si>
    <t>shenime</t>
  </si>
  <si>
    <t>Rritje/renie ne tepricen e detyrimeve, per t'u paguar nga aktiviteti</t>
  </si>
  <si>
    <t>Paraja neto e verdorur ne aktivitetet financiare</t>
  </si>
  <si>
    <t>5c</t>
  </si>
  <si>
    <t>5b</t>
  </si>
  <si>
    <t>7a</t>
  </si>
  <si>
    <t>7b</t>
  </si>
  <si>
    <t xml:space="preserve"> Shoqeria  "Albanian Motor Company"  sh p k </t>
  </si>
  <si>
    <t xml:space="preserve"> Shoqeria  "Albanian Motor Company"   sh p k </t>
  </si>
  <si>
    <t>7c</t>
  </si>
  <si>
    <t>7d</t>
  </si>
  <si>
    <t>8.a</t>
  </si>
  <si>
    <t>8.b</t>
  </si>
  <si>
    <t>shitjet neto perfshire 2007 ndryshim politikash</t>
  </si>
  <si>
    <t>ilje fitimi + ndryshim politikash</t>
  </si>
  <si>
    <t>humbje ngsa kembimet valutore</t>
  </si>
  <si>
    <t>5a1</t>
  </si>
  <si>
    <t>5a2</t>
  </si>
  <si>
    <t>AKTIVET</t>
  </si>
  <si>
    <t>ASSETS</t>
  </si>
  <si>
    <t>Properety, Plant&amp;Equipment</t>
  </si>
  <si>
    <t>Inventories</t>
  </si>
  <si>
    <t>Profit/loss from Year</t>
  </si>
  <si>
    <t>Profit/loss from  the previous Year</t>
  </si>
  <si>
    <t>Share Kapital</t>
  </si>
  <si>
    <t>Share premium</t>
  </si>
  <si>
    <t>raw materials</t>
  </si>
  <si>
    <t>in process produce</t>
  </si>
  <si>
    <t>End - Products</t>
  </si>
  <si>
    <t>wares for resales (-devolution)</t>
  </si>
  <si>
    <t>providing prepayments</t>
  </si>
  <si>
    <t xml:space="preserve">Short -terms </t>
  </si>
  <si>
    <t>Accouts/Credit requests - devaluation</t>
  </si>
  <si>
    <t xml:space="preserve">Accouts/other credit requests </t>
  </si>
  <si>
    <t xml:space="preserve">Other indebted instruments  </t>
  </si>
  <si>
    <t>Other financial instruments</t>
  </si>
  <si>
    <t>long-term financial investemts</t>
  </si>
  <si>
    <t>Immaterial long-term assets</t>
  </si>
  <si>
    <t>Monetary elements</t>
  </si>
  <si>
    <t>financial derivations and assets for trade holding</t>
  </si>
  <si>
    <t xml:space="preserve">prepayments and delayed expenses </t>
  </si>
  <si>
    <t>Short-term activities holded for sale</t>
  </si>
  <si>
    <t>SHORT-TERM ASSETS TOTAL 1</t>
  </si>
  <si>
    <t>ASSETS TOTAL I+II</t>
  </si>
  <si>
    <t>Total    Monetary elements</t>
  </si>
  <si>
    <t>Long-term assets</t>
  </si>
  <si>
    <t xml:space="preserve">LONG-TERM OBLIGATIONS TOTAL </t>
  </si>
  <si>
    <t>Long-term loans</t>
  </si>
  <si>
    <t>Long-term provisions</t>
  </si>
  <si>
    <t xml:space="preserve"> delayed incomes</t>
  </si>
  <si>
    <t>Other long-term borrowings</t>
  </si>
  <si>
    <t>SHORT-TERM OBLIGATIONS</t>
  </si>
  <si>
    <t>Borrowings</t>
  </si>
  <si>
    <t>payed by suppliers</t>
  </si>
  <si>
    <t>Payed by employees</t>
  </si>
  <si>
    <t>Taxing obligations</t>
  </si>
  <si>
    <t>Other loans (dividenti )</t>
  </si>
  <si>
    <t>Credit prepayments</t>
  </si>
  <si>
    <t>Grands and delayed incomes</t>
  </si>
  <si>
    <t>Short-term provisions</t>
  </si>
  <si>
    <t xml:space="preserve">SHORT-TERM OBLIGATIONS TOTAL </t>
  </si>
  <si>
    <t>Legal rezerve</t>
  </si>
  <si>
    <t>Statute reserve</t>
  </si>
  <si>
    <t>2009  EURO</t>
  </si>
  <si>
    <t xml:space="preserve">PASIVES AND KAPITAL </t>
  </si>
  <si>
    <t>CAPITAL</t>
  </si>
  <si>
    <t>Net sales</t>
  </si>
  <si>
    <t>Other incomes from utilization activity</t>
  </si>
  <si>
    <t>changes in the PG and PP inventory</t>
  </si>
  <si>
    <t>Wares, raw materials for services</t>
  </si>
  <si>
    <t>Other expenses from utilization activity</t>
  </si>
  <si>
    <t xml:space="preserve">Personnel salary </t>
  </si>
  <si>
    <t xml:space="preserve">Amortizations and devaluations </t>
  </si>
  <si>
    <t>Profit (loss)  from utilization activity</t>
  </si>
  <si>
    <t>control units</t>
  </si>
  <si>
    <t>Financial incomes and expenses from  control unit</t>
  </si>
  <si>
    <t>Incomes and expenses from interest andfrom course changings</t>
  </si>
  <si>
    <t xml:space="preserve">10% taxing over profits expenses </t>
  </si>
  <si>
    <t>Net profit (loss) of financial year</t>
  </si>
  <si>
    <t>Incomes and expenses 2010</t>
  </si>
  <si>
    <t>suspended positive excange rates</t>
  </si>
  <si>
    <t>Other long-term   borrowing ( Dalewest- Iner )</t>
  </si>
  <si>
    <t xml:space="preserve"> "Albanian Motor Company"   sh p k </t>
  </si>
  <si>
    <t>AKTlVET</t>
  </si>
  <si>
    <t>Aktivet afatgjata</t>
  </si>
  <si>
    <t>Aktive afatgjata materiale</t>
  </si>
  <si>
    <t>Aktivet afatgjata jomateriale</t>
  </si>
  <si>
    <t>Investimet financiare afatgjata</t>
  </si>
  <si>
    <t>Aktivet afatshkurtra</t>
  </si>
  <si>
    <t>Inventari</t>
  </si>
  <si>
    <t>Prodhim ne proces</t>
  </si>
  <si>
    <t>Produkte te Ratshme</t>
  </si>
  <si>
    <t>Mallra per rishitje</t>
  </si>
  <si>
    <t>Parapagesat per furnizime</t>
  </si>
  <si>
    <t>Aktive te tjera financiare afatshkurtra</t>
  </si>
  <si>
    <t>Llogari / Kerkesa te arketueshme</t>
  </si>
  <si>
    <t>Llogari/Kerkesa te tjera te arketueshme</t>
  </si>
  <si>
    <t>lnstrumente te tjera borxhi</t>
  </si>
  <si>
    <t>lnvestime te tjera financiare</t>
  </si>
  <si>
    <t>Mjete monetare</t>
  </si>
  <si>
    <t>Derivative dhe aktive financiare te mbajtura per tregtim</t>
  </si>
  <si>
    <t>Total mjete monetare</t>
  </si>
  <si>
    <t>Diferenca konvertimi Aktive</t>
  </si>
  <si>
    <t>Aktivet afatshkurtra te mbajtura per shitje</t>
  </si>
  <si>
    <t>Parapagimet dhe shpenzimet e shtyra</t>
  </si>
  <si>
    <t>Aktivet totale afatshkurtra</t>
  </si>
  <si>
    <t>TOTALl I AKTIVEVE</t>
  </si>
  <si>
    <t xml:space="preserve">P ASIVET DHE KAPIT ALl </t>
  </si>
  <si>
    <t>KAPITALI</t>
  </si>
  <si>
    <t>Prime te lidhura me Kapitalin</t>
  </si>
  <si>
    <t>Rezerva Statutore</t>
  </si>
  <si>
    <t>Pasivet Afatgjata</t>
  </si>
  <si>
    <t>Hua Afatgjata</t>
  </si>
  <si>
    <t>Huamarje te tjera Afatgjata</t>
  </si>
  <si>
    <t>Provizione Afatgjata</t>
  </si>
  <si>
    <t>Grande dhe te ardhura te shtyra</t>
  </si>
  <si>
    <t>Totali i pasiveve Afatgjata</t>
  </si>
  <si>
    <t>Huamarjet</t>
  </si>
  <si>
    <t>Huate dhe parapagimet</t>
  </si>
  <si>
    <t>Hua afatshkurter</t>
  </si>
  <si>
    <t>Kesti afatshklurter i huase afatgjate</t>
  </si>
  <si>
    <t>Provizionet afatshkurter</t>
  </si>
  <si>
    <t>Dif konv pasive</t>
  </si>
  <si>
    <t>Totali i pasiveve Afatshkurter</t>
  </si>
  <si>
    <t>TOTALl I PASIVEVE DHE KAPITALIT</t>
  </si>
  <si>
    <t>Other short -terms financial  assets</t>
  </si>
  <si>
    <t>Shitjet neto</t>
  </si>
  <si>
    <t>Te ardhura te tjera nga veprimtarite e shfrytezimit</t>
  </si>
  <si>
    <t>Ndryshimet ne inventarin e produkteve te gatshme dhe punes ne proces</t>
  </si>
  <si>
    <t>Mallrat, lendet e para dhe sherbimet</t>
  </si>
  <si>
    <t>Shpenzime te tjera nga veprimtarite e shfrytezimit</t>
  </si>
  <si>
    <t>Shpenzime te personelit</t>
  </si>
  <si>
    <t>Renia ne vlere (zhvleresimi) dhe amortizimi</t>
  </si>
  <si>
    <t>Te ardhurat dhe shpenzimet financiare nga njesite e kontrolluara</t>
  </si>
  <si>
    <t>Te ardhurat dhe shpenzimet financiare nga pjesmarrjet</t>
  </si>
  <si>
    <t>Te ardhurat dhe shpenzimet financiare</t>
  </si>
  <si>
    <t>Fitimi (humbja) para tatimit</t>
  </si>
  <si>
    <t>Shpenzimet e tatimit mbi fitimin</t>
  </si>
  <si>
    <t>Fitimi (humbja) neto e vitit financiar</t>
  </si>
  <si>
    <t>Viti 2010  Euro</t>
  </si>
  <si>
    <t>Llogaria te Ardhura &amp; Shpenzime per vitin e mbyllur me 31 Dhjetor 2010</t>
  </si>
  <si>
    <t>2010 EURO</t>
  </si>
  <si>
    <t>5d</t>
  </si>
  <si>
    <t>7-a</t>
  </si>
  <si>
    <t>7-b</t>
  </si>
  <si>
    <t>Aktivet Afatgjata</t>
  </si>
  <si>
    <t>Aktivet afatshkurtera</t>
  </si>
  <si>
    <t>Aktive te tjera aftashkurtera</t>
  </si>
  <si>
    <t>PASIVET DHE KAPITALI</t>
  </si>
  <si>
    <t>Pasivet afatgjata</t>
  </si>
  <si>
    <t>Huamarrjet</t>
  </si>
  <si>
    <t>shitjet neto perfshire 2007 + 2009+2010ndryshim politikash</t>
  </si>
  <si>
    <t>2011 ALL</t>
  </si>
  <si>
    <t>VITI2011 Euro</t>
  </si>
  <si>
    <t>2011 euro</t>
  </si>
  <si>
    <t>balance Sheet 2011</t>
  </si>
  <si>
    <t xml:space="preserve">Shoqeria"Albanian Motor Company" shpk </t>
  </si>
  <si>
    <t>VITI 2011</t>
  </si>
  <si>
    <t>ADMINISTRATORI</t>
  </si>
  <si>
    <t xml:space="preserve"> EKONOMISTI </t>
  </si>
  <si>
    <t>(ILIA CILI)</t>
  </si>
  <si>
    <t>(ARETUZA KULECI)</t>
  </si>
  <si>
    <t xml:space="preserve">                  EKONOMISTI </t>
  </si>
  <si>
    <t xml:space="preserve">                              (ARETUZA KULECI)</t>
  </si>
  <si>
    <t xml:space="preserve"> Kapitali aksionar </t>
  </si>
  <si>
    <t xml:space="preserve"> Rezerva ligjore statutore </t>
  </si>
  <si>
    <t xml:space="preserve"> Fitimi i pashperndare </t>
  </si>
  <si>
    <t xml:space="preserve"> Totali </t>
  </si>
  <si>
    <t>pashperndare</t>
  </si>
  <si>
    <t>5a</t>
  </si>
  <si>
    <t>Pasqyra e levizjes se kapitaleve te veta  me 31 Dhjetor 2012</t>
  </si>
  <si>
    <t>Pozicioni me 31dhjetor 2010</t>
  </si>
  <si>
    <t>Pozicioni me 31 dhjetor 2011</t>
  </si>
  <si>
    <t>Pozicioni me 31 Dhjetor 2012</t>
  </si>
  <si>
    <t>Viti 2011 ALL</t>
  </si>
  <si>
    <t>Viti2012 Leke</t>
  </si>
  <si>
    <t>VITI 2012</t>
  </si>
  <si>
    <t>2012 EURO</t>
  </si>
  <si>
    <t>Bilanci Kontabel  me 31.12.2012</t>
  </si>
  <si>
    <r>
      <t xml:space="preserve">2012  </t>
    </r>
    <r>
      <rPr>
        <b/>
        <i/>
        <sz val="14"/>
        <rFont val="Times New Roman"/>
        <family val="1"/>
      </rPr>
      <t xml:space="preserve">ALL </t>
    </r>
  </si>
  <si>
    <r>
      <t>Lendet e para</t>
    </r>
    <r>
      <rPr>
        <i/>
        <sz val="14"/>
        <rFont val="Times New Roman"/>
        <family val="1"/>
      </rPr>
      <t xml:space="preserve"> </t>
    </r>
  </si>
  <si>
    <r>
      <t>Returns</t>
    </r>
    <r>
      <rPr>
        <i/>
        <sz val="14"/>
        <rFont val="Arial"/>
        <family val="0"/>
      </rPr>
      <t>/Long-term loans repayments</t>
    </r>
  </si>
  <si>
    <r>
      <t>Te tjera detyrime    (</t>
    </r>
    <r>
      <rPr>
        <b/>
        <i/>
        <sz val="14"/>
        <rFont val="Times New Roman"/>
        <family val="1"/>
      </rPr>
      <t>dividenti</t>
    </r>
    <r>
      <rPr>
        <i/>
        <sz val="14"/>
        <rFont val="Times New Roman"/>
        <family val="1"/>
      </rPr>
      <t>)</t>
    </r>
  </si>
  <si>
    <r>
      <t>PASSIVES</t>
    </r>
    <r>
      <rPr>
        <b/>
        <sz val="14"/>
        <rFont val="Arial"/>
        <family val="0"/>
      </rPr>
      <t xml:space="preserve"> AND CAPITAL TOTAL </t>
    </r>
  </si>
  <si>
    <t>Llogaria te Ardhura Shpenzime  ;per vitin e mbyllur 2012</t>
  </si>
  <si>
    <t>Periudha kontabel     01 Janar-31 Dhjetor 2012</t>
  </si>
  <si>
    <t>6a</t>
  </si>
  <si>
    <t>6b</t>
  </si>
  <si>
    <t>6c</t>
  </si>
  <si>
    <t>8c</t>
  </si>
  <si>
    <t>FINANCIERIA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</si>
</sst>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#,##0.00_ ;\-#,##0.00\ "/>
    <numFmt numFmtId="178" formatCode="#,##0.0_ ;\-#,##0.0\ "/>
    <numFmt numFmtId="179" formatCode="#,##0_ ;\-#,##0\ 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0000000000000_);\(#,##0.00000000000000\)"/>
    <numFmt numFmtId="184" formatCode="#,##0.0000000000000_);\(#,##0.0000000000000\)"/>
    <numFmt numFmtId="185" formatCode="#,##0.000000000000_);\(#,##0.000000000000\)"/>
    <numFmt numFmtId="186" formatCode="#,##0.00000000000_);\(#,##0.00000000000\)"/>
    <numFmt numFmtId="187" formatCode="#,##0.0000000000_);\(#,##0.0000000000\)"/>
    <numFmt numFmtId="188" formatCode="#,##0.000000000_);\(#,##0.000000000\)"/>
    <numFmt numFmtId="189" formatCode="#,##0.00000000_);\(#,##0.00000000\)"/>
    <numFmt numFmtId="190" formatCode="#,##0.0000000_);\(#,##0.0000000\)"/>
    <numFmt numFmtId="191" formatCode="#,##0.000000_);\(#,##0.000000\)"/>
    <numFmt numFmtId="192" formatCode="#,##0.00000_);\(#,##0.00000\)"/>
    <numFmt numFmtId="193" formatCode="#,##0.0000_);\(#,##0.0000\)"/>
    <numFmt numFmtId="194" formatCode="#,##0.000_);\(#,##0.000\)"/>
    <numFmt numFmtId="195" formatCode="#,##0.0_);[Red]\(#,##0.0\)"/>
    <numFmt numFmtId="196" formatCode="_(* #,##0.000_);_(* \(#,##0.000\);_(* &quot;-&quot;??_);_(@_)"/>
    <numFmt numFmtId="197" formatCode="_(* #,##0.0_);_(* \(#,##0.0\);_(* &quot;-&quot;?_);_(@_)"/>
    <numFmt numFmtId="198" formatCode="0.0"/>
    <numFmt numFmtId="199" formatCode="_ &quot;$&quot;\ * #,##0_ ;_ &quot;$&quot;\ * \-#,##0_ ;_ &quot;$&quot;\ * &quot;-&quot;_ ;_ @_ "/>
    <numFmt numFmtId="200" formatCode="_ * #,##0_ ;_ * \-#,##0_ ;_ * &quot;-&quot;_ ;_ @_ "/>
    <numFmt numFmtId="201" formatCode="_ &quot;$&quot;\ * #,##0.00_ ;_ &quot;$&quot;\ * \-#,##0.00_ ;_ &quot;$&quot;\ * &quot;-&quot;??_ ;_ @_ "/>
    <numFmt numFmtId="202" formatCode="_ * #,##0.00_ ;_ * \-#,##0.00_ ;_ * &quot;-&quot;??_ ;_ @_ "/>
    <numFmt numFmtId="203" formatCode="_ * #,##0_ ;_ * \-#,##0_ ;_ * &quot;-&quot;??_ ;_ @_ "/>
    <numFmt numFmtId="204" formatCode="d\-mmm\-yyyy"/>
    <numFmt numFmtId="205" formatCode="[$-409]d\-mmm\-yy;@"/>
    <numFmt numFmtId="206" formatCode="_-* #,##0.00_L_e_k_-;\-* #,##0.00_L_e_k_-;_-* &quot;-&quot;??_L_e_k_-;_-@_-"/>
    <numFmt numFmtId="207" formatCode="#,##0.0"/>
  </numFmts>
  <fonts count="45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3"/>
      <name val="Garamond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3"/>
      <name val="Times New Roman"/>
      <family val="1"/>
    </font>
    <font>
      <i/>
      <sz val="14"/>
      <name val="Garamond"/>
      <family val="1"/>
    </font>
    <font>
      <b/>
      <sz val="14"/>
      <name val="Arial"/>
      <family val="0"/>
    </font>
    <font>
      <sz val="14"/>
      <color indexed="10"/>
      <name val="Times New Roman"/>
      <family val="1"/>
    </font>
    <font>
      <b/>
      <i/>
      <sz val="14"/>
      <name val="Arial"/>
      <family val="0"/>
    </font>
    <font>
      <sz val="14"/>
      <color indexed="10"/>
      <name val="Arial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Arial"/>
      <family val="2"/>
    </font>
    <font>
      <i/>
      <sz val="14"/>
      <color indexed="10"/>
      <name val="Arial"/>
      <family val="0"/>
    </font>
    <font>
      <i/>
      <sz val="14"/>
      <name val="Arial"/>
      <family val="0"/>
    </font>
    <font>
      <b/>
      <sz val="14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justify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81" fontId="1" fillId="0" borderId="0" xfId="42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42" applyNumberFormat="1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181" fontId="4" fillId="0" borderId="0" xfId="0" applyNumberFormat="1" applyFont="1" applyBorder="1" applyAlignment="1">
      <alignment horizontal="center" wrapText="1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left" wrapText="1"/>
    </xf>
    <xf numFmtId="181" fontId="1" fillId="0" borderId="11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left" wrapText="1"/>
    </xf>
    <xf numFmtId="181" fontId="1" fillId="0" borderId="12" xfId="42" applyNumberFormat="1" applyFont="1" applyBorder="1" applyAlignment="1">
      <alignment horizontal="center" wrapText="1"/>
    </xf>
    <xf numFmtId="181" fontId="1" fillId="0" borderId="12" xfId="42" applyNumberFormat="1" applyFont="1" applyBorder="1" applyAlignment="1">
      <alignment horizontal="right" wrapText="1" indent="1"/>
    </xf>
    <xf numFmtId="181" fontId="1" fillId="0" borderId="0" xfId="42" applyNumberFormat="1" applyFont="1" applyBorder="1" applyAlignment="1">
      <alignment horizontal="right" wrapText="1" indent="3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  <xf numFmtId="181" fontId="32" fillId="0" borderId="0" xfId="0" applyNumberFormat="1" applyFont="1" applyBorder="1" applyAlignment="1">
      <alignment horizontal="center"/>
    </xf>
    <xf numFmtId="39" fontId="33" fillId="0" borderId="0" xfId="0" applyNumberFormat="1" applyFont="1" applyAlignment="1">
      <alignment/>
    </xf>
    <xf numFmtId="0" fontId="30" fillId="0" borderId="13" xfId="0" applyFont="1" applyBorder="1" applyAlignment="1">
      <alignment horizontal="center"/>
    </xf>
    <xf numFmtId="181" fontId="29" fillId="0" borderId="0" xfId="0" applyNumberFormat="1" applyFont="1" applyAlignment="1">
      <alignment horizontal="center"/>
    </xf>
    <xf numFmtId="181" fontId="29" fillId="0" borderId="0" xfId="42" applyNumberFormat="1" applyFont="1" applyAlignment="1">
      <alignment/>
    </xf>
    <xf numFmtId="181" fontId="29" fillId="0" borderId="0" xfId="0" applyNumberFormat="1" applyFont="1" applyAlignment="1">
      <alignment/>
    </xf>
    <xf numFmtId="0" fontId="29" fillId="0" borderId="0" xfId="0" applyFont="1" applyAlignment="1">
      <alignment horizontal="left" vertical="justify"/>
    </xf>
    <xf numFmtId="0" fontId="29" fillId="0" borderId="0" xfId="0" applyFont="1" applyBorder="1" applyAlignment="1">
      <alignment horizontal="center"/>
    </xf>
    <xf numFmtId="181" fontId="29" fillId="0" borderId="12" xfId="42" applyNumberFormat="1" applyFont="1" applyBorder="1" applyAlignment="1">
      <alignment/>
    </xf>
    <xf numFmtId="0" fontId="29" fillId="0" borderId="0" xfId="0" applyFont="1" applyBorder="1" applyAlignment="1">
      <alignment horizontal="left" wrapText="1"/>
    </xf>
    <xf numFmtId="181" fontId="29" fillId="0" borderId="0" xfId="42" applyNumberFormat="1" applyFont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181" fontId="35" fillId="0" borderId="0" xfId="42" applyNumberFormat="1" applyFont="1" applyAlignment="1">
      <alignment/>
    </xf>
    <xf numFmtId="0" fontId="30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181" fontId="29" fillId="0" borderId="0" xfId="0" applyNumberFormat="1" applyFont="1" applyBorder="1" applyAlignment="1">
      <alignment/>
    </xf>
    <xf numFmtId="37" fontId="29" fillId="0" borderId="0" xfId="0" applyNumberFormat="1" applyFont="1" applyBorder="1" applyAlignment="1">
      <alignment/>
    </xf>
    <xf numFmtId="43" fontId="29" fillId="0" borderId="0" xfId="0" applyNumberFormat="1" applyFont="1" applyAlignment="1">
      <alignment/>
    </xf>
    <xf numFmtId="0" fontId="31" fillId="0" borderId="0" xfId="0" applyFont="1" applyFill="1" applyBorder="1" applyAlignment="1">
      <alignment/>
    </xf>
    <xf numFmtId="0" fontId="29" fillId="0" borderId="0" xfId="0" applyFont="1" applyBorder="1" applyAlignment="1">
      <alignment horizontal="left" vertical="justify"/>
    </xf>
    <xf numFmtId="0" fontId="31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80" fontId="29" fillId="0" borderId="0" xfId="42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0" fillId="0" borderId="13" xfId="0" applyNumberFormat="1" applyFont="1" applyBorder="1" applyAlignment="1">
      <alignment horizontal="center"/>
    </xf>
    <xf numFmtId="180" fontId="29" fillId="0" borderId="12" xfId="42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8" fillId="0" borderId="12" xfId="0" applyFont="1" applyFill="1" applyBorder="1" applyAlignment="1">
      <alignment/>
    </xf>
    <xf numFmtId="181" fontId="31" fillId="0" borderId="0" xfId="42" applyNumberFormat="1" applyFont="1" applyAlignment="1">
      <alignment/>
    </xf>
    <xf numFmtId="181" fontId="31" fillId="0" borderId="12" xfId="42" applyNumberFormat="1" applyFont="1" applyBorder="1" applyAlignment="1">
      <alignment/>
    </xf>
    <xf numFmtId="181" fontId="4" fillId="0" borderId="13" xfId="42" applyNumberFormat="1" applyFont="1" applyBorder="1" applyAlignment="1">
      <alignment horizontal="left" wrapText="1"/>
    </xf>
    <xf numFmtId="0" fontId="30" fillId="0" borderId="0" xfId="0" applyFont="1" applyAlignment="1">
      <alignment horizontal="center"/>
    </xf>
    <xf numFmtId="3" fontId="30" fillId="0" borderId="0" xfId="0" applyNumberFormat="1" applyFont="1" applyAlignment="1">
      <alignment horizontal="center"/>
    </xf>
    <xf numFmtId="41" fontId="29" fillId="0" borderId="0" xfId="0" applyNumberFormat="1" applyFont="1" applyAlignment="1">
      <alignment horizontal="center"/>
    </xf>
    <xf numFmtId="41" fontId="29" fillId="0" borderId="0" xfId="0" applyNumberFormat="1" applyFont="1" applyAlignment="1">
      <alignment horizontal="right"/>
    </xf>
    <xf numFmtId="37" fontId="29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center"/>
    </xf>
    <xf numFmtId="181" fontId="30" fillId="0" borderId="0" xfId="0" applyNumberFormat="1" applyFont="1" applyBorder="1" applyAlignment="1">
      <alignment horizontal="center"/>
    </xf>
    <xf numFmtId="181" fontId="29" fillId="0" borderId="0" xfId="42" applyNumberFormat="1" applyFont="1" applyAlignment="1">
      <alignment horizontal="center"/>
    </xf>
    <xf numFmtId="181" fontId="29" fillId="0" borderId="12" xfId="42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3" fillId="0" borderId="0" xfId="0" applyFont="1" applyAlignment="1">
      <alignment/>
    </xf>
    <xf numFmtId="43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12" xfId="0" applyFont="1" applyBorder="1" applyAlignment="1">
      <alignment/>
    </xf>
    <xf numFmtId="181" fontId="30" fillId="0" borderId="12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43" fontId="38" fillId="0" borderId="0" xfId="42" applyFont="1" applyBorder="1" applyAlignment="1">
      <alignment/>
    </xf>
    <xf numFmtId="181" fontId="38" fillId="0" borderId="0" xfId="42" applyNumberFormat="1" applyFont="1" applyBorder="1" applyAlignment="1">
      <alignment/>
    </xf>
    <xf numFmtId="181" fontId="30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181" fontId="40" fillId="0" borderId="0" xfId="42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right"/>
    </xf>
    <xf numFmtId="181" fontId="38" fillId="0" borderId="12" xfId="42" applyNumberFormat="1" applyFont="1" applyBorder="1" applyAlignment="1">
      <alignment/>
    </xf>
    <xf numFmtId="181" fontId="38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181" fontId="29" fillId="0" borderId="0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181" fontId="38" fillId="0" borderId="15" xfId="42" applyNumberFormat="1" applyFont="1" applyBorder="1" applyAlignment="1">
      <alignment/>
    </xf>
    <xf numFmtId="181" fontId="30" fillId="0" borderId="15" xfId="0" applyNumberFormat="1" applyFont="1" applyBorder="1" applyAlignment="1">
      <alignment horizontal="center"/>
    </xf>
    <xf numFmtId="181" fontId="39" fillId="0" borderId="0" xfId="42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181" fontId="40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181" fontId="30" fillId="0" borderId="11" xfId="0" applyNumberFormat="1" applyFont="1" applyBorder="1" applyAlignment="1">
      <alignment horizontal="center"/>
    </xf>
    <xf numFmtId="181" fontId="38" fillId="0" borderId="16" xfId="42" applyNumberFormat="1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181" fontId="38" fillId="0" borderId="0" xfId="0" applyNumberFormat="1" applyFont="1" applyBorder="1" applyAlignment="1">
      <alignment horizontal="right" vertical="center"/>
    </xf>
    <xf numFmtId="181" fontId="39" fillId="0" borderId="12" xfId="42" applyNumberFormat="1" applyFont="1" applyBorder="1" applyAlignment="1">
      <alignment/>
    </xf>
    <xf numFmtId="0" fontId="31" fillId="0" borderId="0" xfId="0" applyFont="1" applyBorder="1" applyAlignment="1">
      <alignment/>
    </xf>
    <xf numFmtId="0" fontId="34" fillId="20" borderId="0" xfId="0" applyFont="1" applyFill="1" applyBorder="1" applyAlignment="1">
      <alignment/>
    </xf>
    <xf numFmtId="0" fontId="38" fillId="0" borderId="0" xfId="0" applyFont="1" applyBorder="1" applyAlignment="1">
      <alignment horizontal="left"/>
    </xf>
    <xf numFmtId="43" fontId="29" fillId="0" borderId="0" xfId="42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181" fontId="30" fillId="0" borderId="12" xfId="42" applyNumberFormat="1" applyFont="1" applyBorder="1" applyAlignment="1">
      <alignment/>
    </xf>
    <xf numFmtId="0" fontId="44" fillId="20" borderId="0" xfId="0" applyFont="1" applyFill="1" applyBorder="1" applyAlignment="1">
      <alignment/>
    </xf>
    <xf numFmtId="181" fontId="39" fillId="0" borderId="0" xfId="0" applyNumberFormat="1" applyFont="1" applyBorder="1" applyAlignment="1">
      <alignment/>
    </xf>
    <xf numFmtId="181" fontId="29" fillId="0" borderId="0" xfId="0" applyNumberFormat="1" applyFont="1" applyBorder="1" applyAlignment="1">
      <alignment horizontal="left"/>
    </xf>
    <xf numFmtId="181" fontId="29" fillId="0" borderId="15" xfId="42" applyNumberFormat="1" applyFont="1" applyBorder="1" applyAlignment="1">
      <alignment/>
    </xf>
    <xf numFmtId="181" fontId="31" fillId="0" borderId="15" xfId="42" applyNumberFormat="1" applyFont="1" applyBorder="1" applyAlignment="1">
      <alignment/>
    </xf>
    <xf numFmtId="181" fontId="34" fillId="0" borderId="12" xfId="42" applyNumberFormat="1" applyFont="1" applyBorder="1" applyAlignment="1">
      <alignment/>
    </xf>
    <xf numFmtId="181" fontId="34" fillId="0" borderId="12" xfId="42" applyNumberFormat="1" applyFont="1" applyFill="1" applyBorder="1" applyAlignment="1">
      <alignment/>
    </xf>
    <xf numFmtId="181" fontId="30" fillId="0" borderId="0" xfId="42" applyNumberFormat="1" applyFont="1" applyBorder="1" applyAlignment="1">
      <alignment/>
    </xf>
    <xf numFmtId="181" fontId="34" fillId="0" borderId="0" xfId="42" applyNumberFormat="1" applyFont="1" applyAlignment="1">
      <alignment/>
    </xf>
    <xf numFmtId="0" fontId="4" fillId="0" borderId="13" xfId="0" applyFont="1" applyBorder="1" applyAlignment="1">
      <alignment horizontal="left" wrapText="1"/>
    </xf>
    <xf numFmtId="181" fontId="1" fillId="0" borderId="0" xfId="42" applyNumberFormat="1" applyFont="1" applyBorder="1" applyAlignment="1">
      <alignment horizontal="right"/>
    </xf>
    <xf numFmtId="181" fontId="1" fillId="0" borderId="0" xfId="42" applyNumberFormat="1" applyFont="1" applyBorder="1" applyAlignment="1">
      <alignment horizontal="right" wrapText="1"/>
    </xf>
    <xf numFmtId="180" fontId="29" fillId="0" borderId="0" xfId="42" applyNumberFormat="1" applyFont="1" applyBorder="1" applyAlignment="1">
      <alignment/>
    </xf>
    <xf numFmtId="180" fontId="30" fillId="0" borderId="0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right"/>
    </xf>
    <xf numFmtId="181" fontId="28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2" fillId="0" borderId="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91"/>
  <sheetViews>
    <sheetView zoomScalePageLayoutView="0" workbookViewId="0" topLeftCell="A73">
      <selection activeCell="O24" sqref="O24"/>
    </sheetView>
  </sheetViews>
  <sheetFormatPr defaultColWidth="9.140625" defaultRowHeight="19.5" customHeight="1"/>
  <cols>
    <col min="1" max="1" width="17.28125" style="34" customWidth="1"/>
    <col min="2" max="2" width="0.13671875" style="34" hidden="1" customWidth="1"/>
    <col min="3" max="3" width="0.2890625" style="34" hidden="1" customWidth="1"/>
    <col min="4" max="4" width="57.421875" style="32" hidden="1" customWidth="1"/>
    <col min="5" max="5" width="0.42578125" style="32" hidden="1" customWidth="1"/>
    <col min="6" max="6" width="39.57421875" style="47" customWidth="1"/>
    <col min="7" max="7" width="18.8515625" style="47" hidden="1" customWidth="1"/>
    <col min="8" max="8" width="18.00390625" style="69" hidden="1" customWidth="1"/>
    <col min="9" max="9" width="0.13671875" style="80" hidden="1" customWidth="1"/>
    <col min="10" max="10" width="9.421875" style="80" customWidth="1"/>
    <col min="11" max="11" width="26.140625" style="80" customWidth="1"/>
    <col min="12" max="12" width="22.421875" style="80" customWidth="1"/>
    <col min="13" max="13" width="15.7109375" style="80" hidden="1" customWidth="1"/>
    <col min="14" max="14" width="0.5625" style="80" hidden="1" customWidth="1"/>
    <col min="15" max="15" width="21.7109375" style="32" customWidth="1"/>
    <col min="16" max="16" width="21.7109375" style="83" customWidth="1"/>
    <col min="17" max="17" width="21.7109375" style="84" customWidth="1"/>
    <col min="18" max="18" width="21.7109375" style="32" customWidth="1"/>
    <col min="19" max="16384" width="21.7109375" style="34" customWidth="1"/>
  </cols>
  <sheetData>
    <row r="1" ht="19.5" customHeight="1">
      <c r="C1" s="35" t="s">
        <v>128</v>
      </c>
    </row>
    <row r="2" spans="3:7" ht="19.5" customHeight="1">
      <c r="C2" s="143" t="s">
        <v>201</v>
      </c>
      <c r="D2" s="143"/>
      <c r="F2" s="79" t="s">
        <v>224</v>
      </c>
      <c r="G2" s="79"/>
    </row>
    <row r="3" ht="19.5" customHeight="1">
      <c r="C3" s="85"/>
    </row>
    <row r="4" spans="9:14" ht="19.5" customHeight="1">
      <c r="I4" s="86"/>
      <c r="J4" s="86"/>
      <c r="K4" s="86"/>
      <c r="L4" s="86"/>
      <c r="M4" s="86">
        <v>138.77</v>
      </c>
      <c r="N4" s="86">
        <v>137.96</v>
      </c>
    </row>
    <row r="5" spans="3:18" ht="19.5" customHeight="1" thickBot="1">
      <c r="C5" s="87" t="s">
        <v>65</v>
      </c>
      <c r="D5" s="87"/>
      <c r="E5" s="83" t="s">
        <v>129</v>
      </c>
      <c r="F5" s="83" t="s">
        <v>64</v>
      </c>
      <c r="G5" s="88" t="s">
        <v>223</v>
      </c>
      <c r="H5" s="70" t="s">
        <v>200</v>
      </c>
      <c r="J5" s="80" t="s">
        <v>46</v>
      </c>
      <c r="K5" s="89" t="s">
        <v>225</v>
      </c>
      <c r="L5" s="90" t="s">
        <v>198</v>
      </c>
      <c r="M5" s="80" t="s">
        <v>187</v>
      </c>
      <c r="N5" s="80" t="s">
        <v>109</v>
      </c>
      <c r="P5" s="91"/>
      <c r="Q5" s="79"/>
      <c r="R5" s="83"/>
    </row>
    <row r="6" spans="3:17" ht="19.5" customHeight="1" thickTop="1">
      <c r="C6" s="83"/>
      <c r="E6" s="83"/>
      <c r="F6" s="32"/>
      <c r="G6" s="32"/>
      <c r="Q6" s="79"/>
    </row>
    <row r="7" spans="3:17" ht="19.5" customHeight="1">
      <c r="C7" s="92" t="s">
        <v>91</v>
      </c>
      <c r="E7" s="83" t="s">
        <v>130</v>
      </c>
      <c r="F7" s="32" t="s">
        <v>191</v>
      </c>
      <c r="G7" s="32"/>
      <c r="K7" s="80">
        <v>0</v>
      </c>
      <c r="Q7" s="93"/>
    </row>
    <row r="8" spans="3:17" ht="19.5" customHeight="1">
      <c r="C8" s="32"/>
      <c r="D8" s="32" t="s">
        <v>66</v>
      </c>
      <c r="F8" s="32" t="s">
        <v>131</v>
      </c>
      <c r="G8" s="50">
        <f>K8/139.59</f>
        <v>570770.6644458773</v>
      </c>
      <c r="H8" s="71">
        <f>L8/138.93</f>
        <v>686851.5943280789</v>
      </c>
      <c r="I8" s="80">
        <v>4</v>
      </c>
      <c r="J8" s="80">
        <v>4</v>
      </c>
      <c r="K8" s="80">
        <v>79673877.05000001</v>
      </c>
      <c r="L8" s="80">
        <v>95424292</v>
      </c>
      <c r="M8" s="80" t="e">
        <f>#REF!/$M$4</f>
        <v>#REF!</v>
      </c>
      <c r="N8" s="80" t="e">
        <f>#REF!/137.96</f>
        <v>#REF!</v>
      </c>
      <c r="O8" s="56"/>
      <c r="P8" s="95"/>
      <c r="Q8" s="94"/>
    </row>
    <row r="9" spans="3:17" ht="19.5" customHeight="1">
      <c r="C9" s="32"/>
      <c r="D9" s="96" t="s">
        <v>83</v>
      </c>
      <c r="F9" s="32" t="s">
        <v>132</v>
      </c>
      <c r="G9" s="50">
        <f aca="true" t="shared" si="0" ref="G9:G72">K9/139.59</f>
        <v>0</v>
      </c>
      <c r="H9" s="71">
        <f aca="true" t="shared" si="1" ref="H9:H72">L9/138.93</f>
        <v>0</v>
      </c>
      <c r="J9" s="80">
        <v>4</v>
      </c>
      <c r="K9" s="80">
        <v>0</v>
      </c>
      <c r="M9" s="80" t="e">
        <f>#REF!/$M$4</f>
        <v>#REF!</v>
      </c>
      <c r="N9" s="80" t="e">
        <f>#REF!/137.96</f>
        <v>#REF!</v>
      </c>
      <c r="O9" s="56"/>
      <c r="P9" s="95"/>
      <c r="Q9" s="94"/>
    </row>
    <row r="10" spans="3:17" ht="19.5" customHeight="1">
      <c r="C10" s="32"/>
      <c r="D10" s="32" t="s">
        <v>82</v>
      </c>
      <c r="F10" s="32" t="s">
        <v>133</v>
      </c>
      <c r="G10" s="50">
        <f t="shared" si="0"/>
        <v>0</v>
      </c>
      <c r="H10" s="71">
        <f t="shared" si="1"/>
        <v>0</v>
      </c>
      <c r="J10" s="80">
        <v>4</v>
      </c>
      <c r="K10" s="80">
        <v>0</v>
      </c>
      <c r="M10" s="80" t="e">
        <f>#REF!/$M$4</f>
        <v>#REF!</v>
      </c>
      <c r="N10" s="80" t="e">
        <f>#REF!/137.96</f>
        <v>#REF!</v>
      </c>
      <c r="O10" s="56"/>
      <c r="P10" s="95"/>
      <c r="Q10" s="97"/>
    </row>
    <row r="11" spans="3:17" ht="19.5" customHeight="1">
      <c r="C11" s="32"/>
      <c r="D11" s="32" t="s">
        <v>37</v>
      </c>
      <c r="F11" s="32" t="s">
        <v>37</v>
      </c>
      <c r="G11" s="50">
        <f t="shared" si="0"/>
        <v>0</v>
      </c>
      <c r="H11" s="71">
        <f t="shared" si="1"/>
        <v>0</v>
      </c>
      <c r="K11" s="80">
        <v>0</v>
      </c>
      <c r="M11" s="80" t="e">
        <f>#REF!/$M$4</f>
        <v>#REF!</v>
      </c>
      <c r="N11" s="80" t="e">
        <f>#REF!/137.96</f>
        <v>#REF!</v>
      </c>
      <c r="O11" s="56"/>
      <c r="P11" s="95"/>
      <c r="Q11" s="94"/>
    </row>
    <row r="12" spans="3:17" ht="19.5" customHeight="1">
      <c r="C12" s="32"/>
      <c r="F12" s="32"/>
      <c r="G12" s="50">
        <f t="shared" si="0"/>
        <v>0</v>
      </c>
      <c r="H12" s="71">
        <f t="shared" si="1"/>
        <v>0</v>
      </c>
      <c r="K12" s="80">
        <v>0</v>
      </c>
      <c r="O12" s="56"/>
      <c r="P12" s="95"/>
      <c r="Q12" s="94"/>
    </row>
    <row r="13" spans="3:18" ht="19.5" customHeight="1" thickBot="1">
      <c r="C13" s="32"/>
      <c r="D13" s="98" t="s">
        <v>38</v>
      </c>
      <c r="F13" s="98" t="s">
        <v>38</v>
      </c>
      <c r="G13" s="126">
        <f t="shared" si="0"/>
        <v>570770.6644458773</v>
      </c>
      <c r="H13" s="132">
        <f t="shared" si="1"/>
        <v>686851.5943280789</v>
      </c>
      <c r="J13" s="140">
        <v>4.1</v>
      </c>
      <c r="K13" s="119">
        <v>79673877.05000001</v>
      </c>
      <c r="L13" s="119">
        <f>SUM(L7:L11)</f>
        <v>95424292</v>
      </c>
      <c r="M13" s="80" t="e">
        <f>#REF!/$M$4</f>
        <v>#REF!</v>
      </c>
      <c r="N13" s="89" t="e">
        <f>#REF!/137.96</f>
        <v>#REF!</v>
      </c>
      <c r="O13" s="56"/>
      <c r="P13" s="95"/>
      <c r="Q13" s="94"/>
      <c r="R13" s="98"/>
    </row>
    <row r="14" spans="3:17" ht="19.5" customHeight="1" thickTop="1">
      <c r="C14" s="32"/>
      <c r="F14" s="32"/>
      <c r="G14" s="50">
        <f t="shared" si="0"/>
        <v>0</v>
      </c>
      <c r="H14" s="71">
        <f t="shared" si="1"/>
        <v>0</v>
      </c>
      <c r="K14" s="80">
        <v>0</v>
      </c>
      <c r="M14" s="80" t="e">
        <f>#REF!/$M$4</f>
        <v>#REF!</v>
      </c>
      <c r="O14" s="56"/>
      <c r="P14" s="95"/>
      <c r="Q14" s="100"/>
    </row>
    <row r="15" spans="3:17" ht="19.5" customHeight="1">
      <c r="C15" s="83" t="s">
        <v>77</v>
      </c>
      <c r="E15" s="83" t="s">
        <v>134</v>
      </c>
      <c r="F15" s="32" t="s">
        <v>192</v>
      </c>
      <c r="G15" s="50">
        <f t="shared" si="0"/>
        <v>0</v>
      </c>
      <c r="H15" s="71">
        <f t="shared" si="1"/>
        <v>0</v>
      </c>
      <c r="K15" s="80">
        <v>0</v>
      </c>
      <c r="M15" s="80" t="e">
        <f>#REF!/$M$4</f>
        <v>#REF!</v>
      </c>
      <c r="O15" s="56"/>
      <c r="P15" s="95"/>
      <c r="Q15" s="100"/>
    </row>
    <row r="16" spans="3:18" ht="19.5" customHeight="1">
      <c r="C16" s="32"/>
      <c r="D16" s="101" t="s">
        <v>67</v>
      </c>
      <c r="F16" s="101" t="s">
        <v>135</v>
      </c>
      <c r="G16" s="50">
        <f t="shared" si="0"/>
        <v>0</v>
      </c>
      <c r="H16" s="71">
        <f t="shared" si="1"/>
        <v>0</v>
      </c>
      <c r="K16" s="80">
        <v>0</v>
      </c>
      <c r="M16" s="80" t="e">
        <f>#REF!/$M$4</f>
        <v>#REF!</v>
      </c>
      <c r="O16" s="56"/>
      <c r="P16" s="95"/>
      <c r="Q16" s="94"/>
      <c r="R16" s="101"/>
    </row>
    <row r="17" spans="3:18" ht="19.5" customHeight="1">
      <c r="C17" s="32"/>
      <c r="D17" s="32" t="s">
        <v>72</v>
      </c>
      <c r="F17" s="32" t="s">
        <v>226</v>
      </c>
      <c r="G17" s="50">
        <f t="shared" si="0"/>
        <v>5603.644673687227</v>
      </c>
      <c r="H17" s="71">
        <f t="shared" si="1"/>
        <v>4949.514143813431</v>
      </c>
      <c r="I17" s="80" t="s">
        <v>62</v>
      </c>
      <c r="J17" s="80" t="s">
        <v>215</v>
      </c>
      <c r="K17" s="80">
        <v>782212.76</v>
      </c>
      <c r="L17" s="102">
        <v>687636</v>
      </c>
      <c r="M17" s="80" t="e">
        <f>#REF!/$M$4</f>
        <v>#REF!</v>
      </c>
      <c r="N17" s="80" t="e">
        <f>#REF!/137.96</f>
        <v>#REF!</v>
      </c>
      <c r="O17" s="56"/>
      <c r="P17" s="95"/>
      <c r="Q17" s="94"/>
      <c r="R17" s="103"/>
    </row>
    <row r="18" spans="3:17" ht="19.5" customHeight="1">
      <c r="C18" s="32"/>
      <c r="D18" s="32" t="s">
        <v>73</v>
      </c>
      <c r="F18" s="32" t="s">
        <v>136</v>
      </c>
      <c r="G18" s="50">
        <f t="shared" si="0"/>
        <v>0</v>
      </c>
      <c r="H18" s="71">
        <f t="shared" si="1"/>
        <v>0</v>
      </c>
      <c r="K18" s="80">
        <v>0</v>
      </c>
      <c r="M18" s="80" t="e">
        <f>#REF!/$M$4</f>
        <v>#REF!</v>
      </c>
      <c r="N18" s="80" t="e">
        <f>#REF!/137.96</f>
        <v>#REF!</v>
      </c>
      <c r="O18" s="56"/>
      <c r="P18" s="95"/>
      <c r="Q18" s="94"/>
    </row>
    <row r="19" spans="3:17" ht="19.5" customHeight="1">
      <c r="C19" s="32"/>
      <c r="D19" s="32" t="s">
        <v>74</v>
      </c>
      <c r="F19" s="32" t="s">
        <v>137</v>
      </c>
      <c r="G19" s="50">
        <f t="shared" si="0"/>
        <v>0</v>
      </c>
      <c r="H19" s="71">
        <f t="shared" si="1"/>
        <v>0</v>
      </c>
      <c r="K19" s="80">
        <v>0</v>
      </c>
      <c r="M19" s="80" t="e">
        <f>#REF!/$M$4</f>
        <v>#REF!</v>
      </c>
      <c r="N19" s="80" t="e">
        <f>#REF!/137.96</f>
        <v>#REF!</v>
      </c>
      <c r="O19" s="56"/>
      <c r="P19" s="95"/>
      <c r="Q19" s="94"/>
    </row>
    <row r="20" spans="3:17" ht="19.5" customHeight="1">
      <c r="C20" s="32"/>
      <c r="D20" s="32" t="s">
        <v>75</v>
      </c>
      <c r="F20" s="104" t="s">
        <v>138</v>
      </c>
      <c r="G20" s="50">
        <f t="shared" si="0"/>
        <v>1795801.3859875347</v>
      </c>
      <c r="H20" s="71">
        <f t="shared" si="1"/>
        <v>1548339.3939393938</v>
      </c>
      <c r="I20" s="80" t="s">
        <v>63</v>
      </c>
      <c r="J20" s="80" t="s">
        <v>215</v>
      </c>
      <c r="K20" s="80">
        <v>250675915.46999997</v>
      </c>
      <c r="L20" s="102">
        <v>215110792</v>
      </c>
      <c r="M20" s="80" t="e">
        <f>#REF!/$M$4</f>
        <v>#REF!</v>
      </c>
      <c r="N20" s="80" t="e">
        <f>#REF!/137.96</f>
        <v>#REF!</v>
      </c>
      <c r="O20" s="56"/>
      <c r="P20" s="95"/>
      <c r="Q20" s="94"/>
    </row>
    <row r="21" spans="3:17" ht="19.5" customHeight="1">
      <c r="C21" s="32"/>
      <c r="D21" s="32" t="s">
        <v>76</v>
      </c>
      <c r="F21" s="104" t="s">
        <v>139</v>
      </c>
      <c r="G21" s="50">
        <f t="shared" si="0"/>
        <v>74032.58922558921</v>
      </c>
      <c r="H21" s="71">
        <f t="shared" si="1"/>
        <v>191484.8772763262</v>
      </c>
      <c r="K21" s="80">
        <v>10334209.129999999</v>
      </c>
      <c r="L21" s="102">
        <v>26602994</v>
      </c>
      <c r="M21" s="80" t="e">
        <f>#REF!/$M$4</f>
        <v>#REF!</v>
      </c>
      <c r="N21" s="80" t="e">
        <f>#REF!/137.96</f>
        <v>#REF!</v>
      </c>
      <c r="O21" s="56"/>
      <c r="P21" s="95"/>
      <c r="Q21" s="94"/>
    </row>
    <row r="22" spans="3:18" ht="19.5" customHeight="1" thickBot="1">
      <c r="C22" s="32"/>
      <c r="D22" s="98" t="s">
        <v>39</v>
      </c>
      <c r="F22" s="104" t="s">
        <v>39</v>
      </c>
      <c r="G22" s="130">
        <f t="shared" si="0"/>
        <v>1875437.619886811</v>
      </c>
      <c r="H22" s="131">
        <f t="shared" si="1"/>
        <v>1744773.7853595335</v>
      </c>
      <c r="K22" s="105">
        <v>261792337.35999995</v>
      </c>
      <c r="L22" s="105">
        <f>SUM(L16:L21)</f>
        <v>242401422</v>
      </c>
      <c r="M22" s="80" t="e">
        <f>#REF!/$M$4</f>
        <v>#REF!</v>
      </c>
      <c r="N22" s="106" t="e">
        <f>#REF!/137.96</f>
        <v>#REF!</v>
      </c>
      <c r="O22" s="56"/>
      <c r="P22" s="95"/>
      <c r="Q22" s="107"/>
      <c r="R22" s="98"/>
    </row>
    <row r="23" spans="3:18" ht="19.5" customHeight="1">
      <c r="C23" s="32"/>
      <c r="D23" s="83"/>
      <c r="F23" s="108"/>
      <c r="G23" s="50">
        <f t="shared" si="0"/>
        <v>0</v>
      </c>
      <c r="H23" s="71">
        <f t="shared" si="1"/>
        <v>0</v>
      </c>
      <c r="K23" s="80">
        <v>0</v>
      </c>
      <c r="M23" s="80" t="e">
        <f>#REF!/$M$4</f>
        <v>#REF!</v>
      </c>
      <c r="O23" s="56"/>
      <c r="P23" s="95"/>
      <c r="Q23" s="100"/>
      <c r="R23" s="83"/>
    </row>
    <row r="24" spans="3:18" ht="19.5" customHeight="1">
      <c r="C24" s="109" t="s">
        <v>171</v>
      </c>
      <c r="D24" s="109"/>
      <c r="E24" s="109" t="s">
        <v>140</v>
      </c>
      <c r="F24" s="110" t="s">
        <v>193</v>
      </c>
      <c r="G24" s="50">
        <f t="shared" si="0"/>
        <v>0</v>
      </c>
      <c r="H24" s="71">
        <f t="shared" si="1"/>
        <v>0</v>
      </c>
      <c r="J24" s="80" t="s">
        <v>49</v>
      </c>
      <c r="K24" s="80">
        <v>0</v>
      </c>
      <c r="M24" s="80" t="e">
        <f>#REF!/$M$4</f>
        <v>#REF!</v>
      </c>
      <c r="O24" s="56"/>
      <c r="P24" s="95"/>
      <c r="Q24" s="94"/>
      <c r="R24" s="83"/>
    </row>
    <row r="25" spans="3:17" ht="19.5" customHeight="1">
      <c r="C25" s="32"/>
      <c r="D25" s="111" t="s">
        <v>78</v>
      </c>
      <c r="F25" s="104" t="s">
        <v>141</v>
      </c>
      <c r="G25" s="50">
        <f t="shared" si="0"/>
        <v>1541847.4791890534</v>
      </c>
      <c r="H25" s="71">
        <f t="shared" si="1"/>
        <v>1241463.060534082</v>
      </c>
      <c r="I25" s="80" t="s">
        <v>49</v>
      </c>
      <c r="J25" s="80" t="s">
        <v>49</v>
      </c>
      <c r="K25" s="102">
        <v>215226489.61999997</v>
      </c>
      <c r="L25" s="102">
        <v>172476463</v>
      </c>
      <c r="M25" s="80" t="e">
        <f>#REF!/$M$4</f>
        <v>#REF!</v>
      </c>
      <c r="N25" s="80" t="e">
        <f>#REF!/137.96</f>
        <v>#REF!</v>
      </c>
      <c r="O25" s="56"/>
      <c r="P25" s="95"/>
      <c r="Q25" s="112"/>
    </row>
    <row r="26" spans="3:17" ht="19.5" customHeight="1">
      <c r="C26" s="32"/>
      <c r="D26" s="111" t="s">
        <v>79</v>
      </c>
      <c r="F26" s="104" t="s">
        <v>142</v>
      </c>
      <c r="G26" s="50">
        <f t="shared" si="0"/>
        <v>194587.14449459137</v>
      </c>
      <c r="H26" s="71">
        <f t="shared" si="1"/>
        <v>395973.12315554597</v>
      </c>
      <c r="I26" s="80" t="s">
        <v>49</v>
      </c>
      <c r="J26" s="80" t="s">
        <v>49</v>
      </c>
      <c r="K26" s="102">
        <v>27162419.50000001</v>
      </c>
      <c r="L26" s="102">
        <v>55012546</v>
      </c>
      <c r="M26" s="80" t="e">
        <f>#REF!/$M$4</f>
        <v>#REF!</v>
      </c>
      <c r="N26" s="80" t="e">
        <f>#REF!/137.96</f>
        <v>#REF!</v>
      </c>
      <c r="O26" s="56"/>
      <c r="P26" s="95"/>
      <c r="Q26" s="112"/>
    </row>
    <row r="27" spans="3:17" ht="19.5" customHeight="1">
      <c r="C27" s="32"/>
      <c r="D27" s="113" t="s">
        <v>80</v>
      </c>
      <c r="F27" s="104" t="s">
        <v>143</v>
      </c>
      <c r="G27" s="50">
        <f t="shared" si="0"/>
        <v>37200.55584210903</v>
      </c>
      <c r="H27" s="71">
        <f t="shared" si="1"/>
        <v>46008.500683797596</v>
      </c>
      <c r="I27" s="80" t="s">
        <v>49</v>
      </c>
      <c r="J27" s="80" t="s">
        <v>49</v>
      </c>
      <c r="K27" s="102">
        <v>5192825.59</v>
      </c>
      <c r="L27" s="102">
        <v>6391961</v>
      </c>
      <c r="M27" s="80" t="e">
        <f>#REF!/$M$4</f>
        <v>#REF!</v>
      </c>
      <c r="N27" s="80" t="e">
        <f>#REF!/137.96</f>
        <v>#REF!</v>
      </c>
      <c r="O27" s="56"/>
      <c r="P27" s="95"/>
      <c r="Q27" s="94"/>
    </row>
    <row r="28" spans="3:17" ht="19.5" customHeight="1">
      <c r="C28" s="32"/>
      <c r="D28" s="113" t="s">
        <v>81</v>
      </c>
      <c r="F28" s="104" t="s">
        <v>144</v>
      </c>
      <c r="G28" s="50">
        <f t="shared" si="0"/>
        <v>0</v>
      </c>
      <c r="H28" s="71">
        <f t="shared" si="1"/>
        <v>0</v>
      </c>
      <c r="K28" s="102">
        <v>0</v>
      </c>
      <c r="L28" s="102"/>
      <c r="M28" s="80" t="e">
        <f>#REF!/$M$4</f>
        <v>#REF!</v>
      </c>
      <c r="N28" s="80" t="e">
        <f>#REF!/137.96</f>
        <v>#REF!</v>
      </c>
      <c r="O28" s="56"/>
      <c r="P28" s="95"/>
      <c r="Q28" s="94"/>
    </row>
    <row r="29" spans="3:18" ht="19.5" customHeight="1" thickBot="1">
      <c r="C29" s="32"/>
      <c r="D29" s="98" t="s">
        <v>40</v>
      </c>
      <c r="F29" s="104" t="s">
        <v>40</v>
      </c>
      <c r="G29" s="126">
        <f t="shared" si="0"/>
        <v>1773635.1795257537</v>
      </c>
      <c r="H29" s="133">
        <f t="shared" si="1"/>
        <v>1683444.6843734253</v>
      </c>
      <c r="J29" s="80" t="s">
        <v>49</v>
      </c>
      <c r="K29" s="99">
        <v>247581734.70999998</v>
      </c>
      <c r="L29" s="99">
        <f>SUM(L24:L28)</f>
        <v>233880970</v>
      </c>
      <c r="M29" s="80" t="e">
        <f>#REF!/$M$4</f>
        <v>#REF!</v>
      </c>
      <c r="N29" s="89" t="e">
        <f>#REF!/137.96</f>
        <v>#REF!</v>
      </c>
      <c r="O29" s="95"/>
      <c r="P29" s="95"/>
      <c r="Q29" s="107"/>
      <c r="R29" s="98"/>
    </row>
    <row r="30" spans="3:17" ht="19.5" customHeight="1" thickTop="1">
      <c r="C30" s="32"/>
      <c r="F30" s="104"/>
      <c r="G30" s="50">
        <f t="shared" si="0"/>
        <v>0</v>
      </c>
      <c r="H30" s="71">
        <f t="shared" si="1"/>
        <v>0</v>
      </c>
      <c r="K30" s="80">
        <v>0</v>
      </c>
      <c r="M30" s="80" t="e">
        <f>#REF!/$M$4</f>
        <v>#REF!</v>
      </c>
      <c r="O30" s="56"/>
      <c r="P30" s="95"/>
      <c r="Q30" s="94"/>
    </row>
    <row r="31" spans="3:17" ht="19.5" customHeight="1">
      <c r="C31" s="32"/>
      <c r="D31" s="92" t="s">
        <v>84</v>
      </c>
      <c r="F31" s="104" t="s">
        <v>145</v>
      </c>
      <c r="G31" s="50">
        <f t="shared" si="0"/>
        <v>54181.742388423234</v>
      </c>
      <c r="H31" s="71">
        <f t="shared" si="1"/>
        <v>154266.83221766356</v>
      </c>
      <c r="I31" s="80" t="s">
        <v>50</v>
      </c>
      <c r="J31" s="80" t="s">
        <v>50</v>
      </c>
      <c r="K31" s="102">
        <v>7563229.419999999</v>
      </c>
      <c r="L31" s="102">
        <v>21432291</v>
      </c>
      <c r="M31" s="80" t="e">
        <f>#REF!/$M$4</f>
        <v>#REF!</v>
      </c>
      <c r="N31" s="80" t="e">
        <f>#REF!/137.96</f>
        <v>#REF!</v>
      </c>
      <c r="O31" s="56"/>
      <c r="P31" s="95"/>
      <c r="Q31" s="97"/>
    </row>
    <row r="32" spans="3:17" ht="19.5" customHeight="1">
      <c r="C32" s="32"/>
      <c r="D32" s="92" t="s">
        <v>85</v>
      </c>
      <c r="F32" s="104" t="s">
        <v>146</v>
      </c>
      <c r="G32" s="50">
        <f t="shared" si="0"/>
        <v>0</v>
      </c>
      <c r="H32" s="71">
        <f t="shared" si="1"/>
        <v>0</v>
      </c>
      <c r="K32" s="80">
        <v>0</v>
      </c>
      <c r="M32" s="80" t="e">
        <f>#REF!/$M$4</f>
        <v>#REF!</v>
      </c>
      <c r="N32" s="80" t="e">
        <f>#REF!/137.96</f>
        <v>#REF!</v>
      </c>
      <c r="O32" s="56"/>
      <c r="P32" s="95"/>
      <c r="Q32" s="100"/>
    </row>
    <row r="33" spans="3:17" ht="19.5" customHeight="1">
      <c r="C33" s="32"/>
      <c r="F33" s="104"/>
      <c r="G33" s="50">
        <f t="shared" si="0"/>
        <v>0</v>
      </c>
      <c r="H33" s="71">
        <f t="shared" si="1"/>
        <v>0</v>
      </c>
      <c r="K33" s="80">
        <v>0</v>
      </c>
      <c r="L33" s="114"/>
      <c r="M33" s="80" t="e">
        <f>#REF!/$M$4</f>
        <v>#REF!</v>
      </c>
      <c r="N33" s="80" t="e">
        <f>#REF!/137.96</f>
        <v>#REF!</v>
      </c>
      <c r="O33" s="56"/>
      <c r="P33" s="95"/>
      <c r="Q33" s="94"/>
    </row>
    <row r="34" spans="3:18" ht="19.5" customHeight="1" thickBot="1">
      <c r="C34" s="32"/>
      <c r="D34" s="98" t="s">
        <v>90</v>
      </c>
      <c r="F34" s="104" t="s">
        <v>147</v>
      </c>
      <c r="G34" s="48">
        <f t="shared" si="0"/>
        <v>54181.742388423234</v>
      </c>
      <c r="H34" s="72">
        <f t="shared" si="1"/>
        <v>154266.83221766356</v>
      </c>
      <c r="K34" s="115">
        <v>7563229.419999999</v>
      </c>
      <c r="L34" s="115">
        <f>SUM(L31:L33)</f>
        <v>21432291</v>
      </c>
      <c r="M34" s="80" t="e">
        <f>#REF!/$M$4</f>
        <v>#REF!</v>
      </c>
      <c r="N34" s="106" t="e">
        <f>#REF!/137.96</f>
        <v>#REF!</v>
      </c>
      <c r="O34" s="56"/>
      <c r="P34" s="95"/>
      <c r="Q34" s="94"/>
      <c r="R34" s="98"/>
    </row>
    <row r="35" spans="3:17" ht="19.5" customHeight="1" thickTop="1">
      <c r="C35" s="32"/>
      <c r="F35" s="104"/>
      <c r="G35" s="50">
        <f t="shared" si="0"/>
        <v>0</v>
      </c>
      <c r="H35" s="71">
        <f t="shared" si="1"/>
        <v>0</v>
      </c>
      <c r="K35" s="80">
        <v>0</v>
      </c>
      <c r="M35" s="80" t="e">
        <f>#REF!/$M$4</f>
        <v>#REF!</v>
      </c>
      <c r="O35" s="56"/>
      <c r="P35" s="95"/>
      <c r="Q35" s="94"/>
    </row>
    <row r="36" spans="3:17" ht="19.5" customHeight="1">
      <c r="C36" s="32"/>
      <c r="F36" s="104" t="s">
        <v>148</v>
      </c>
      <c r="G36" s="50">
        <f t="shared" si="0"/>
        <v>0</v>
      </c>
      <c r="H36" s="71">
        <f t="shared" si="1"/>
        <v>0</v>
      </c>
      <c r="K36" s="80">
        <v>0</v>
      </c>
      <c r="M36" s="80" t="e">
        <f>#REF!/$M$4</f>
        <v>#REF!</v>
      </c>
      <c r="O36" s="56"/>
      <c r="P36" s="95"/>
      <c r="Q36" s="94"/>
    </row>
    <row r="37" spans="3:17" ht="19.5" customHeight="1">
      <c r="C37" s="32"/>
      <c r="D37" s="116" t="s">
        <v>87</v>
      </c>
      <c r="F37" s="104" t="s">
        <v>149</v>
      </c>
      <c r="G37" s="50">
        <f t="shared" si="0"/>
        <v>0</v>
      </c>
      <c r="H37" s="71">
        <f t="shared" si="1"/>
        <v>0</v>
      </c>
      <c r="K37" s="80">
        <v>0</v>
      </c>
      <c r="M37" s="80" t="e">
        <f>#REF!/$M$4</f>
        <v>#REF!</v>
      </c>
      <c r="O37" s="56"/>
      <c r="P37" s="95"/>
      <c r="Q37" s="94"/>
    </row>
    <row r="38" spans="3:17" ht="19.5" customHeight="1">
      <c r="C38" s="32"/>
      <c r="D38" s="116" t="s">
        <v>86</v>
      </c>
      <c r="F38" s="104" t="s">
        <v>150</v>
      </c>
      <c r="G38" s="50">
        <f t="shared" si="0"/>
        <v>18708.13224443012</v>
      </c>
      <c r="H38" s="71">
        <f t="shared" si="1"/>
        <v>8518.7648456057</v>
      </c>
      <c r="I38" s="80" t="s">
        <v>188</v>
      </c>
      <c r="J38" s="80" t="s">
        <v>188</v>
      </c>
      <c r="K38" s="80">
        <v>2611468.18</v>
      </c>
      <c r="L38" s="102">
        <v>1183512</v>
      </c>
      <c r="M38" s="80" t="e">
        <f>#REF!/$M$4</f>
        <v>#REF!</v>
      </c>
      <c r="N38" s="80" t="e">
        <f>#REF!/137.96</f>
        <v>#REF!</v>
      </c>
      <c r="O38" s="56"/>
      <c r="P38" s="95"/>
      <c r="Q38" s="94"/>
    </row>
    <row r="39" spans="3:17" ht="19.5" customHeight="1">
      <c r="C39" s="32"/>
      <c r="F39" s="104"/>
      <c r="G39" s="50">
        <f t="shared" si="0"/>
        <v>0</v>
      </c>
      <c r="H39" s="71">
        <f t="shared" si="1"/>
        <v>0</v>
      </c>
      <c r="K39" s="80">
        <v>0</v>
      </c>
      <c r="L39" s="102"/>
      <c r="M39" s="80" t="e">
        <f>#REF!/$M$4</f>
        <v>#REF!</v>
      </c>
      <c r="N39" s="80" t="e">
        <f>#REF!/137.96</f>
        <v>#REF!</v>
      </c>
      <c r="O39" s="50"/>
      <c r="P39" s="95"/>
      <c r="Q39" s="94"/>
    </row>
    <row r="40" spans="3:18" ht="19.5" customHeight="1" thickBot="1">
      <c r="C40" s="32"/>
      <c r="D40" s="64" t="s">
        <v>88</v>
      </c>
      <c r="F40" s="108" t="s">
        <v>151</v>
      </c>
      <c r="G40" s="48">
        <f t="shared" si="0"/>
        <v>3721962.6740454184</v>
      </c>
      <c r="H40" s="72">
        <f t="shared" si="1"/>
        <v>3591004.0667962283</v>
      </c>
      <c r="J40" s="140">
        <v>4.2</v>
      </c>
      <c r="K40" s="99">
        <v>519548769.66999996</v>
      </c>
      <c r="L40" s="99">
        <f>+L39+L29+L22+L34+L38</f>
        <v>498898195</v>
      </c>
      <c r="M40" s="80" t="e">
        <f>#REF!/$M$4</f>
        <v>#REF!</v>
      </c>
      <c r="N40" s="89" t="e">
        <f>#REF!/137.96</f>
        <v>#REF!</v>
      </c>
      <c r="O40" s="56"/>
      <c r="P40" s="95"/>
      <c r="Q40" s="94"/>
      <c r="R40" s="91"/>
    </row>
    <row r="41" spans="3:17" ht="19.5" customHeight="1" thickTop="1">
      <c r="C41" s="32"/>
      <c r="F41" s="104"/>
      <c r="G41" s="50">
        <f t="shared" si="0"/>
        <v>0</v>
      </c>
      <c r="H41" s="71">
        <f t="shared" si="1"/>
        <v>0</v>
      </c>
      <c r="K41" s="80">
        <v>0</v>
      </c>
      <c r="M41" s="80" t="e">
        <f>#REF!/$M$4</f>
        <v>#REF!</v>
      </c>
      <c r="O41" s="56"/>
      <c r="P41" s="95"/>
      <c r="Q41" s="94"/>
    </row>
    <row r="42" spans="3:17" ht="19.5" customHeight="1">
      <c r="C42" s="32"/>
      <c r="F42" s="104"/>
      <c r="G42" s="50">
        <f t="shared" si="0"/>
        <v>0</v>
      </c>
      <c r="H42" s="71">
        <f t="shared" si="1"/>
        <v>0</v>
      </c>
      <c r="K42" s="80">
        <v>0</v>
      </c>
      <c r="M42" s="80" t="e">
        <f>#REF!/$M$4</f>
        <v>#REF!</v>
      </c>
      <c r="O42" s="56"/>
      <c r="P42" s="95"/>
      <c r="Q42" s="94"/>
    </row>
    <row r="43" spans="3:18" ht="19.5" customHeight="1">
      <c r="C43" s="32"/>
      <c r="D43" s="64" t="s">
        <v>89</v>
      </c>
      <c r="F43" s="108" t="s">
        <v>152</v>
      </c>
      <c r="G43" s="134">
        <f t="shared" si="0"/>
        <v>4292733.338491296</v>
      </c>
      <c r="H43" s="135">
        <f t="shared" si="1"/>
        <v>4277855.661124307</v>
      </c>
      <c r="J43" s="80">
        <v>4</v>
      </c>
      <c r="K43" s="107">
        <v>599222646.72</v>
      </c>
      <c r="L43" s="107">
        <f>+L13+L40</f>
        <v>594322487</v>
      </c>
      <c r="M43" s="80" t="e">
        <f>#REF!/$M$4</f>
        <v>#REF!</v>
      </c>
      <c r="N43" s="80" t="e">
        <f>#REF!/137.96</f>
        <v>#REF!</v>
      </c>
      <c r="O43" s="56"/>
      <c r="P43" s="95"/>
      <c r="Q43" s="107"/>
      <c r="R43" s="83"/>
    </row>
    <row r="44" spans="3:17" ht="19.5" customHeight="1">
      <c r="C44" s="32"/>
      <c r="F44" s="104"/>
      <c r="G44" s="50">
        <f t="shared" si="0"/>
        <v>0</v>
      </c>
      <c r="H44" s="71">
        <f t="shared" si="1"/>
        <v>0</v>
      </c>
      <c r="K44" s="80">
        <v>0</v>
      </c>
      <c r="M44" s="80" t="e">
        <f>#REF!/$M$4</f>
        <v>#REF!</v>
      </c>
      <c r="O44" s="56"/>
      <c r="P44" s="95"/>
      <c r="Q44" s="94"/>
    </row>
    <row r="45" spans="3:17" ht="19.5" customHeight="1">
      <c r="C45" s="32"/>
      <c r="F45" s="104"/>
      <c r="G45" s="50">
        <f t="shared" si="0"/>
        <v>0</v>
      </c>
      <c r="H45" s="71">
        <f t="shared" si="1"/>
        <v>0</v>
      </c>
      <c r="K45" s="80">
        <v>0</v>
      </c>
      <c r="M45" s="80" t="e">
        <f>#REF!/$M$4</f>
        <v>#REF!</v>
      </c>
      <c r="O45" s="56"/>
      <c r="P45" s="95"/>
      <c r="Q45" s="94"/>
    </row>
    <row r="46" spans="3:17" ht="19.5" customHeight="1">
      <c r="C46" s="83" t="s">
        <v>110</v>
      </c>
      <c r="E46" s="83" t="s">
        <v>153</v>
      </c>
      <c r="F46" s="104" t="s">
        <v>194</v>
      </c>
      <c r="G46" s="50">
        <f t="shared" si="0"/>
        <v>0</v>
      </c>
      <c r="H46" s="71">
        <f t="shared" si="1"/>
        <v>0</v>
      </c>
      <c r="K46" s="80">
        <v>0</v>
      </c>
      <c r="M46" s="80" t="e">
        <f>#REF!/$M$4</f>
        <v>#REF!</v>
      </c>
      <c r="O46" s="56"/>
      <c r="P46" s="95"/>
      <c r="Q46" s="94"/>
    </row>
    <row r="47" spans="3:17" ht="19.5" customHeight="1">
      <c r="C47" s="32"/>
      <c r="F47" s="104"/>
      <c r="G47" s="50">
        <f t="shared" si="0"/>
        <v>0</v>
      </c>
      <c r="H47" s="71">
        <f t="shared" si="1"/>
        <v>0</v>
      </c>
      <c r="K47" s="80">
        <v>0</v>
      </c>
      <c r="M47" s="80" t="e">
        <f>#REF!/$M$4</f>
        <v>#REF!</v>
      </c>
      <c r="O47" s="56"/>
      <c r="P47" s="95"/>
      <c r="Q47" s="94"/>
    </row>
    <row r="48" spans="3:17" ht="19.5" customHeight="1">
      <c r="C48" s="83" t="s">
        <v>111</v>
      </c>
      <c r="E48" s="83" t="s">
        <v>154</v>
      </c>
      <c r="F48" s="104" t="s">
        <v>154</v>
      </c>
      <c r="G48" s="50">
        <f t="shared" si="0"/>
        <v>0</v>
      </c>
      <c r="H48" s="71">
        <f t="shared" si="1"/>
        <v>0</v>
      </c>
      <c r="M48" s="80" t="e">
        <f>#REF!/$M$4</f>
        <v>#REF!</v>
      </c>
      <c r="O48" s="56"/>
      <c r="P48" s="95"/>
      <c r="Q48" s="94"/>
    </row>
    <row r="49" spans="3:17" ht="19.5" customHeight="1">
      <c r="C49" s="32"/>
      <c r="D49" s="32" t="s">
        <v>70</v>
      </c>
      <c r="F49" s="104" t="s">
        <v>23</v>
      </c>
      <c r="G49" s="50">
        <f t="shared" si="0"/>
        <v>1097105.8098717672</v>
      </c>
      <c r="H49" s="71">
        <f t="shared" si="1"/>
        <v>158439.5019074354</v>
      </c>
      <c r="I49" s="80">
        <v>6</v>
      </c>
      <c r="J49" s="80" t="s">
        <v>232</v>
      </c>
      <c r="K49" s="80">
        <v>153145000</v>
      </c>
      <c r="L49" s="102">
        <v>22012000</v>
      </c>
      <c r="M49" s="80" t="e">
        <f>#REF!/$M$4</f>
        <v>#REF!</v>
      </c>
      <c r="N49" s="80" t="e">
        <f>#REF!/137.96</f>
        <v>#REF!</v>
      </c>
      <c r="O49" s="56"/>
      <c r="P49" s="95"/>
      <c r="Q49" s="112"/>
    </row>
    <row r="50" spans="3:17" ht="19.5" customHeight="1">
      <c r="C50" s="32"/>
      <c r="D50" s="32" t="s">
        <v>71</v>
      </c>
      <c r="F50" s="104" t="s">
        <v>155</v>
      </c>
      <c r="G50" s="50">
        <f t="shared" si="0"/>
        <v>0</v>
      </c>
      <c r="H50" s="71">
        <f t="shared" si="1"/>
        <v>0</v>
      </c>
      <c r="K50" s="80">
        <v>0</v>
      </c>
      <c r="L50" s="102"/>
      <c r="M50" s="80" t="e">
        <f>#REF!/$M$4</f>
        <v>#REF!</v>
      </c>
      <c r="N50" s="80" t="e">
        <f>#REF!/137.96</f>
        <v>#REF!</v>
      </c>
      <c r="O50" s="56"/>
      <c r="P50" s="95"/>
      <c r="Q50" s="112"/>
    </row>
    <row r="51" spans="3:17" ht="19.5" customHeight="1">
      <c r="C51" s="32"/>
      <c r="D51" s="117" t="s">
        <v>108</v>
      </c>
      <c r="F51" s="104" t="s">
        <v>156</v>
      </c>
      <c r="G51" s="50">
        <f t="shared" si="0"/>
        <v>0</v>
      </c>
      <c r="H51" s="71">
        <f t="shared" si="1"/>
        <v>0</v>
      </c>
      <c r="K51" s="80">
        <v>0</v>
      </c>
      <c r="L51" s="102"/>
      <c r="M51" s="80" t="e">
        <f>#REF!/$M$4</f>
        <v>#REF!</v>
      </c>
      <c r="N51" s="80" t="e">
        <f>#REF!/137.96</f>
        <v>#REF!</v>
      </c>
      <c r="O51" s="56"/>
      <c r="P51" s="95"/>
      <c r="Q51" s="94"/>
    </row>
    <row r="52" spans="3:17" ht="19.5" customHeight="1">
      <c r="C52" s="32"/>
      <c r="D52" s="32" t="s">
        <v>107</v>
      </c>
      <c r="F52" s="104" t="s">
        <v>26</v>
      </c>
      <c r="G52" s="50">
        <f t="shared" si="0"/>
        <v>41156.94720252167</v>
      </c>
      <c r="H52" s="71">
        <f t="shared" si="1"/>
        <v>143.95738861297056</v>
      </c>
      <c r="I52" s="80">
        <v>6</v>
      </c>
      <c r="J52" s="80" t="s">
        <v>233</v>
      </c>
      <c r="K52" s="80">
        <v>5745098.26</v>
      </c>
      <c r="L52" s="102">
        <v>20000</v>
      </c>
      <c r="M52" s="80" t="e">
        <f>#REF!/$M$4</f>
        <v>#REF!</v>
      </c>
      <c r="N52" s="80" t="e">
        <f>#REF!/137.96</f>
        <v>#REF!</v>
      </c>
      <c r="O52" s="56"/>
      <c r="P52" s="95"/>
      <c r="Q52" s="94"/>
    </row>
    <row r="53" spans="3:17" ht="19.5" customHeight="1">
      <c r="C53" s="32"/>
      <c r="D53" s="117" t="s">
        <v>96</v>
      </c>
      <c r="F53" s="104" t="s">
        <v>0</v>
      </c>
      <c r="G53" s="50">
        <f t="shared" si="0"/>
        <v>0</v>
      </c>
      <c r="H53" s="71">
        <f t="shared" si="1"/>
        <v>0</v>
      </c>
      <c r="K53" s="80">
        <v>0</v>
      </c>
      <c r="L53" s="102"/>
      <c r="M53" s="80" t="e">
        <f>#REF!/$M$4</f>
        <v>#REF!</v>
      </c>
      <c r="N53" s="80" t="e">
        <f>#REF!/137.96</f>
        <v>#REF!</v>
      </c>
      <c r="O53" s="56"/>
      <c r="P53" s="95"/>
      <c r="Q53" s="118"/>
    </row>
    <row r="54" spans="3:17" ht="19.5" customHeight="1">
      <c r="C54" s="32"/>
      <c r="D54" s="32" t="s">
        <v>69</v>
      </c>
      <c r="F54" s="104" t="s">
        <v>27</v>
      </c>
      <c r="G54" s="50">
        <f t="shared" si="0"/>
        <v>0</v>
      </c>
      <c r="H54" s="71">
        <f t="shared" si="1"/>
        <v>476246.1959260059</v>
      </c>
      <c r="I54" s="80">
        <v>6</v>
      </c>
      <c r="K54" s="80">
        <v>0</v>
      </c>
      <c r="L54" s="102">
        <v>66164884</v>
      </c>
      <c r="M54" s="80" t="e">
        <f>#REF!/$M$4</f>
        <v>#REF!</v>
      </c>
      <c r="N54" s="80" t="e">
        <f>#REF!/137.96</f>
        <v>#REF!</v>
      </c>
      <c r="O54" s="56"/>
      <c r="P54" s="95"/>
      <c r="Q54" s="118"/>
    </row>
    <row r="55" spans="3:17" ht="19.5" customHeight="1">
      <c r="C55" s="32"/>
      <c r="D55" s="32" t="s">
        <v>68</v>
      </c>
      <c r="F55" s="104" t="s">
        <v>41</v>
      </c>
      <c r="G55" s="50">
        <v>12099</v>
      </c>
      <c r="H55" s="71">
        <f t="shared" si="1"/>
        <v>508840.52400489454</v>
      </c>
      <c r="I55" s="80">
        <v>6</v>
      </c>
      <c r="J55" s="80" t="s">
        <v>234</v>
      </c>
      <c r="K55" s="80">
        <v>1682332.16</v>
      </c>
      <c r="L55" s="102">
        <v>70693214</v>
      </c>
      <c r="M55" s="80" t="e">
        <f>#REF!/$M$4</f>
        <v>#REF!</v>
      </c>
      <c r="N55" s="80" t="e">
        <f>#REF!/132.65</f>
        <v>#REF!</v>
      </c>
      <c r="O55" s="56"/>
      <c r="P55" s="95"/>
      <c r="Q55" s="100"/>
    </row>
    <row r="56" spans="3:17" ht="19.5" customHeight="1" thickBot="1">
      <c r="C56" s="32"/>
      <c r="F56" s="104"/>
      <c r="G56" s="126">
        <f>SUM(G49:G55)</f>
        <v>1150361.7570742888</v>
      </c>
      <c r="H56" s="132">
        <f t="shared" si="1"/>
        <v>1143670.1792269489</v>
      </c>
      <c r="J56" s="80">
        <v>6</v>
      </c>
      <c r="K56" s="119">
        <v>160572430.42</v>
      </c>
      <c r="L56" s="119">
        <f>SUM(L49:L55)</f>
        <v>158890098</v>
      </c>
      <c r="M56" s="80" t="e">
        <f>#REF!/$M$4</f>
        <v>#REF!</v>
      </c>
      <c r="N56" s="89" t="e">
        <f>#REF!/137.96</f>
        <v>#REF!</v>
      </c>
      <c r="O56" s="56"/>
      <c r="P56" s="95"/>
      <c r="Q56" s="94"/>
    </row>
    <row r="57" spans="3:17" ht="19.5" customHeight="1" thickTop="1">
      <c r="C57" s="32"/>
      <c r="F57" s="104"/>
      <c r="G57" s="50">
        <f t="shared" si="0"/>
        <v>0</v>
      </c>
      <c r="H57" s="71">
        <f t="shared" si="1"/>
        <v>0</v>
      </c>
      <c r="K57" s="80">
        <v>0</v>
      </c>
      <c r="M57" s="80" t="e">
        <f>#REF!/$M$4</f>
        <v>#REF!</v>
      </c>
      <c r="O57" s="56"/>
      <c r="P57" s="95"/>
      <c r="Q57" s="94"/>
    </row>
    <row r="58" spans="3:17" ht="19.5" customHeight="1">
      <c r="C58" s="92" t="s">
        <v>93</v>
      </c>
      <c r="E58" s="83" t="s">
        <v>157</v>
      </c>
      <c r="F58" s="104" t="s">
        <v>195</v>
      </c>
      <c r="G58" s="50">
        <f t="shared" si="0"/>
        <v>0</v>
      </c>
      <c r="H58" s="71">
        <f t="shared" si="1"/>
        <v>0</v>
      </c>
      <c r="I58" s="80">
        <v>7</v>
      </c>
      <c r="K58" s="80">
        <v>0</v>
      </c>
      <c r="M58" s="80" t="e">
        <f>#REF!/$M$4</f>
        <v>#REF!</v>
      </c>
      <c r="O58" s="56"/>
      <c r="P58" s="95"/>
      <c r="Q58" s="94"/>
    </row>
    <row r="59" spans="3:17" ht="19.5" customHeight="1">
      <c r="C59" s="32"/>
      <c r="D59" s="96" t="s">
        <v>93</v>
      </c>
      <c r="F59" s="104" t="s">
        <v>158</v>
      </c>
      <c r="G59" s="50">
        <f t="shared" si="0"/>
        <v>656391.5392220074</v>
      </c>
      <c r="H59" s="71">
        <f t="shared" si="1"/>
        <v>659608.6302454473</v>
      </c>
      <c r="I59" s="80" t="s">
        <v>189</v>
      </c>
      <c r="J59" s="80">
        <v>7</v>
      </c>
      <c r="K59" s="80">
        <v>91625694.96000001</v>
      </c>
      <c r="L59" s="80">
        <v>91639427</v>
      </c>
      <c r="M59" s="80" t="e">
        <f>#REF!/$M$4</f>
        <v>#REF!</v>
      </c>
      <c r="N59" s="80" t="e">
        <f>#REF!/137.96</f>
        <v>#REF!</v>
      </c>
      <c r="O59" s="56"/>
      <c r="P59" s="95"/>
      <c r="Q59" s="100"/>
    </row>
    <row r="60" spans="3:17" ht="19.5" customHeight="1">
      <c r="C60" s="32"/>
      <c r="D60" s="120" t="s">
        <v>127</v>
      </c>
      <c r="F60" s="104" t="s">
        <v>159</v>
      </c>
      <c r="G60" s="50">
        <f t="shared" si="0"/>
        <v>0</v>
      </c>
      <c r="H60" s="71">
        <f t="shared" si="1"/>
        <v>0</v>
      </c>
      <c r="K60" s="80">
        <v>0</v>
      </c>
      <c r="M60" s="80" t="e">
        <f>#REF!/$M$4</f>
        <v>#REF!</v>
      </c>
      <c r="N60" s="80" t="e">
        <f>#REF!/137.96</f>
        <v>#REF!</v>
      </c>
      <c r="O60" s="56"/>
      <c r="P60" s="95"/>
      <c r="Q60" s="100"/>
    </row>
    <row r="61" spans="3:17" ht="19.5" customHeight="1">
      <c r="C61" s="32"/>
      <c r="D61" s="120" t="s">
        <v>94</v>
      </c>
      <c r="F61" s="104" t="s">
        <v>160</v>
      </c>
      <c r="G61" s="50">
        <f t="shared" si="0"/>
        <v>0</v>
      </c>
      <c r="H61" s="71">
        <f t="shared" si="1"/>
        <v>0</v>
      </c>
      <c r="K61" s="80">
        <v>0</v>
      </c>
      <c r="M61" s="80" t="e">
        <f>#REF!/$M$4</f>
        <v>#REF!</v>
      </c>
      <c r="N61" s="80" t="e">
        <f>#REF!/137.96</f>
        <v>#REF!</v>
      </c>
      <c r="O61" s="56"/>
      <c r="P61" s="95"/>
      <c r="Q61" s="94"/>
    </row>
    <row r="62" spans="3:17" ht="19.5" customHeight="1">
      <c r="C62" s="32"/>
      <c r="D62" s="120" t="s">
        <v>95</v>
      </c>
      <c r="F62" s="104" t="s">
        <v>161</v>
      </c>
      <c r="G62" s="50">
        <f t="shared" si="0"/>
        <v>4153.593523891396</v>
      </c>
      <c r="H62" s="71">
        <f t="shared" si="1"/>
        <v>10095.997984596559</v>
      </c>
      <c r="I62" s="80" t="s">
        <v>190</v>
      </c>
      <c r="J62" s="80">
        <v>7</v>
      </c>
      <c r="K62" s="80">
        <v>579800.12</v>
      </c>
      <c r="L62" s="80">
        <v>1402637</v>
      </c>
      <c r="M62" s="80" t="e">
        <f>#REF!/$M$4</f>
        <v>#REF!</v>
      </c>
      <c r="N62" s="80" t="e">
        <f>#REF!/137.96</f>
        <v>#REF!</v>
      </c>
      <c r="O62" s="56"/>
      <c r="P62" s="95"/>
      <c r="Q62" s="100"/>
    </row>
    <row r="63" spans="3:17" ht="19.5" customHeight="1">
      <c r="C63" s="32"/>
      <c r="F63" s="104"/>
      <c r="G63" s="50">
        <f t="shared" si="0"/>
        <v>0</v>
      </c>
      <c r="H63" s="71">
        <f t="shared" si="1"/>
        <v>0</v>
      </c>
      <c r="K63" s="80">
        <v>0</v>
      </c>
      <c r="M63" s="80" t="e">
        <f>#REF!/$M$4</f>
        <v>#REF!</v>
      </c>
      <c r="N63" s="80" t="e">
        <f>#REF!/137.96</f>
        <v>#REF!</v>
      </c>
      <c r="O63" s="56"/>
      <c r="P63" s="95"/>
      <c r="Q63" s="94"/>
    </row>
    <row r="64" spans="3:18" ht="19.5" customHeight="1" thickBot="1">
      <c r="C64" s="32"/>
      <c r="D64" s="121" t="s">
        <v>92</v>
      </c>
      <c r="F64" s="108" t="s">
        <v>162</v>
      </c>
      <c r="G64" s="126">
        <f t="shared" si="0"/>
        <v>660545.1327458988</v>
      </c>
      <c r="H64" s="132">
        <f t="shared" si="1"/>
        <v>669704.6282300439</v>
      </c>
      <c r="J64" s="80">
        <v>7</v>
      </c>
      <c r="K64" s="119">
        <v>92205495.08000001</v>
      </c>
      <c r="L64" s="119">
        <f>SUM(L59:L63)</f>
        <v>93042064</v>
      </c>
      <c r="M64" s="80" t="e">
        <f>#REF!/$M$4</f>
        <v>#REF!</v>
      </c>
      <c r="N64" s="89" t="e">
        <f>#REF!/137.96</f>
        <v>#REF!</v>
      </c>
      <c r="O64" s="56"/>
      <c r="P64" s="95"/>
      <c r="Q64" s="94"/>
      <c r="R64" s="91"/>
    </row>
    <row r="65" spans="3:17" ht="19.5" customHeight="1" thickTop="1">
      <c r="C65" s="32"/>
      <c r="F65" s="104"/>
      <c r="G65" s="50">
        <f t="shared" si="0"/>
        <v>0</v>
      </c>
      <c r="H65" s="71">
        <f t="shared" si="1"/>
        <v>0</v>
      </c>
      <c r="K65" s="80">
        <v>0</v>
      </c>
      <c r="M65" s="80" t="e">
        <f>#REF!/$M$4</f>
        <v>#REF!</v>
      </c>
      <c r="O65" s="56"/>
      <c r="P65" s="95"/>
      <c r="Q65" s="94"/>
    </row>
    <row r="66" spans="3:17" ht="19.5" customHeight="1">
      <c r="C66" s="32"/>
      <c r="F66" s="104"/>
      <c r="G66" s="50">
        <f t="shared" si="0"/>
        <v>0</v>
      </c>
      <c r="H66" s="71">
        <f t="shared" si="1"/>
        <v>0</v>
      </c>
      <c r="K66" s="80">
        <v>0</v>
      </c>
      <c r="M66" s="80" t="e">
        <f>#REF!/$M$4</f>
        <v>#REF!</v>
      </c>
      <c r="O66" s="56"/>
      <c r="P66" s="95"/>
      <c r="Q66" s="94"/>
    </row>
    <row r="67" spans="3:17" ht="19.5" customHeight="1">
      <c r="C67" s="92"/>
      <c r="E67" s="32" t="s">
        <v>163</v>
      </c>
      <c r="F67" s="104"/>
      <c r="G67" s="50">
        <f t="shared" si="0"/>
        <v>0</v>
      </c>
      <c r="H67" s="71">
        <f t="shared" si="1"/>
        <v>0</v>
      </c>
      <c r="K67" s="80">
        <v>0</v>
      </c>
      <c r="M67" s="80" t="e">
        <f>#REF!/$M$4</f>
        <v>#REF!</v>
      </c>
      <c r="O67" s="56"/>
      <c r="P67" s="95"/>
      <c r="Q67" s="94"/>
    </row>
    <row r="68" spans="3:17" ht="19.5" customHeight="1">
      <c r="C68" s="92" t="s">
        <v>97</v>
      </c>
      <c r="E68" s="32" t="s">
        <v>164</v>
      </c>
      <c r="F68" s="104" t="s">
        <v>196</v>
      </c>
      <c r="G68" s="50">
        <f t="shared" si="0"/>
        <v>0</v>
      </c>
      <c r="H68" s="71">
        <f t="shared" si="1"/>
        <v>0</v>
      </c>
      <c r="K68" s="80">
        <v>0</v>
      </c>
      <c r="M68" s="80" t="e">
        <f>#REF!/$M$4</f>
        <v>#REF!</v>
      </c>
      <c r="O68" s="56"/>
      <c r="P68" s="95"/>
      <c r="Q68" s="94"/>
    </row>
    <row r="69" spans="3:18" ht="19.5" customHeight="1">
      <c r="C69" s="32"/>
      <c r="D69" s="92" t="s">
        <v>98</v>
      </c>
      <c r="F69" s="122" t="s">
        <v>165</v>
      </c>
      <c r="G69" s="139">
        <f t="shared" si="0"/>
        <v>692625.0606060607</v>
      </c>
      <c r="H69" s="71">
        <f t="shared" si="1"/>
        <v>213500</v>
      </c>
      <c r="K69" s="80">
        <v>96683532.21000001</v>
      </c>
      <c r="L69" s="80">
        <v>29661555</v>
      </c>
      <c r="M69" s="80" t="e">
        <f>#REF!/$M$4</f>
        <v>#REF!</v>
      </c>
      <c r="N69" s="80" t="e">
        <f>#REF!/137.96</f>
        <v>#REF!</v>
      </c>
      <c r="O69" s="56"/>
      <c r="P69" s="95"/>
      <c r="Q69" s="94"/>
      <c r="R69" s="84"/>
    </row>
    <row r="70" spans="3:18" ht="19.5" customHeight="1">
      <c r="C70" s="32"/>
      <c r="D70" s="124" t="s">
        <v>227</v>
      </c>
      <c r="F70" s="122" t="s">
        <v>166</v>
      </c>
      <c r="G70" s="123">
        <f t="shared" si="0"/>
        <v>0</v>
      </c>
      <c r="H70" s="71">
        <f t="shared" si="1"/>
        <v>0</v>
      </c>
      <c r="K70" s="80">
        <v>0</v>
      </c>
      <c r="M70" s="80" t="e">
        <f>#REF!/$M$4</f>
        <v>#REF!</v>
      </c>
      <c r="N70" s="80" t="e">
        <f>#REF!/137.96</f>
        <v>#REF!</v>
      </c>
      <c r="O70" s="56"/>
      <c r="P70" s="95"/>
      <c r="Q70" s="94"/>
      <c r="R70" s="84"/>
    </row>
    <row r="71" spans="3:18" ht="19.5" customHeight="1">
      <c r="C71" s="32"/>
      <c r="D71" s="125" t="s">
        <v>99</v>
      </c>
      <c r="F71" s="122" t="s">
        <v>24</v>
      </c>
      <c r="G71" s="123">
        <f t="shared" si="0"/>
        <v>1081795.8969840244</v>
      </c>
      <c r="H71" s="71">
        <f t="shared" si="1"/>
        <v>1540462.2399769668</v>
      </c>
      <c r="I71" s="80" t="s">
        <v>51</v>
      </c>
      <c r="J71" s="80" t="s">
        <v>51</v>
      </c>
      <c r="K71" s="80">
        <v>151007889.26</v>
      </c>
      <c r="L71" s="102">
        <v>214016419</v>
      </c>
      <c r="M71" s="80" t="e">
        <f>#REF!/$M$4</f>
        <v>#REF!</v>
      </c>
      <c r="N71" s="80" t="e">
        <f>#REF!/137.96</f>
        <v>#REF!</v>
      </c>
      <c r="O71" s="56"/>
      <c r="P71" s="95"/>
      <c r="Q71" s="112"/>
      <c r="R71" s="84"/>
    </row>
    <row r="72" spans="3:18" ht="19.5" customHeight="1">
      <c r="C72" s="32"/>
      <c r="D72" s="125" t="s">
        <v>100</v>
      </c>
      <c r="F72" s="122" t="s">
        <v>42</v>
      </c>
      <c r="G72" s="123">
        <f t="shared" si="0"/>
        <v>469.55354968120923</v>
      </c>
      <c r="H72" s="71">
        <f t="shared" si="1"/>
        <v>35.98934715324264</v>
      </c>
      <c r="I72" s="80" t="s">
        <v>56</v>
      </c>
      <c r="J72" s="80" t="s">
        <v>51</v>
      </c>
      <c r="K72" s="80">
        <v>65544.98</v>
      </c>
      <c r="L72" s="102">
        <v>5000</v>
      </c>
      <c r="M72" s="80" t="e">
        <f>#REF!/$M$4</f>
        <v>#REF!</v>
      </c>
      <c r="N72" s="80" t="e">
        <f>#REF!/137.96</f>
        <v>#REF!</v>
      </c>
      <c r="O72" s="56"/>
      <c r="P72" s="95"/>
      <c r="Q72" s="112"/>
      <c r="R72" s="84"/>
    </row>
    <row r="73" spans="3:18" ht="19.5" customHeight="1">
      <c r="C73" s="32"/>
      <c r="D73" s="125" t="s">
        <v>101</v>
      </c>
      <c r="F73" s="122" t="s">
        <v>45</v>
      </c>
      <c r="G73" s="123">
        <f aca="true" t="shared" si="2" ref="G73:G83">K73/139.59</f>
        <v>20708.246006160898</v>
      </c>
      <c r="H73" s="71">
        <f aca="true" t="shared" si="3" ref="H73:H83">L73/138.93</f>
        <v>13882.631541063844</v>
      </c>
      <c r="I73" s="80" t="s">
        <v>52</v>
      </c>
      <c r="J73" s="80" t="s">
        <v>52</v>
      </c>
      <c r="K73" s="80">
        <v>2890664.06</v>
      </c>
      <c r="L73" s="102">
        <v>1928714</v>
      </c>
      <c r="M73" s="80" t="e">
        <f>#REF!/$M$4</f>
        <v>#REF!</v>
      </c>
      <c r="N73" s="80" t="e">
        <f>#REF!/137.96</f>
        <v>#REF!</v>
      </c>
      <c r="O73" s="56"/>
      <c r="P73" s="95"/>
      <c r="Q73" s="112"/>
      <c r="R73" s="84"/>
    </row>
    <row r="74" spans="3:19" ht="19.5" customHeight="1">
      <c r="C74" s="32"/>
      <c r="D74" s="125" t="s">
        <v>102</v>
      </c>
      <c r="F74" s="122" t="s">
        <v>228</v>
      </c>
      <c r="G74" s="123">
        <f t="shared" si="2"/>
        <v>650657.4753205816</v>
      </c>
      <c r="H74" s="71">
        <f t="shared" si="3"/>
        <v>653748.4848484849</v>
      </c>
      <c r="I74" s="80" t="s">
        <v>55</v>
      </c>
      <c r="J74" s="80" t="s">
        <v>51</v>
      </c>
      <c r="K74" s="80">
        <v>90825276.97999999</v>
      </c>
      <c r="L74" s="102">
        <v>90825277</v>
      </c>
      <c r="M74" s="80" t="e">
        <f>#REF!/$M$4</f>
        <v>#REF!</v>
      </c>
      <c r="N74" s="80" t="e">
        <f>#REF!/137.96</f>
        <v>#REF!</v>
      </c>
      <c r="O74" s="56"/>
      <c r="P74" s="95"/>
      <c r="Q74" s="112"/>
      <c r="R74" s="84"/>
      <c r="S74" s="45"/>
    </row>
    <row r="75" spans="3:18" ht="19.5" customHeight="1">
      <c r="C75" s="32"/>
      <c r="D75" s="125" t="s">
        <v>103</v>
      </c>
      <c r="F75" s="122" t="s">
        <v>25</v>
      </c>
      <c r="G75" s="123">
        <f t="shared" si="2"/>
        <v>35617.26155168709</v>
      </c>
      <c r="H75" s="71">
        <f t="shared" si="3"/>
        <v>42851.493557906855</v>
      </c>
      <c r="J75" s="80" t="s">
        <v>51</v>
      </c>
      <c r="K75" s="80">
        <v>4971813.54</v>
      </c>
      <c r="L75" s="102">
        <v>5953358</v>
      </c>
      <c r="M75" s="80" t="e">
        <f>#REF!/$M$4</f>
        <v>#REF!</v>
      </c>
      <c r="N75" s="80" t="e">
        <f>#REF!/137.96</f>
        <v>#REF!</v>
      </c>
      <c r="O75" s="56"/>
      <c r="P75" s="95"/>
      <c r="Q75" s="112"/>
      <c r="R75" s="84"/>
    </row>
    <row r="76" spans="3:17" ht="19.5" customHeight="1">
      <c r="C76" s="32"/>
      <c r="F76" s="104"/>
      <c r="G76" s="50">
        <f t="shared" si="2"/>
        <v>0</v>
      </c>
      <c r="H76" s="71">
        <f t="shared" si="3"/>
        <v>0</v>
      </c>
      <c r="K76" s="80">
        <v>0</v>
      </c>
      <c r="M76" s="80" t="e">
        <f>#REF!/$M$4</f>
        <v>#REF!</v>
      </c>
      <c r="N76" s="80" t="e">
        <f>#REF!/137.96</f>
        <v>#REF!</v>
      </c>
      <c r="O76" s="56"/>
      <c r="P76" s="95"/>
      <c r="Q76" s="94"/>
    </row>
    <row r="77" spans="3:17" ht="19.5" customHeight="1">
      <c r="C77" s="32"/>
      <c r="D77" s="120" t="s">
        <v>104</v>
      </c>
      <c r="F77" s="104" t="s">
        <v>161</v>
      </c>
      <c r="G77" s="50">
        <f t="shared" si="2"/>
        <v>0</v>
      </c>
      <c r="H77" s="71">
        <f t="shared" si="3"/>
        <v>0</v>
      </c>
      <c r="M77" s="80" t="e">
        <f>#REF!/$M$4</f>
        <v>#REF!</v>
      </c>
      <c r="N77" s="80" t="e">
        <f>#REF!/137.96</f>
        <v>#REF!</v>
      </c>
      <c r="O77" s="56"/>
      <c r="P77" s="95"/>
      <c r="Q77" s="94"/>
    </row>
    <row r="78" spans="3:17" ht="19.5" customHeight="1">
      <c r="C78" s="32"/>
      <c r="D78" s="59" t="s">
        <v>105</v>
      </c>
      <c r="F78" s="104" t="s">
        <v>167</v>
      </c>
      <c r="G78" s="50">
        <f t="shared" si="2"/>
        <v>0</v>
      </c>
      <c r="H78" s="71">
        <f t="shared" si="3"/>
        <v>0</v>
      </c>
      <c r="K78" s="80">
        <v>0</v>
      </c>
      <c r="M78" s="80" t="e">
        <f>#REF!/$M$4</f>
        <v>#REF!</v>
      </c>
      <c r="N78" s="80" t="e">
        <f>#REF!/137.96</f>
        <v>#REF!</v>
      </c>
      <c r="O78" s="56"/>
      <c r="P78" s="95"/>
      <c r="Q78" s="94"/>
    </row>
    <row r="79" spans="3:17" ht="19.5" customHeight="1">
      <c r="C79" s="32"/>
      <c r="D79" s="32" t="s">
        <v>126</v>
      </c>
      <c r="F79" s="104" t="s">
        <v>168</v>
      </c>
      <c r="G79" s="50">
        <v>-47</v>
      </c>
      <c r="H79" s="71">
        <f t="shared" si="3"/>
        <v>0</v>
      </c>
      <c r="I79" s="102"/>
      <c r="J79" s="102"/>
      <c r="K79" s="102">
        <v>0</v>
      </c>
      <c r="L79" s="102"/>
      <c r="M79" s="102" t="e">
        <f>'ardh-shpenz'!H26-'BK'!M55</f>
        <v>#REF!</v>
      </c>
      <c r="N79" s="80">
        <v>6361</v>
      </c>
      <c r="O79" s="56"/>
      <c r="P79" s="95"/>
      <c r="Q79" s="94"/>
    </row>
    <row r="80" spans="3:18" ht="19.5" customHeight="1" thickBot="1">
      <c r="C80" s="32"/>
      <c r="D80" s="121" t="s">
        <v>106</v>
      </c>
      <c r="F80" s="108" t="s">
        <v>169</v>
      </c>
      <c r="G80" s="126">
        <f>SUM(G68:G79)</f>
        <v>2481826.4940181957</v>
      </c>
      <c r="H80" s="133">
        <f t="shared" si="3"/>
        <v>2464480.8392715757</v>
      </c>
      <c r="J80" s="80" t="s">
        <v>51</v>
      </c>
      <c r="K80" s="119">
        <v>346444721.03000003</v>
      </c>
      <c r="L80" s="119">
        <f>SUM(L66:L78)</f>
        <v>342390323</v>
      </c>
      <c r="M80" s="102" t="e">
        <f>#REF!/$M$4</f>
        <v>#REF!</v>
      </c>
      <c r="N80" s="89" t="e">
        <f>#REF!/137.96</f>
        <v>#REF!</v>
      </c>
      <c r="O80" s="56"/>
      <c r="P80" s="95"/>
      <c r="Q80" s="94"/>
      <c r="R80" s="91"/>
    </row>
    <row r="81" spans="3:13" ht="19.5" customHeight="1" thickTop="1">
      <c r="C81" s="32"/>
      <c r="F81" s="104"/>
      <c r="G81" s="50">
        <f t="shared" si="2"/>
        <v>0</v>
      </c>
      <c r="H81" s="71">
        <f t="shared" si="3"/>
        <v>0</v>
      </c>
      <c r="K81" s="80">
        <v>0</v>
      </c>
      <c r="M81" s="80" t="e">
        <f>#REF!/$M$4</f>
        <v>#REF!</v>
      </c>
    </row>
    <row r="82" spans="3:17" ht="9" customHeight="1">
      <c r="C82" s="32"/>
      <c r="F82" s="104"/>
      <c r="G82" s="50">
        <f t="shared" si="2"/>
        <v>0</v>
      </c>
      <c r="H82" s="71">
        <f t="shared" si="3"/>
        <v>0</v>
      </c>
      <c r="K82" s="80">
        <v>0</v>
      </c>
      <c r="M82" s="80" t="e">
        <f>#REF!/$M$4</f>
        <v>#REF!</v>
      </c>
      <c r="O82" s="56"/>
      <c r="P82" s="95"/>
      <c r="Q82" s="100"/>
    </row>
    <row r="83" spans="3:19" ht="19.5" customHeight="1">
      <c r="C83" s="32"/>
      <c r="D83" s="127" t="s">
        <v>229</v>
      </c>
      <c r="F83" s="108" t="s">
        <v>170</v>
      </c>
      <c r="G83" s="50">
        <f t="shared" si="2"/>
        <v>4292733.337130167</v>
      </c>
      <c r="H83" s="71">
        <f t="shared" si="3"/>
        <v>4277855.646728568</v>
      </c>
      <c r="J83" s="80">
        <v>4</v>
      </c>
      <c r="K83" s="100">
        <v>599222646.53</v>
      </c>
      <c r="L83" s="100">
        <f>+L56+L64+L80+L79</f>
        <v>594322485</v>
      </c>
      <c r="M83" s="80" t="e">
        <f>#REF!/$M$4</f>
        <v>#REF!</v>
      </c>
      <c r="N83" s="80" t="e">
        <f>#REF!/137.96</f>
        <v>#REF!</v>
      </c>
      <c r="O83" s="95"/>
      <c r="P83" s="95"/>
      <c r="Q83" s="128"/>
      <c r="R83" s="91"/>
      <c r="S83" s="45"/>
    </row>
    <row r="84" spans="6:17" ht="19.5" customHeight="1">
      <c r="F84" s="104"/>
      <c r="G84" s="129"/>
      <c r="O84" s="56"/>
      <c r="P84" s="95"/>
      <c r="Q84" s="100"/>
    </row>
    <row r="85" spans="6:17" ht="19.5" customHeight="1">
      <c r="F85" s="91" t="s">
        <v>204</v>
      </c>
      <c r="G85" s="91"/>
      <c r="I85" s="80" t="s">
        <v>208</v>
      </c>
      <c r="K85" s="40" t="s">
        <v>236</v>
      </c>
      <c r="O85" s="56"/>
      <c r="P85" s="95"/>
      <c r="Q85" s="100"/>
    </row>
    <row r="86" spans="6:17" ht="19.5" customHeight="1">
      <c r="F86" s="91" t="s">
        <v>206</v>
      </c>
      <c r="G86" s="91"/>
      <c r="I86" s="80" t="s">
        <v>209</v>
      </c>
      <c r="K86" s="40" t="s">
        <v>207</v>
      </c>
      <c r="O86" s="56"/>
      <c r="P86" s="95"/>
      <c r="Q86" s="100"/>
    </row>
    <row r="87" spans="15:17" ht="19.5" customHeight="1">
      <c r="O87" s="56"/>
      <c r="P87" s="95"/>
      <c r="Q87" s="100"/>
    </row>
    <row r="88" ht="19.5" customHeight="1">
      <c r="R88" s="56"/>
    </row>
    <row r="91" ht="19.5" customHeight="1">
      <c r="Q91" s="100"/>
    </row>
  </sheetData>
  <sheetProtection/>
  <mergeCells count="1">
    <mergeCell ref="C2:D2"/>
  </mergeCells>
  <printOptions/>
  <pageMargins left="1.3" right="0.21" top="0.4" bottom="0.36" header="0.26" footer="0.1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C25">
      <selection activeCell="K36" sqref="K36"/>
    </sheetView>
  </sheetViews>
  <sheetFormatPr defaultColWidth="9.140625" defaultRowHeight="24.75" customHeight="1"/>
  <cols>
    <col min="1" max="1" width="13.57421875" style="34" hidden="1" customWidth="1"/>
    <col min="2" max="2" width="0.13671875" style="34" customWidth="1"/>
    <col min="3" max="3" width="59.140625" style="34" customWidth="1"/>
    <col min="4" max="4" width="9.8515625" style="33" bestFit="1" customWidth="1"/>
    <col min="5" max="5" width="0.2890625" style="33" customWidth="1"/>
    <col min="6" max="6" width="26.140625" style="33" hidden="1" customWidth="1"/>
    <col min="7" max="7" width="20.7109375" style="66" bestFit="1" customWidth="1"/>
    <col min="8" max="8" width="0.13671875" style="33" customWidth="1"/>
    <col min="9" max="9" width="18.28125" style="34" bestFit="1" customWidth="1"/>
    <col min="10" max="10" width="10.140625" style="34" bestFit="1" customWidth="1"/>
    <col min="11" max="16384" width="9.140625" style="34" customWidth="1"/>
  </cols>
  <sheetData>
    <row r="1" spans="1:3" ht="24.75" customHeight="1">
      <c r="A1" s="35" t="s">
        <v>53</v>
      </c>
      <c r="B1" s="32"/>
      <c r="C1" s="32" t="s">
        <v>202</v>
      </c>
    </row>
    <row r="2" spans="1:9" ht="24.75" customHeight="1">
      <c r="A2" s="41" t="s">
        <v>186</v>
      </c>
      <c r="C2" s="146" t="s">
        <v>230</v>
      </c>
      <c r="D2" s="146"/>
      <c r="E2" s="146"/>
      <c r="F2" s="146"/>
      <c r="G2" s="146"/>
      <c r="H2" s="146"/>
      <c r="I2" s="146"/>
    </row>
    <row r="3" spans="1:9" ht="24.75" customHeight="1">
      <c r="A3" s="41" t="s">
        <v>125</v>
      </c>
      <c r="C3" s="35"/>
      <c r="D3" s="74"/>
      <c r="E3" s="74"/>
      <c r="F3" s="74"/>
      <c r="G3" s="75"/>
      <c r="H3" s="74"/>
      <c r="I3" s="35"/>
    </row>
    <row r="4" spans="4:9" ht="24.75" customHeight="1" thickBot="1">
      <c r="D4" s="33" t="s">
        <v>46</v>
      </c>
      <c r="E4" s="42" t="s">
        <v>223</v>
      </c>
      <c r="F4" s="42" t="s">
        <v>199</v>
      </c>
      <c r="G4" s="67" t="s">
        <v>221</v>
      </c>
      <c r="H4" s="42" t="s">
        <v>185</v>
      </c>
      <c r="I4" s="42" t="s">
        <v>220</v>
      </c>
    </row>
    <row r="5" ht="24.75" customHeight="1" thickTop="1"/>
    <row r="6" spans="1:9" ht="24.75" customHeight="1">
      <c r="A6" s="32"/>
      <c r="B6" s="61" t="s">
        <v>112</v>
      </c>
      <c r="C6" s="32" t="s">
        <v>172</v>
      </c>
      <c r="D6" s="33" t="s">
        <v>57</v>
      </c>
      <c r="E6" s="81">
        <f>G6/139.05</f>
        <v>4530420.879252067</v>
      </c>
      <c r="F6" s="65">
        <f>I6/140.34</f>
        <v>9306138.648995297</v>
      </c>
      <c r="G6" s="66">
        <v>629955023.26</v>
      </c>
      <c r="H6" s="43">
        <v>1126953880</v>
      </c>
      <c r="I6" s="66">
        <v>1306023498</v>
      </c>
    </row>
    <row r="7" spans="1:9" ht="24.75" customHeight="1">
      <c r="A7" s="32"/>
      <c r="B7" s="35" t="s">
        <v>59</v>
      </c>
      <c r="C7" s="32" t="s">
        <v>197</v>
      </c>
      <c r="D7" s="33" t="s">
        <v>235</v>
      </c>
      <c r="E7" s="81">
        <f aca="true" t="shared" si="0" ref="E7:E26">G7/139.05</f>
        <v>5917.562028047464</v>
      </c>
      <c r="F7" s="65">
        <f aca="true" t="shared" si="1" ref="F7:F26">I7/140.34</f>
        <v>30959.59099330198</v>
      </c>
      <c r="G7" s="66">
        <v>822837</v>
      </c>
      <c r="H7" s="43">
        <v>4101438</v>
      </c>
      <c r="I7" s="66">
        <v>4344869</v>
      </c>
    </row>
    <row r="8" spans="1:9" ht="24.75" customHeight="1">
      <c r="A8" s="32"/>
      <c r="B8" s="61" t="s">
        <v>113</v>
      </c>
      <c r="C8" s="32" t="s">
        <v>173</v>
      </c>
      <c r="D8" s="33" t="s">
        <v>58</v>
      </c>
      <c r="E8" s="81">
        <f t="shared" si="0"/>
        <v>289373.8046026609</v>
      </c>
      <c r="F8" s="65">
        <f t="shared" si="1"/>
        <v>414011.27974918054</v>
      </c>
      <c r="G8" s="66">
        <v>40237427.53</v>
      </c>
      <c r="H8" s="43">
        <v>60036216</v>
      </c>
      <c r="I8" s="66">
        <v>58102343</v>
      </c>
    </row>
    <row r="9" spans="1:9" ht="24.75" customHeight="1">
      <c r="A9" s="32"/>
      <c r="B9" s="61" t="s">
        <v>114</v>
      </c>
      <c r="C9" s="60" t="s">
        <v>174</v>
      </c>
      <c r="E9" s="81">
        <f t="shared" si="0"/>
        <v>0</v>
      </c>
      <c r="F9" s="65">
        <f t="shared" si="1"/>
        <v>0</v>
      </c>
      <c r="G9" s="66">
        <v>0</v>
      </c>
      <c r="H9" s="43">
        <f aca="true" t="shared" si="2" ref="H9:H25">I9/137.8</f>
        <v>0</v>
      </c>
      <c r="I9" s="66"/>
    </row>
    <row r="10" spans="1:9" ht="24.75" customHeight="1">
      <c r="A10" s="32"/>
      <c r="B10" s="46" t="s">
        <v>28</v>
      </c>
      <c r="C10" s="60" t="s">
        <v>28</v>
      </c>
      <c r="E10" s="81">
        <f t="shared" si="0"/>
        <v>0</v>
      </c>
      <c r="F10" s="65">
        <f t="shared" si="1"/>
        <v>0</v>
      </c>
      <c r="G10" s="66">
        <v>0</v>
      </c>
      <c r="H10" s="43">
        <f t="shared" si="2"/>
        <v>0</v>
      </c>
      <c r="I10" s="66"/>
    </row>
    <row r="11" spans="1:10" ht="24.75" customHeight="1">
      <c r="A11" s="32"/>
      <c r="B11" s="61" t="s">
        <v>115</v>
      </c>
      <c r="C11" s="32" t="s">
        <v>175</v>
      </c>
      <c r="D11" s="33">
        <v>9</v>
      </c>
      <c r="E11" s="81">
        <f t="shared" si="0"/>
        <v>-3803708.016972312</v>
      </c>
      <c r="F11" s="65">
        <f t="shared" si="1"/>
        <v>-7933397.7340743905</v>
      </c>
      <c r="G11" s="66">
        <v>-528905599.76</v>
      </c>
      <c r="H11" s="43">
        <f t="shared" si="2"/>
        <v>-8079630.174165457</v>
      </c>
      <c r="I11" s="78">
        <v>-1113373038</v>
      </c>
      <c r="J11" s="32"/>
    </row>
    <row r="12" spans="1:9" ht="24.75" customHeight="1">
      <c r="A12" s="32"/>
      <c r="B12" s="61" t="s">
        <v>116</v>
      </c>
      <c r="C12" s="32" t="s">
        <v>176</v>
      </c>
      <c r="D12" s="33">
        <v>10</v>
      </c>
      <c r="E12" s="81">
        <f t="shared" si="0"/>
        <v>-460134.12513484346</v>
      </c>
      <c r="F12" s="65">
        <f t="shared" si="1"/>
        <v>-602539.1976628188</v>
      </c>
      <c r="G12" s="66">
        <v>-63981650.09999999</v>
      </c>
      <c r="H12" s="43">
        <f t="shared" si="2"/>
        <v>-613645.5079825834</v>
      </c>
      <c r="I12" s="78">
        <v>-84560351</v>
      </c>
    </row>
    <row r="13" spans="1:9" ht="24.75" customHeight="1">
      <c r="A13" s="32"/>
      <c r="B13" s="61" t="s">
        <v>117</v>
      </c>
      <c r="C13" s="32" t="s">
        <v>177</v>
      </c>
      <c r="D13" s="33">
        <v>11</v>
      </c>
      <c r="E13" s="81">
        <f t="shared" si="0"/>
        <v>-216641.91154261056</v>
      </c>
      <c r="F13" s="65">
        <f t="shared" si="1"/>
        <v>-216547.9050876443</v>
      </c>
      <c r="G13" s="66">
        <v>-30124057.8</v>
      </c>
      <c r="H13" s="43">
        <f t="shared" si="2"/>
        <v>-220539.42670537008</v>
      </c>
      <c r="I13" s="78">
        <v>-30390333</v>
      </c>
    </row>
    <row r="14" spans="1:9" ht="24.75" customHeight="1">
      <c r="A14" s="32"/>
      <c r="B14" s="61" t="s">
        <v>118</v>
      </c>
      <c r="C14" s="32" t="s">
        <v>178</v>
      </c>
      <c r="E14" s="81">
        <f t="shared" si="0"/>
        <v>-122964.25530384752</v>
      </c>
      <c r="F14" s="65">
        <f t="shared" si="1"/>
        <v>-218002.4654410717</v>
      </c>
      <c r="G14" s="66">
        <v>-17098179.7</v>
      </c>
      <c r="H14" s="43">
        <f t="shared" si="2"/>
        <v>-222020.7982583454</v>
      </c>
      <c r="I14" s="78">
        <v>-30594466</v>
      </c>
    </row>
    <row r="15" spans="1:9" s="32" customFormat="1" ht="24.75" customHeight="1" thickBot="1">
      <c r="A15" s="144" t="s">
        <v>119</v>
      </c>
      <c r="B15" s="145"/>
      <c r="D15" s="47"/>
      <c r="E15" s="82">
        <f t="shared" si="0"/>
        <v>222263.936929162</v>
      </c>
      <c r="F15" s="68">
        <f t="shared" si="1"/>
        <v>780622.2174718541</v>
      </c>
      <c r="G15" s="48">
        <v>30905800.42999998</v>
      </c>
      <c r="H15" s="48">
        <f>SUM(H6:H14)</f>
        <v>1181955698.0928884</v>
      </c>
      <c r="I15" s="48">
        <f>SUM(I6:I14)</f>
        <v>109552522</v>
      </c>
    </row>
    <row r="16" spans="2:9" s="32" customFormat="1" ht="24.75" customHeight="1" thickTop="1">
      <c r="B16" s="49"/>
      <c r="C16" s="49"/>
      <c r="D16" s="47"/>
      <c r="E16" s="81">
        <f t="shared" si="0"/>
        <v>0</v>
      </c>
      <c r="F16" s="65">
        <f t="shared" si="1"/>
        <v>0</v>
      </c>
      <c r="G16" s="66">
        <v>0</v>
      </c>
      <c r="H16" s="43">
        <f t="shared" si="2"/>
        <v>0</v>
      </c>
      <c r="I16" s="50"/>
    </row>
    <row r="17" spans="4:9" s="32" customFormat="1" ht="24.75" customHeight="1">
      <c r="D17" s="47"/>
      <c r="E17" s="81">
        <f t="shared" si="0"/>
        <v>0</v>
      </c>
      <c r="F17" s="65">
        <f t="shared" si="1"/>
        <v>0</v>
      </c>
      <c r="G17" s="66">
        <v>0</v>
      </c>
      <c r="H17" s="43">
        <f t="shared" si="2"/>
        <v>0</v>
      </c>
      <c r="I17" s="50"/>
    </row>
    <row r="18" spans="2:9" ht="24.75" customHeight="1">
      <c r="B18" s="51" t="s">
        <v>121</v>
      </c>
      <c r="C18" s="46" t="s">
        <v>179</v>
      </c>
      <c r="E18" s="81">
        <f t="shared" si="0"/>
        <v>0</v>
      </c>
      <c r="F18" s="65">
        <f t="shared" si="1"/>
        <v>0</v>
      </c>
      <c r="G18" s="66">
        <v>0</v>
      </c>
      <c r="H18" s="43">
        <f t="shared" si="2"/>
        <v>0</v>
      </c>
      <c r="I18" s="44"/>
    </row>
    <row r="19" spans="2:9" ht="24.75" customHeight="1">
      <c r="B19" s="52" t="s">
        <v>120</v>
      </c>
      <c r="C19" s="46" t="s">
        <v>180</v>
      </c>
      <c r="E19" s="81">
        <f t="shared" si="0"/>
        <v>0</v>
      </c>
      <c r="F19" s="65">
        <f t="shared" si="1"/>
        <v>0</v>
      </c>
      <c r="G19" s="66">
        <v>0</v>
      </c>
      <c r="H19" s="43">
        <f t="shared" si="2"/>
        <v>0</v>
      </c>
      <c r="I19" s="53"/>
    </row>
    <row r="20" spans="2:9" ht="24.75" customHeight="1">
      <c r="B20" s="51" t="s">
        <v>122</v>
      </c>
      <c r="C20" s="34" t="s">
        <v>181</v>
      </c>
      <c r="D20" s="33">
        <v>12</v>
      </c>
      <c r="E20" s="81">
        <f t="shared" si="0"/>
        <v>-206841.99323984174</v>
      </c>
      <c r="F20" s="65">
        <f t="shared" si="1"/>
        <v>-209069.43138093202</v>
      </c>
      <c r="G20" s="66">
        <v>-28761379.159999996</v>
      </c>
      <c r="H20" s="43">
        <f t="shared" si="2"/>
        <v>-212923.10595065312</v>
      </c>
      <c r="I20" s="76">
        <v>-29340804</v>
      </c>
    </row>
    <row r="21" spans="5:10" ht="24.75" customHeight="1">
      <c r="E21" s="81">
        <f t="shared" si="0"/>
        <v>0</v>
      </c>
      <c r="F21" s="65">
        <f t="shared" si="1"/>
        <v>0</v>
      </c>
      <c r="G21" s="66">
        <v>0</v>
      </c>
      <c r="H21" s="43">
        <f t="shared" si="2"/>
        <v>0</v>
      </c>
      <c r="I21" s="44"/>
      <c r="J21" s="45"/>
    </row>
    <row r="22" spans="2:10" s="32" customFormat="1" ht="36" customHeight="1" thickBot="1">
      <c r="B22" s="63"/>
      <c r="C22" s="54" t="s">
        <v>182</v>
      </c>
      <c r="D22" s="55"/>
      <c r="E22" s="82">
        <f t="shared" si="0"/>
        <v>15421.943689320276</v>
      </c>
      <c r="F22" s="68">
        <f t="shared" si="1"/>
        <v>571552.7860909221</v>
      </c>
      <c r="G22" s="48">
        <v>2144421.2699999847</v>
      </c>
      <c r="H22" s="48">
        <f>SUM(H15:H21)</f>
        <v>1181742774.9869378</v>
      </c>
      <c r="I22" s="48">
        <f>SUM(I15:I21)</f>
        <v>80211718</v>
      </c>
      <c r="J22" s="57"/>
    </row>
    <row r="23" spans="2:9" s="32" customFormat="1" ht="24.75" customHeight="1" thickTop="1">
      <c r="B23" s="49"/>
      <c r="C23" s="49"/>
      <c r="D23" s="55"/>
      <c r="E23" s="81">
        <f t="shared" si="0"/>
        <v>0</v>
      </c>
      <c r="F23" s="65">
        <f t="shared" si="1"/>
        <v>0</v>
      </c>
      <c r="G23" s="66">
        <v>0</v>
      </c>
      <c r="H23" s="43">
        <f t="shared" si="2"/>
        <v>0</v>
      </c>
      <c r="I23" s="50"/>
    </row>
    <row r="24" spans="2:10" s="32" customFormat="1" ht="33.75" customHeight="1">
      <c r="B24" s="62" t="s">
        <v>123</v>
      </c>
      <c r="C24" s="49" t="s">
        <v>183</v>
      </c>
      <c r="D24" s="55"/>
      <c r="E24" s="81">
        <f t="shared" si="0"/>
        <v>-3323.1787126932754</v>
      </c>
      <c r="F24" s="65">
        <f t="shared" si="1"/>
        <v>-67824.59740629898</v>
      </c>
      <c r="G24" s="66">
        <v>-462088</v>
      </c>
      <c r="H24" s="43">
        <f t="shared" si="2"/>
        <v>-69074.77503628447</v>
      </c>
      <c r="I24" s="77">
        <f>-(9518504)</f>
        <v>-9518504</v>
      </c>
      <c r="J24" s="56"/>
    </row>
    <row r="25" spans="2:9" s="32" customFormat="1" ht="24.75" customHeight="1">
      <c r="B25" s="49"/>
      <c r="C25" s="49"/>
      <c r="D25" s="55"/>
      <c r="E25" s="81">
        <f t="shared" si="0"/>
        <v>0</v>
      </c>
      <c r="F25" s="65">
        <f t="shared" si="1"/>
        <v>0</v>
      </c>
      <c r="G25" s="66">
        <v>0</v>
      </c>
      <c r="H25" s="43">
        <f t="shared" si="2"/>
        <v>0</v>
      </c>
      <c r="I25" s="50"/>
    </row>
    <row r="26" spans="2:9" s="32" customFormat="1" ht="24.75" customHeight="1" thickBot="1">
      <c r="B26" s="64" t="s">
        <v>124</v>
      </c>
      <c r="C26" s="54" t="s">
        <v>184</v>
      </c>
      <c r="D26" s="47">
        <v>13</v>
      </c>
      <c r="E26" s="82">
        <f t="shared" si="0"/>
        <v>12098.764976627</v>
      </c>
      <c r="F26" s="68">
        <f t="shared" si="1"/>
        <v>503728.18868462305</v>
      </c>
      <c r="G26" s="48">
        <v>1682333.2699999847</v>
      </c>
      <c r="H26" s="48">
        <f>SUM(H22:H25)</f>
        <v>1181673700.2119014</v>
      </c>
      <c r="I26" s="48">
        <f>SUM(I22:I25)</f>
        <v>70693214</v>
      </c>
    </row>
    <row r="27" spans="8:9" ht="24.75" customHeight="1" thickTop="1">
      <c r="H27" s="43"/>
      <c r="I27" s="58"/>
    </row>
    <row r="28" spans="3:8" ht="24.75" customHeight="1">
      <c r="C28" s="34" t="s">
        <v>204</v>
      </c>
      <c r="F28" s="33" t="s">
        <v>205</v>
      </c>
      <c r="G28" s="40" t="s">
        <v>236</v>
      </c>
      <c r="H28" s="40"/>
    </row>
    <row r="29" spans="3:8" ht="24.75" customHeight="1">
      <c r="C29" s="34" t="s">
        <v>206</v>
      </c>
      <c r="F29" s="33" t="s">
        <v>207</v>
      </c>
      <c r="G29" s="40" t="s">
        <v>207</v>
      </c>
      <c r="H29" s="40"/>
    </row>
    <row r="30" ht="24.75" customHeight="1">
      <c r="I30" s="45"/>
    </row>
    <row r="31" ht="24.75" customHeight="1">
      <c r="I31" s="58"/>
    </row>
  </sheetData>
  <sheetProtection/>
  <mergeCells count="2">
    <mergeCell ref="A15:B15"/>
    <mergeCell ref="C2:I2"/>
  </mergeCells>
  <printOptions/>
  <pageMargins left="0.5" right="0.2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34">
      <selection activeCell="G46" sqref="G46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11.421875" style="1" customWidth="1"/>
    <col min="4" max="4" width="11.57421875" style="14" customWidth="1"/>
    <col min="5" max="5" width="3.7109375" style="13" customWidth="1"/>
    <col min="6" max="6" width="9.140625" style="1" customWidth="1"/>
    <col min="7" max="7" width="9.57421875" style="1" bestFit="1" customWidth="1"/>
    <col min="8" max="16384" width="9.140625" style="1" customWidth="1"/>
  </cols>
  <sheetData>
    <row r="1" spans="1:5" s="2" customFormat="1" ht="15.75">
      <c r="A1" s="27" t="s">
        <v>54</v>
      </c>
      <c r="B1" s="30"/>
      <c r="D1" s="16"/>
      <c r="E1" s="12"/>
    </row>
    <row r="2" spans="1:5" s="2" customFormat="1" ht="15">
      <c r="A2" s="29" t="s">
        <v>10</v>
      </c>
      <c r="D2" s="16"/>
      <c r="E2" s="12"/>
    </row>
    <row r="3" spans="1:5" s="2" customFormat="1" ht="12.75">
      <c r="A3" s="9" t="s">
        <v>231</v>
      </c>
      <c r="D3" s="16"/>
      <c r="E3" s="12"/>
    </row>
    <row r="4" spans="1:5" s="2" customFormat="1" ht="16.5">
      <c r="A4" s="28" t="s">
        <v>44</v>
      </c>
      <c r="C4" s="6"/>
      <c r="D4" s="23"/>
      <c r="E4" s="12"/>
    </row>
    <row r="5" spans="2:5" s="2" customFormat="1" ht="13.5" thickBot="1">
      <c r="B5" s="6"/>
      <c r="C5" s="136" t="s">
        <v>222</v>
      </c>
      <c r="D5" s="73" t="s">
        <v>203</v>
      </c>
      <c r="E5" s="12"/>
    </row>
    <row r="6" spans="1:5" s="2" customFormat="1" ht="13.5" thickTop="1">
      <c r="A6" s="3" t="s">
        <v>11</v>
      </c>
      <c r="C6" s="6"/>
      <c r="D6" s="23"/>
      <c r="E6" s="12"/>
    </row>
    <row r="7" spans="2:5" s="2" customFormat="1" ht="12.75">
      <c r="B7" s="2" t="s">
        <v>12</v>
      </c>
      <c r="C7" s="23">
        <f>'ardh-shpenz'!G22</f>
        <v>2144421.2699999847</v>
      </c>
      <c r="D7" s="23">
        <f>'ardh-shpenz'!I22</f>
        <v>80211718</v>
      </c>
      <c r="E7" s="12"/>
    </row>
    <row r="8" spans="2:5" s="2" customFormat="1" ht="12.75">
      <c r="B8" s="2" t="s">
        <v>13</v>
      </c>
      <c r="C8" s="6"/>
      <c r="D8" s="23"/>
      <c r="E8" s="12"/>
    </row>
    <row r="9" spans="2:5" s="2" customFormat="1" ht="12.75">
      <c r="B9" s="2" t="s">
        <v>14</v>
      </c>
      <c r="C9" s="23">
        <f>-'ardh-shpenz'!G14</f>
        <v>17098179.7</v>
      </c>
      <c r="D9" s="23">
        <f>-'ardh-shpenz'!I14</f>
        <v>30594466</v>
      </c>
      <c r="E9" s="12"/>
    </row>
    <row r="10" spans="2:5" s="2" customFormat="1" ht="12.75">
      <c r="B10" s="2" t="s">
        <v>61</v>
      </c>
      <c r="C10" s="6"/>
      <c r="D10" s="23"/>
      <c r="E10" s="12"/>
    </row>
    <row r="11" spans="2:5" s="2" customFormat="1" ht="12.75">
      <c r="B11" s="2" t="s">
        <v>15</v>
      </c>
      <c r="C11" s="6"/>
      <c r="D11" s="23"/>
      <c r="E11" s="12"/>
    </row>
    <row r="12" spans="2:5" s="2" customFormat="1" ht="12.75">
      <c r="B12" s="2" t="s">
        <v>16</v>
      </c>
      <c r="C12" s="6"/>
      <c r="D12" s="23"/>
      <c r="E12" s="12"/>
    </row>
    <row r="13" spans="2:5" s="2" customFormat="1" ht="12.75">
      <c r="B13" s="6"/>
      <c r="C13" s="6"/>
      <c r="D13" s="23"/>
      <c r="E13" s="12"/>
    </row>
    <row r="14" spans="2:5" s="2" customFormat="1" ht="25.5">
      <c r="B14" s="4" t="s">
        <v>29</v>
      </c>
      <c r="C14" s="137">
        <f>'BK'!L29-'BK'!K29+'BK'!L38-'BK'!K38</f>
        <v>-15128720.889999978</v>
      </c>
      <c r="D14" s="137">
        <v>-53946547</v>
      </c>
      <c r="E14" s="11"/>
    </row>
    <row r="15" spans="4:5" s="2" customFormat="1" ht="12.75">
      <c r="D15" s="16"/>
      <c r="E15" s="11"/>
    </row>
    <row r="16" spans="2:5" s="2" customFormat="1" ht="12.75">
      <c r="B16" s="2" t="s">
        <v>17</v>
      </c>
      <c r="C16" s="16">
        <f>'BK'!L22-'BK'!K22</f>
        <v>-19390915.359999955</v>
      </c>
      <c r="D16" s="138">
        <v>-71942132</v>
      </c>
      <c r="E16" s="11"/>
    </row>
    <row r="17" spans="2:8" s="2" customFormat="1" ht="12.75">
      <c r="B17" s="2" t="s">
        <v>47</v>
      </c>
      <c r="C17" s="16">
        <f>'BK'!K80-'BK'!L80-'cash-flow'!C20+'ardh-shpenz'!G24</f>
        <v>7626925.030000031</v>
      </c>
      <c r="D17" s="16">
        <v>2978898</v>
      </c>
      <c r="E17" s="11"/>
      <c r="G17" s="10"/>
      <c r="H17" s="19"/>
    </row>
    <row r="18" spans="2:5" s="2" customFormat="1" ht="12.75">
      <c r="B18" s="3" t="s">
        <v>18</v>
      </c>
      <c r="C18" s="37">
        <f>SUM(C7:C17)</f>
        <v>-7650110.249999918</v>
      </c>
      <c r="D18" s="37">
        <f>SUM(D7:D17)</f>
        <v>-12103597</v>
      </c>
      <c r="E18" s="11"/>
    </row>
    <row r="19" spans="2:5" s="2" customFormat="1" ht="12.75" customHeight="1">
      <c r="B19" s="2" t="s">
        <v>1</v>
      </c>
      <c r="D19" s="16"/>
      <c r="E19" s="11"/>
    </row>
    <row r="20" spans="2:7" s="2" customFormat="1" ht="12.75" customHeight="1">
      <c r="B20" s="2" t="s">
        <v>2</v>
      </c>
      <c r="C20" s="16">
        <v>-4034615</v>
      </c>
      <c r="D20" s="16">
        <v>-12022356</v>
      </c>
      <c r="E20" s="11"/>
      <c r="G20" s="10"/>
    </row>
    <row r="21" spans="4:5" s="2" customFormat="1" ht="12.75">
      <c r="D21" s="16"/>
      <c r="E21" s="11"/>
    </row>
    <row r="22" spans="1:5" s="2" customFormat="1" ht="12.75">
      <c r="A22" s="7" t="s">
        <v>3</v>
      </c>
      <c r="C22" s="36">
        <f>C18+C19+C20</f>
        <v>-11684725.249999918</v>
      </c>
      <c r="D22" s="36">
        <f>D18+D19+D20</f>
        <v>-24125953</v>
      </c>
      <c r="E22" s="12">
        <f>E18+E19+E20</f>
        <v>0</v>
      </c>
    </row>
    <row r="23" spans="1:5" s="2" customFormat="1" ht="12.75">
      <c r="A23" s="7"/>
      <c r="D23" s="16"/>
      <c r="E23" s="11"/>
    </row>
    <row r="24" spans="2:5" s="2" customFormat="1" ht="12.75">
      <c r="B24" s="2" t="s">
        <v>19</v>
      </c>
      <c r="D24" s="16"/>
      <c r="E24" s="11"/>
    </row>
    <row r="25" spans="2:5" s="2" customFormat="1" ht="12.75">
      <c r="B25" s="2" t="s">
        <v>43</v>
      </c>
      <c r="C25" s="10">
        <f>-'BK'!K8+'BK'!L8+'ardh-shpenz'!G14</f>
        <v>-1347764.7500000112</v>
      </c>
      <c r="D25" s="16">
        <v>-11245867</v>
      </c>
      <c r="E25" s="11"/>
    </row>
    <row r="26" spans="2:5" s="2" customFormat="1" ht="12.75">
      <c r="B26" s="2" t="s">
        <v>20</v>
      </c>
      <c r="D26" s="16"/>
      <c r="E26" s="11"/>
    </row>
    <row r="27" spans="2:5" s="2" customFormat="1" ht="12.75" customHeight="1">
      <c r="B27" s="2" t="s">
        <v>4</v>
      </c>
      <c r="D27" s="16"/>
      <c r="E27" s="11"/>
    </row>
    <row r="28" spans="2:5" s="2" customFormat="1" ht="12.75" customHeight="1">
      <c r="B28" s="2" t="s">
        <v>5</v>
      </c>
      <c r="D28" s="16"/>
      <c r="E28" s="11"/>
    </row>
    <row r="29" spans="2:5" s="2" customFormat="1" ht="12.75">
      <c r="B29" s="6"/>
      <c r="C29" s="6"/>
      <c r="D29" s="23"/>
      <c r="E29" s="11"/>
    </row>
    <row r="30" spans="2:5" s="2" customFormat="1" ht="12.75">
      <c r="B30" s="8" t="s">
        <v>30</v>
      </c>
      <c r="C30" s="38">
        <f>SUM(C24:C29)</f>
        <v>-1347764.7500000112</v>
      </c>
      <c r="D30" s="38">
        <f>SUM(D24:D29)</f>
        <v>-11245867</v>
      </c>
      <c r="E30" s="11"/>
    </row>
    <row r="31" spans="2:5" s="2" customFormat="1" ht="12.75">
      <c r="B31" s="6"/>
      <c r="C31" s="6"/>
      <c r="D31" s="23"/>
      <c r="E31" s="11"/>
    </row>
    <row r="32" spans="2:5" s="2" customFormat="1" ht="12.75">
      <c r="B32" s="2" t="s">
        <v>32</v>
      </c>
      <c r="D32" s="16"/>
      <c r="E32" s="11"/>
    </row>
    <row r="33" spans="2:5" s="2" customFormat="1" ht="12.75">
      <c r="B33" s="2" t="s">
        <v>6</v>
      </c>
      <c r="D33" s="16"/>
      <c r="E33" s="11"/>
    </row>
    <row r="34" spans="2:5" s="2" customFormat="1" ht="12.75">
      <c r="B34" s="2" t="s">
        <v>21</v>
      </c>
      <c r="C34" s="16">
        <f>'BK'!K64-'BK'!L64</f>
        <v>-836568.9199999869</v>
      </c>
      <c r="D34" s="16">
        <v>-43719363</v>
      </c>
      <c r="E34" s="11"/>
    </row>
    <row r="35" spans="2:5" s="2" customFormat="1" ht="12.75">
      <c r="B35" s="2" t="s">
        <v>7</v>
      </c>
      <c r="D35" s="16"/>
      <c r="E35" s="11"/>
    </row>
    <row r="36" spans="2:5" s="2" customFormat="1" ht="12.75" customHeight="1">
      <c r="B36" s="2" t="s">
        <v>22</v>
      </c>
      <c r="D36" s="16"/>
      <c r="E36" s="11"/>
    </row>
    <row r="37" spans="2:5" s="2" customFormat="1" ht="12.75">
      <c r="B37" s="6" t="s">
        <v>60</v>
      </c>
      <c r="C37" s="6"/>
      <c r="D37" s="23"/>
      <c r="E37" s="11"/>
    </row>
    <row r="38" spans="2:5" s="2" customFormat="1" ht="12.75">
      <c r="B38" s="8" t="s">
        <v>48</v>
      </c>
      <c r="C38" s="38">
        <f>SUM(C32:C37)</f>
        <v>-836568.9199999869</v>
      </c>
      <c r="D38" s="38">
        <f>SUM(D32:D37)</f>
        <v>-43719363</v>
      </c>
      <c r="E38" s="11"/>
    </row>
    <row r="39" spans="2:5" s="2" customFormat="1" ht="12.75">
      <c r="B39" s="6"/>
      <c r="C39" s="6"/>
      <c r="D39" s="23"/>
      <c r="E39" s="11"/>
    </row>
    <row r="40" spans="2:5" s="2" customFormat="1" ht="12.75">
      <c r="B40" s="7" t="s">
        <v>8</v>
      </c>
      <c r="C40" s="17">
        <f>C18+C19+C20+C30+C38</f>
        <v>-13869058.919999916</v>
      </c>
      <c r="D40" s="17">
        <f>D18+D19+D20+D30+D38</f>
        <v>-79091183</v>
      </c>
      <c r="E40" s="11"/>
    </row>
    <row r="41" spans="4:6" s="2" customFormat="1" ht="12.75">
      <c r="D41" s="16"/>
      <c r="E41" s="11"/>
      <c r="F41" s="10"/>
    </row>
    <row r="42" spans="2:6" s="2" customFormat="1" ht="12.75">
      <c r="B42" s="7" t="s">
        <v>31</v>
      </c>
      <c r="C42" s="10">
        <f>D43</f>
        <v>21432291</v>
      </c>
      <c r="D42" s="16">
        <v>100523472</v>
      </c>
      <c r="E42" s="12"/>
      <c r="F42" s="10"/>
    </row>
    <row r="43" spans="2:6" s="2" customFormat="1" ht="12.75">
      <c r="B43" s="7" t="s">
        <v>9</v>
      </c>
      <c r="C43" s="10">
        <v>7563232</v>
      </c>
      <c r="D43" s="12">
        <f>+'BK'!L31</f>
        <v>21432291</v>
      </c>
      <c r="E43" s="12"/>
      <c r="F43" s="10"/>
    </row>
    <row r="44" spans="4:6" s="2" customFormat="1" ht="12.75">
      <c r="D44" s="16"/>
      <c r="E44" s="12"/>
      <c r="F44" s="10"/>
    </row>
    <row r="45" spans="3:5" s="2" customFormat="1" ht="12.75">
      <c r="C45" s="10"/>
      <c r="D45" s="16"/>
      <c r="E45" s="12"/>
    </row>
    <row r="47" spans="2:4" ht="12.75">
      <c r="B47" s="1" t="s">
        <v>204</v>
      </c>
      <c r="D47" s="14" t="s">
        <v>205</v>
      </c>
    </row>
    <row r="48" spans="2:4" ht="12.75">
      <c r="B48" s="1" t="s">
        <v>206</v>
      </c>
      <c r="D48" s="14" t="s">
        <v>207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9">
      <selection activeCell="J29" sqref="J29"/>
    </sheetView>
  </sheetViews>
  <sheetFormatPr defaultColWidth="9.140625" defaultRowHeight="12.75"/>
  <cols>
    <col min="1" max="1" width="18.57421875" style="1" customWidth="1"/>
    <col min="2" max="2" width="14.00390625" style="15" customWidth="1"/>
    <col min="3" max="3" width="6.140625" style="15" customWidth="1"/>
    <col min="4" max="4" width="12.57421875" style="15" customWidth="1"/>
    <col min="5" max="5" width="6.57421875" style="15" customWidth="1"/>
    <col min="6" max="6" width="12.57421875" style="15" customWidth="1"/>
    <col min="7" max="7" width="7.57421875" style="15" customWidth="1"/>
    <col min="8" max="8" width="12.140625" style="15" customWidth="1"/>
    <col min="9" max="9" width="12.57421875" style="15" customWidth="1"/>
    <col min="10" max="16384" width="12.57421875" style="1" customWidth="1"/>
  </cols>
  <sheetData>
    <row r="1" spans="1:2" ht="15.75">
      <c r="A1" s="27" t="s">
        <v>54</v>
      </c>
      <c r="B1" s="30"/>
    </row>
    <row r="2" ht="16.5">
      <c r="A2" s="28" t="s">
        <v>216</v>
      </c>
    </row>
    <row r="3" spans="1:2" ht="16.5">
      <c r="A3" s="28" t="s">
        <v>44</v>
      </c>
      <c r="B3" s="39"/>
    </row>
    <row r="4" spans="2:9" s="2" customFormat="1" ht="12.75">
      <c r="B4" s="18"/>
      <c r="C4" s="18"/>
      <c r="D4" s="18"/>
      <c r="E4" s="18"/>
      <c r="F4" s="18"/>
      <c r="G4" s="18"/>
      <c r="H4" s="18"/>
      <c r="I4" s="19"/>
    </row>
    <row r="5" spans="1:9" s="2" customFormat="1" ht="38.25">
      <c r="A5" s="6"/>
      <c r="B5" s="20" t="s">
        <v>210</v>
      </c>
      <c r="C5" s="20"/>
      <c r="D5" s="20" t="s">
        <v>211</v>
      </c>
      <c r="E5" s="20"/>
      <c r="F5" s="20" t="s">
        <v>212</v>
      </c>
      <c r="G5" s="20"/>
      <c r="H5" s="20" t="s">
        <v>213</v>
      </c>
      <c r="I5" s="19"/>
    </row>
    <row r="6" spans="1:9" s="2" customFormat="1" ht="25.5">
      <c r="A6" s="5" t="s">
        <v>217</v>
      </c>
      <c r="B6" s="21"/>
      <c r="C6" s="22"/>
      <c r="D6" s="21"/>
      <c r="E6" s="22"/>
      <c r="F6" s="21" t="s">
        <v>214</v>
      </c>
      <c r="G6" s="22"/>
      <c r="H6" s="21"/>
      <c r="I6" s="19"/>
    </row>
    <row r="7" spans="1:9" s="2" customFormat="1" ht="12.75">
      <c r="A7" s="5"/>
      <c r="B7" s="22">
        <v>22012000</v>
      </c>
      <c r="C7" s="22"/>
      <c r="D7" s="22">
        <v>20000</v>
      </c>
      <c r="E7" s="22"/>
      <c r="F7" s="22">
        <v>66164883</v>
      </c>
      <c r="G7" s="22"/>
      <c r="H7" s="21">
        <f aca="true" t="shared" si="0" ref="H7:H12">B7+D7+F7</f>
        <v>88196883</v>
      </c>
      <c r="I7" s="19"/>
    </row>
    <row r="8" spans="1:9" s="2" customFormat="1" ht="25.5">
      <c r="A8" s="6" t="s">
        <v>33</v>
      </c>
      <c r="B8" s="23"/>
      <c r="C8" s="23"/>
      <c r="D8" s="23"/>
      <c r="E8" s="23"/>
      <c r="F8" s="22"/>
      <c r="G8" s="22"/>
      <c r="H8" s="21">
        <f t="shared" si="0"/>
        <v>0</v>
      </c>
      <c r="I8" s="19"/>
    </row>
    <row r="9" spans="1:9" s="2" customFormat="1" ht="12.75">
      <c r="A9" s="6" t="s">
        <v>34</v>
      </c>
      <c r="B9" s="22"/>
      <c r="C9" s="22"/>
      <c r="D9" s="22"/>
      <c r="E9" s="22"/>
      <c r="F9" s="22"/>
      <c r="G9" s="22"/>
      <c r="H9" s="21">
        <f t="shared" si="0"/>
        <v>0</v>
      </c>
      <c r="I9" s="19"/>
    </row>
    <row r="10" spans="1:9" s="2" customFormat="1" ht="25.5">
      <c r="A10" s="6" t="s">
        <v>35</v>
      </c>
      <c r="B10" s="23"/>
      <c r="C10" s="23"/>
      <c r="D10" s="23"/>
      <c r="E10" s="23"/>
      <c r="F10" s="22">
        <v>70693214.17</v>
      </c>
      <c r="G10" s="22"/>
      <c r="H10" s="21">
        <f t="shared" si="0"/>
        <v>70693214.17</v>
      </c>
      <c r="I10" s="19"/>
    </row>
    <row r="11" spans="1:9" s="2" customFormat="1" ht="12.75">
      <c r="A11" s="6" t="s">
        <v>22</v>
      </c>
      <c r="B11" s="23"/>
      <c r="C11" s="23"/>
      <c r="D11" s="23"/>
      <c r="E11" s="23"/>
      <c r="F11" s="22"/>
      <c r="G11" s="22"/>
      <c r="H11" s="21">
        <f t="shared" si="0"/>
        <v>0</v>
      </c>
      <c r="I11" s="19"/>
    </row>
    <row r="12" spans="1:9" s="2" customFormat="1" ht="25.5">
      <c r="A12" s="6" t="s">
        <v>36</v>
      </c>
      <c r="B12" s="23"/>
      <c r="C12" s="23"/>
      <c r="D12" s="22"/>
      <c r="E12" s="22"/>
      <c r="F12" s="22"/>
      <c r="G12" s="22"/>
      <c r="H12" s="21">
        <f t="shared" si="0"/>
        <v>0</v>
      </c>
      <c r="I12" s="19"/>
    </row>
    <row r="13" spans="1:9" s="2" customFormat="1" ht="12.75">
      <c r="A13" s="6"/>
      <c r="B13" s="22"/>
      <c r="C13" s="23"/>
      <c r="D13" s="23"/>
      <c r="E13" s="23"/>
      <c r="F13" s="23"/>
      <c r="G13" s="23"/>
      <c r="H13" s="22">
        <f>+F13</f>
        <v>0</v>
      </c>
      <c r="I13" s="19"/>
    </row>
    <row r="14" spans="1:9" s="2" customFormat="1" ht="11.25" customHeight="1">
      <c r="A14" s="6"/>
      <c r="B14" s="23"/>
      <c r="C14" s="23"/>
      <c r="D14" s="23"/>
      <c r="E14" s="23"/>
      <c r="F14" s="23"/>
      <c r="G14" s="23"/>
      <c r="H14" s="23"/>
      <c r="I14" s="19"/>
    </row>
    <row r="15" spans="1:9" s="2" customFormat="1" ht="26.25" thickBot="1">
      <c r="A15" s="5" t="s">
        <v>218</v>
      </c>
      <c r="B15" s="24">
        <f>SUM(B6:B14)</f>
        <v>22012000</v>
      </c>
      <c r="C15" s="22"/>
      <c r="D15" s="24">
        <f>SUM(D6:D14)</f>
        <v>20000</v>
      </c>
      <c r="E15" s="22"/>
      <c r="F15" s="24">
        <f>SUM(F6:F14)</f>
        <v>136858097.17000002</v>
      </c>
      <c r="G15" s="22"/>
      <c r="H15" s="24">
        <f>SUM(H6:H14)</f>
        <v>158890097.17000002</v>
      </c>
      <c r="I15" s="19"/>
    </row>
    <row r="16" spans="1:9" s="2" customFormat="1" ht="26.25" thickTop="1">
      <c r="A16" s="6" t="s">
        <v>33</v>
      </c>
      <c r="B16" s="22"/>
      <c r="C16" s="22"/>
      <c r="D16" s="22"/>
      <c r="E16" s="22"/>
      <c r="F16" s="22"/>
      <c r="G16" s="22"/>
      <c r="H16" s="22"/>
      <c r="I16" s="19"/>
    </row>
    <row r="17" spans="1:9" s="2" customFormat="1" ht="12.75">
      <c r="A17" s="6" t="s">
        <v>34</v>
      </c>
      <c r="B17" s="22"/>
      <c r="C17" s="16"/>
      <c r="D17" s="22"/>
      <c r="E17" s="16"/>
      <c r="F17" s="15"/>
      <c r="G17" s="22"/>
      <c r="H17" s="22">
        <f>+F17</f>
        <v>0</v>
      </c>
      <c r="I17" s="19"/>
    </row>
    <row r="18" spans="1:9" s="2" customFormat="1" ht="25.5">
      <c r="A18" s="6" t="s">
        <v>35</v>
      </c>
      <c r="B18" s="22"/>
      <c r="C18" s="23"/>
      <c r="D18" s="22"/>
      <c r="E18" s="23"/>
      <c r="F18" s="15">
        <f>'BK'!K55</f>
        <v>1682332.16</v>
      </c>
      <c r="G18" s="15"/>
      <c r="H18" s="15">
        <f>SUM(B18:G18)</f>
        <v>1682332.16</v>
      </c>
      <c r="I18" s="19"/>
    </row>
    <row r="19" spans="1:9" s="2" customFormat="1" ht="12.75">
      <c r="A19" s="6" t="s">
        <v>22</v>
      </c>
      <c r="B19" s="22"/>
      <c r="C19" s="23"/>
      <c r="D19" s="22"/>
      <c r="E19" s="23"/>
      <c r="F19" s="22"/>
      <c r="G19" s="23"/>
      <c r="H19" s="22">
        <f>+F19+D19</f>
        <v>0</v>
      </c>
      <c r="I19" s="19"/>
    </row>
    <row r="20" spans="1:9" s="2" customFormat="1" ht="25.5">
      <c r="A20" s="6" t="s">
        <v>36</v>
      </c>
      <c r="B20" s="22">
        <f>131133000</f>
        <v>131133000</v>
      </c>
      <c r="C20" s="22"/>
      <c r="D20" s="22">
        <f>2191200+3533214+684.26</f>
        <v>5725098.26</v>
      </c>
      <c r="E20" s="23"/>
      <c r="F20" s="22">
        <v>-136858098</v>
      </c>
      <c r="G20" s="23"/>
      <c r="H20" s="22">
        <f>+F20+D20+B20</f>
        <v>0.26000000536441803</v>
      </c>
      <c r="I20" s="19"/>
    </row>
    <row r="21" spans="1:9" s="2" customFormat="1" ht="12.75">
      <c r="A21" s="6"/>
      <c r="B21" s="23"/>
      <c r="C21" s="23"/>
      <c r="D21" s="23"/>
      <c r="E21" s="23"/>
      <c r="F21" s="23"/>
      <c r="G21" s="23"/>
      <c r="H21" s="23"/>
      <c r="I21" s="19"/>
    </row>
    <row r="22" spans="1:9" s="2" customFormat="1" ht="26.25" thickBot="1">
      <c r="A22" s="5" t="s">
        <v>219</v>
      </c>
      <c r="B22" s="25">
        <f>SUM(B15:B21)</f>
        <v>153145000</v>
      </c>
      <c r="C22" s="22"/>
      <c r="D22" s="25">
        <f>SUM(D15:D21)</f>
        <v>5745098.26</v>
      </c>
      <c r="E22" s="22"/>
      <c r="F22" s="25">
        <f>SUM(F15:F21)</f>
        <v>1682331.330000013</v>
      </c>
      <c r="G22" s="26"/>
      <c r="H22" s="25">
        <f>B22+D22+F22</f>
        <v>160572429.59</v>
      </c>
      <c r="I22" s="19"/>
    </row>
    <row r="23" spans="1:9" s="2" customFormat="1" ht="13.5" thickTop="1">
      <c r="A23" s="6"/>
      <c r="B23" s="20"/>
      <c r="C23" s="20"/>
      <c r="D23" s="20"/>
      <c r="E23" s="20"/>
      <c r="F23" s="20"/>
      <c r="G23" s="20"/>
      <c r="H23" s="20"/>
      <c r="I23" s="19"/>
    </row>
    <row r="26" spans="1:3" ht="12.75">
      <c r="A26" s="1" t="s">
        <v>204</v>
      </c>
      <c r="B26" s="141"/>
      <c r="C26" s="142" t="s">
        <v>236</v>
      </c>
    </row>
    <row r="27" spans="1:3" ht="12.75">
      <c r="A27" s="1" t="s">
        <v>206</v>
      </c>
      <c r="B27" s="141"/>
      <c r="C27" s="142" t="s">
        <v>207</v>
      </c>
    </row>
    <row r="28" spans="1:3" ht="12.75">
      <c r="A28" s="31"/>
      <c r="B28" s="31"/>
      <c r="C28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edilalit</cp:lastModifiedBy>
  <cp:lastPrinted>2013-03-22T08:11:58Z</cp:lastPrinted>
  <dcterms:created xsi:type="dcterms:W3CDTF">2008-12-17T10:29:05Z</dcterms:created>
  <dcterms:modified xsi:type="dcterms:W3CDTF">2013-07-31T10:03:12Z</dcterms:modified>
  <cp:category/>
  <cp:version/>
  <cp:contentType/>
  <cp:contentStatus/>
</cp:coreProperties>
</file>