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5640" firstSheet="7" activeTab="7"/>
  </bookViews>
  <sheets>
    <sheet name="BK" sheetId="1" r:id="rId1"/>
    <sheet name="ardh-shpenz" sheetId="2" r:id="rId2"/>
    <sheet name="cash-flow" sheetId="3" r:id="rId3"/>
    <sheet name="kap veta" sheetId="4" r:id="rId4"/>
    <sheet name="AQ" sheetId="5" r:id="rId5"/>
    <sheet name="AKTIVET AFAT GKJATA MATERIALE" sheetId="6" r:id="rId6"/>
    <sheet name="ANEKS STATIST PASQYRA 1+2" sheetId="7" r:id="rId7"/>
    <sheet name="PASQYRA3" sheetId="8" r:id="rId8"/>
    <sheet name="sigurimet pagat" sheetId="9" r:id="rId9"/>
    <sheet name="fdp2013" sheetId="10" r:id="rId10"/>
    <sheet name="llogaritja e tatim fitimit" sheetId="11" r:id="rId11"/>
    <sheet name="te tjera" sheetId="12" r:id="rId12"/>
  </sheets>
  <definedNames>
    <definedName name="OLE_LINK2" localSheetId="11">'te tjera'!#REF!</definedName>
  </definedNames>
  <calcPr fullCalcOnLoad="1"/>
</workbook>
</file>

<file path=xl/sharedStrings.xml><?xml version="1.0" encoding="utf-8"?>
<sst xmlns="http://schemas.openxmlformats.org/spreadsheetml/2006/main" count="844" uniqueCount="583">
  <si>
    <t>Totali</t>
  </si>
  <si>
    <t>Rezerva te tjera</t>
  </si>
  <si>
    <t>Interesi i paguar</t>
  </si>
  <si>
    <t>Tatimfitimi i paguar</t>
  </si>
  <si>
    <t>Fluksi i parave nga veprimtarite investuese</t>
  </si>
  <si>
    <t>Interesi i arketuar</t>
  </si>
  <si>
    <t>Dividendet e arketuar</t>
  </si>
  <si>
    <t>Te ardhura nga emetimi i kapitalit aksionar</t>
  </si>
  <si>
    <t>Pagesat e detyrimeve te qirase financiare</t>
  </si>
  <si>
    <t>Rritja/renia neto e mjeteve monetare</t>
  </si>
  <si>
    <t>Mjetet monetare ne fund te periudhes kontabel</t>
  </si>
  <si>
    <t>Pasqyra e fluksit te parave - Metoda indirekte</t>
  </si>
  <si>
    <t>Fluksi i parave nga veprimtarite e shfrvtezimit</t>
  </si>
  <si>
    <t>Fitimi para tatimit</t>
  </si>
  <si>
    <t>RreguIIime per:</t>
  </si>
  <si>
    <t>Amortizimin</t>
  </si>
  <si>
    <t>Te ardhura nga investimet</t>
  </si>
  <si>
    <t>Shpenzime per interesa</t>
  </si>
  <si>
    <t>Rritie/renie ne tepricen inventarit</t>
  </si>
  <si>
    <t>Parate e perftuara nga aktivitetet</t>
  </si>
  <si>
    <t>Bleria e shoqerise se kontrolluar X minus parate e arketuara</t>
  </si>
  <si>
    <t>Te ardhura nga shitja e paiisjeve</t>
  </si>
  <si>
    <t>Te ardhura nga huamarrie afatgjata</t>
  </si>
  <si>
    <t>Dividendet e paguar</t>
  </si>
  <si>
    <t>Kapitali</t>
  </si>
  <si>
    <t>Te pagueshme ndaj furnitoreve</t>
  </si>
  <si>
    <t>Parapagime te arketuara</t>
  </si>
  <si>
    <t>Rezerva Ligjore</t>
  </si>
  <si>
    <t>Fitime te pa shperndara</t>
  </si>
  <si>
    <t>Puna e kryer nga njesia ekonomike raportuese per qellimet e veta dhe e kapitalizuar</t>
  </si>
  <si>
    <t>Rritje/renie ne tepricen e kerkesave te arketueshme nga aktiviteti, si dhe kerkesave te arketueshme te tjera</t>
  </si>
  <si>
    <t>Paraja neto, e perdorur ne aktivitetet investuese</t>
  </si>
  <si>
    <t>Mjetet monetare ne tilIim te periudhes kontabel</t>
  </si>
  <si>
    <t>Fluksi i parave nga veprimtarite financiare</t>
  </si>
  <si>
    <t>Efekti i ndryshimeve ne politikat kontabel</t>
  </si>
  <si>
    <t>Pozicioni i rregulluar</t>
  </si>
  <si>
    <t>Fitimi neto per periudhen kontabel</t>
  </si>
  <si>
    <t>Rritje e rezerves se kapitalit</t>
  </si>
  <si>
    <t>Investime financiare  te vlefshme per shitje</t>
  </si>
  <si>
    <t>Total aktive afatgjate</t>
  </si>
  <si>
    <t>Total Iventari</t>
  </si>
  <si>
    <t>Total aktive te tjera afatshkurtet</t>
  </si>
  <si>
    <t xml:space="preserve">Fit/humbja e vitit </t>
  </si>
  <si>
    <t>Te pagueshme ndaj punonjesve</t>
  </si>
  <si>
    <t>Blerja e aktiveve afatgjata materiale</t>
  </si>
  <si>
    <t>Inventar Ekonomik</t>
  </si>
  <si>
    <t>Aktive te Trupezuara</t>
  </si>
  <si>
    <t xml:space="preserve">Shtesa </t>
  </si>
  <si>
    <t>Pakesime</t>
  </si>
  <si>
    <t>Amortizimi</t>
  </si>
  <si>
    <t>Shtesa llogaritur</t>
  </si>
  <si>
    <t>(shumat ne Leke)</t>
  </si>
  <si>
    <t>Te pagueshme ndaj taksave</t>
  </si>
  <si>
    <t>shenime</t>
  </si>
  <si>
    <t>Rritje/renie ne tepricen e detyrimeve, per t'u paguar nga aktiviteti</t>
  </si>
  <si>
    <t>Paraja neto e verdorur ne aktivitetet financiare</t>
  </si>
  <si>
    <t>5c</t>
  </si>
  <si>
    <t>5b</t>
  </si>
  <si>
    <t>7a</t>
  </si>
  <si>
    <t>7b</t>
  </si>
  <si>
    <t xml:space="preserve"> Shoqeria  "Albanian Motor Company"  sh p k </t>
  </si>
  <si>
    <t xml:space="preserve"> Shoqeria  "Albanian Motor Company"   sh p k </t>
  </si>
  <si>
    <t>Ndryshime ne politika kontabel</t>
  </si>
  <si>
    <t>Periudha</t>
  </si>
  <si>
    <t>paga  baze</t>
  </si>
  <si>
    <t xml:space="preserve">tatim te ardhura </t>
  </si>
  <si>
    <t>paga neto</t>
  </si>
  <si>
    <t>total sigurimet</t>
  </si>
  <si>
    <t xml:space="preserve">Mjete Transporti </t>
  </si>
  <si>
    <t>Ndertesa punime shtese</t>
  </si>
  <si>
    <t>7c</t>
  </si>
  <si>
    <t>7d</t>
  </si>
  <si>
    <t>8.a</t>
  </si>
  <si>
    <t>8.b</t>
  </si>
  <si>
    <t>shitjet neto perfshire 2007 ndryshim politikash</t>
  </si>
  <si>
    <t>ilje fitimi + ndryshim politikash</t>
  </si>
  <si>
    <t>humbje ngsa kembimet valutore</t>
  </si>
  <si>
    <t>5a1</t>
  </si>
  <si>
    <t>5a2</t>
  </si>
  <si>
    <t>AKTIVET</t>
  </si>
  <si>
    <t>%</t>
  </si>
  <si>
    <t>Shtator</t>
  </si>
  <si>
    <t>Tetor</t>
  </si>
  <si>
    <t>ASSETS</t>
  </si>
  <si>
    <t>Properety, Plant&amp;Equipment</t>
  </si>
  <si>
    <t>Inventories</t>
  </si>
  <si>
    <t>Profit/loss from Year</t>
  </si>
  <si>
    <t>Profit/loss from  the previous Year</t>
  </si>
  <si>
    <t>Share Kapital</t>
  </si>
  <si>
    <t>Share premium</t>
  </si>
  <si>
    <t>raw materials</t>
  </si>
  <si>
    <t>in process produce</t>
  </si>
  <si>
    <t>End - Products</t>
  </si>
  <si>
    <t>wares for resales (-devolution)</t>
  </si>
  <si>
    <t>providing prepayments</t>
  </si>
  <si>
    <t xml:space="preserve">Short -terms </t>
  </si>
  <si>
    <t>Accouts/Credit requests - devaluation</t>
  </si>
  <si>
    <t xml:space="preserve">Accouts/other credit requests </t>
  </si>
  <si>
    <t xml:space="preserve">Other indebted instruments  </t>
  </si>
  <si>
    <t>Other financial instruments</t>
  </si>
  <si>
    <t>long-term financial investemts</t>
  </si>
  <si>
    <t>Immaterial long-term assets</t>
  </si>
  <si>
    <t>Monetary elements</t>
  </si>
  <si>
    <t>financial derivations and assets for trade holding</t>
  </si>
  <si>
    <t xml:space="preserve">prepayments and delayed expenses </t>
  </si>
  <si>
    <t>Short-term activities holded for sale</t>
  </si>
  <si>
    <t>SHORT-TERM ASSETS TOTAL 1</t>
  </si>
  <si>
    <t>ASSETS TOTAL I+II</t>
  </si>
  <si>
    <t>Total    Monetary elements</t>
  </si>
  <si>
    <t>Long-term assets</t>
  </si>
  <si>
    <t xml:space="preserve">LONG-TERM OBLIGATIONS TOTAL </t>
  </si>
  <si>
    <t>Long-term loans</t>
  </si>
  <si>
    <t>Long-term provisions</t>
  </si>
  <si>
    <t xml:space="preserve"> delayed incomes</t>
  </si>
  <si>
    <t>Other long-term borrowings</t>
  </si>
  <si>
    <t>SHORT-TERM OBLIGATIONS</t>
  </si>
  <si>
    <t>Borrowings</t>
  </si>
  <si>
    <t>payed by suppliers</t>
  </si>
  <si>
    <t>Payed by employees</t>
  </si>
  <si>
    <t>Taxing obligations</t>
  </si>
  <si>
    <t>Other loans (dividenti )</t>
  </si>
  <si>
    <t>Credit prepayments</t>
  </si>
  <si>
    <t>Grands and delayed incomes</t>
  </si>
  <si>
    <t>Short-term provisions</t>
  </si>
  <si>
    <t xml:space="preserve">SHORT-TERM OBLIGATIONS TOTAL </t>
  </si>
  <si>
    <t>Legal rezerve</t>
  </si>
  <si>
    <t>Statute reserve</t>
  </si>
  <si>
    <t>2009  EURO</t>
  </si>
  <si>
    <t xml:space="preserve">PASIVES AND KAPITAL </t>
  </si>
  <si>
    <t>CAPITAL</t>
  </si>
  <si>
    <t>Net sales</t>
  </si>
  <si>
    <t>Other incomes from utilization activity</t>
  </si>
  <si>
    <t>changes in the PG and PP inventory</t>
  </si>
  <si>
    <t>Wares, raw materials for services</t>
  </si>
  <si>
    <t>Other expenses from utilization activity</t>
  </si>
  <si>
    <t xml:space="preserve">Personnel salary </t>
  </si>
  <si>
    <t xml:space="preserve">Amortizations and devaluations </t>
  </si>
  <si>
    <t>Profit (loss)  from utilization activity</t>
  </si>
  <si>
    <t>control units</t>
  </si>
  <si>
    <t>Financial incomes and expenses from  control unit</t>
  </si>
  <si>
    <t>Incomes and expenses from interest andfrom course changings</t>
  </si>
  <si>
    <t xml:space="preserve">10% taxing over profits expenses </t>
  </si>
  <si>
    <t>Net profit (loss) of financial year</t>
  </si>
  <si>
    <t>Incomes and expenses 2010</t>
  </si>
  <si>
    <t>Total</t>
  </si>
  <si>
    <t>suspended positive excange rates</t>
  </si>
  <si>
    <t>Other long-term   borrowing ( Dalewest- Iner )</t>
  </si>
  <si>
    <t xml:space="preserve"> "Albanian Motor Company"   sh p k </t>
  </si>
  <si>
    <t>AKTlVET</t>
  </si>
  <si>
    <t>Aktivet afatgjata</t>
  </si>
  <si>
    <t>Aktive afatgjata materiale</t>
  </si>
  <si>
    <t>Aktivet afatgjata jomateriale</t>
  </si>
  <si>
    <t>Investimet financiare afatgjata</t>
  </si>
  <si>
    <t>Aktivet afatshkurtra</t>
  </si>
  <si>
    <t>Inventari</t>
  </si>
  <si>
    <t>Prodhim ne proces</t>
  </si>
  <si>
    <t>Produkte te Ratshme</t>
  </si>
  <si>
    <t>Mallra per rishitje</t>
  </si>
  <si>
    <t>Parapagesat per furnizime</t>
  </si>
  <si>
    <t>Aktive te tjera financiare afatshkurtra</t>
  </si>
  <si>
    <t>Llogari / Kerkesa te arketueshme</t>
  </si>
  <si>
    <t>Llogari/Kerkesa te tjera te arketueshme</t>
  </si>
  <si>
    <t>lnstrumente te tjera borxhi</t>
  </si>
  <si>
    <t>lnvestime te tjera financiare</t>
  </si>
  <si>
    <t>Mjete monetare</t>
  </si>
  <si>
    <t>Derivative dhe aktive financiare te mbajtura per tregtim</t>
  </si>
  <si>
    <t>Total mjete monetare</t>
  </si>
  <si>
    <t>Diferenca konvertimi Aktive</t>
  </si>
  <si>
    <t>Aktivet afatshkurtra te mbajtura per shitje</t>
  </si>
  <si>
    <t>Parapagimet dhe shpenzimet e shtyra</t>
  </si>
  <si>
    <t>Aktivet totale afatshkurtra</t>
  </si>
  <si>
    <t>TOTALl I AKTIVEVE</t>
  </si>
  <si>
    <t xml:space="preserve">P ASIVET DHE KAPIT ALl </t>
  </si>
  <si>
    <t>KAPITALI</t>
  </si>
  <si>
    <t>Prime te lidhura me Kapitalin</t>
  </si>
  <si>
    <t>Rezerva Statutore</t>
  </si>
  <si>
    <t>Pasivet Afatgjata</t>
  </si>
  <si>
    <t>Hua Afatgjata</t>
  </si>
  <si>
    <t>Huamarje te tjera Afatgjata</t>
  </si>
  <si>
    <t>Provizione Afatgjata</t>
  </si>
  <si>
    <t>Grande dhe te ardhura te shtyra</t>
  </si>
  <si>
    <t>Totali i pasiveve Afatgjata</t>
  </si>
  <si>
    <t>Huamarjet</t>
  </si>
  <si>
    <t>Huate dhe parapagimet</t>
  </si>
  <si>
    <t>Hua afatshkurter</t>
  </si>
  <si>
    <t>Kesti afatshklurter i huase afatgjate</t>
  </si>
  <si>
    <t>Provizionet afatshkurter</t>
  </si>
  <si>
    <t>Dif konv pasive</t>
  </si>
  <si>
    <t>Totali i pasiveve Afatshkurter</t>
  </si>
  <si>
    <t>TOTALl I PASIVEVE DHE KAPITALIT</t>
  </si>
  <si>
    <t>Other short -terms financial  assets</t>
  </si>
  <si>
    <t>Shitjet neto</t>
  </si>
  <si>
    <t>Te ardhura te tjera nga veprimtarite e shfrytezimit</t>
  </si>
  <si>
    <t>Ndryshimet ne inventarin e produkteve te gatshme dhe punes ne proces</t>
  </si>
  <si>
    <t>Mallrat, lendet e para dhe sherbimet</t>
  </si>
  <si>
    <t>Shpenzime te tjera nga veprimtarite e shfrytezimit</t>
  </si>
  <si>
    <t>Shpenzime te personelit</t>
  </si>
  <si>
    <t>Renia ne vlere (zhvleresimi) dhe amortizimi</t>
  </si>
  <si>
    <t>Te ardhurat dhe shpenzimet financiare nga njesite e kontrolluara</t>
  </si>
  <si>
    <t>Te ardhurat dhe shpenzimet financiare nga pjesmarrjet</t>
  </si>
  <si>
    <t>Te ardhurat dhe shpenzimet financiare</t>
  </si>
  <si>
    <t>Fitimi (humbja) para tatimit</t>
  </si>
  <si>
    <t>Shpenzimet e tatimit mbi fitimin</t>
  </si>
  <si>
    <t>Fitimi (humbja) neto e vitit financiar</t>
  </si>
  <si>
    <t>Viti 2010  Euro</t>
  </si>
  <si>
    <t>Llogaria te Ardhura &amp; Shpenzime per vitin e mbyllur me 31 Dhjetor 2010</t>
  </si>
  <si>
    <t>Ndalesa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</si>
  <si>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</si>
  <si>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</si>
  <si>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</si>
  <si>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</si>
  <si>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</si>
  <si>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</si>
  <si>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</si>
  <si>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</si>
  <si>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Nentor</t>
  </si>
  <si>
    <t>dhjetor</t>
  </si>
  <si>
    <t>2010 EURO</t>
  </si>
  <si>
    <t>5d</t>
  </si>
  <si>
    <t>7-a</t>
  </si>
  <si>
    <t>7-b</t>
  </si>
  <si>
    <t>Aktivet Afatgjata</t>
  </si>
  <si>
    <t>Aktivet afatshkurtera</t>
  </si>
  <si>
    <t>Aktive te tjera aftashkurtera</t>
  </si>
  <si>
    <t>PASIVET DHE KAPITALI</t>
  </si>
  <si>
    <t>Pasivet afatgjata</t>
  </si>
  <si>
    <t>Huamarrjet</t>
  </si>
  <si>
    <t>shitjet neto perfshire 2007 + 2009+2010ndryshim politikash</t>
  </si>
  <si>
    <t>2011 ALL</t>
  </si>
  <si>
    <t>VITI2011 Euro</t>
  </si>
  <si>
    <t>2011 euro</t>
  </si>
  <si>
    <t>balance Sheet 2011</t>
  </si>
  <si>
    <t xml:space="preserve">Shoqeria"Albanian Motor Company" shpk </t>
  </si>
  <si>
    <t>AKTIVET E QENDRUESHME  DHE AMORTIZIMI</t>
  </si>
  <si>
    <t>ADMINISTRATORI</t>
  </si>
  <si>
    <t xml:space="preserve"> EKONOMISTI </t>
  </si>
  <si>
    <t>(ILIA CILI)</t>
  </si>
  <si>
    <t>(ARETUZA KULECI)</t>
  </si>
  <si>
    <t xml:space="preserve">                  EKONOMISTI </t>
  </si>
  <si>
    <t xml:space="preserve">                              (ARETUZA KULECI)</t>
  </si>
  <si>
    <t xml:space="preserve"> Kapitali aksionar </t>
  </si>
  <si>
    <t xml:space="preserve"> Rezerva ligjore statutore </t>
  </si>
  <si>
    <t xml:space="preserve"> Fitimi i pashperndare </t>
  </si>
  <si>
    <t xml:space="preserve"> Totali </t>
  </si>
  <si>
    <t>pashperndare</t>
  </si>
  <si>
    <t>5a</t>
  </si>
  <si>
    <t>Viti2012 Leke</t>
  </si>
  <si>
    <t>Pasqyra  permbledhese e sigurimeve  2012</t>
  </si>
  <si>
    <t>tvsh per tu mare</t>
  </si>
  <si>
    <t xml:space="preserve">total </t>
  </si>
  <si>
    <t>TE PERJASHTUARA</t>
  </si>
  <si>
    <t>EKSPORTE</t>
  </si>
  <si>
    <t xml:space="preserve">VLEFTE  E TATUSHME </t>
  </si>
  <si>
    <t>TVSH SHITJE</t>
  </si>
  <si>
    <t>BLERJE PA TVSH</t>
  </si>
  <si>
    <t>IMPORTE</t>
  </si>
  <si>
    <t>TVSH</t>
  </si>
  <si>
    <t>BLERJE BREND</t>
  </si>
  <si>
    <t xml:space="preserve">TVSH </t>
  </si>
  <si>
    <t>TVSH KONTROLL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</si>
  <si>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</si>
  <si>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</si>
  <si>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</si>
  <si>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</si>
  <si>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</si>
  <si>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</si>
  <si>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</si>
  <si>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</si>
  <si>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</si>
  <si>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 xml:space="preserve">TETOR </t>
  </si>
  <si>
    <t>NENTOR</t>
  </si>
  <si>
    <t>PENALITET</t>
  </si>
  <si>
    <t>DHJETOR</t>
  </si>
  <si>
    <t>O</t>
  </si>
  <si>
    <t>financim stoku  165,204,383</t>
  </si>
  <si>
    <t>AUTOFATURAT</t>
  </si>
  <si>
    <t>tvsh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</si>
  <si>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</si>
  <si>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</si>
  <si>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</si>
  <si>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</si>
  <si>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</si>
  <si>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</si>
  <si>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</si>
  <si>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</si>
  <si>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</si>
  <si>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</si>
  <si>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SIPAS FDP  XHIRO E TATUSHME</t>
  </si>
  <si>
    <t>I zbriten auto faturimet</t>
  </si>
  <si>
    <t>rakordimi  I te Ardhurave</t>
  </si>
  <si>
    <t>I zbriten faturimet  e financimit stokut sipas  pasqyres me poshte</t>
  </si>
  <si>
    <t>Zbriten diferenc kurse parpagimet</t>
  </si>
  <si>
    <t>I shtohen parapagimet -31.12.2011</t>
  </si>
  <si>
    <t>Kesaj xhiro I zbriten parapagimet -31.12.2012</t>
  </si>
  <si>
    <t>te ardhura te perjashtuara  leasing vodaf + tuborg</t>
  </si>
  <si>
    <t>Parapagime -31.12.2012</t>
  </si>
  <si>
    <t>VITI 2012</t>
  </si>
  <si>
    <t>totali I te ardhurave  per 2012</t>
  </si>
  <si>
    <t>2012 EURO</t>
  </si>
  <si>
    <r>
      <t xml:space="preserve">2012  </t>
    </r>
    <r>
      <rPr>
        <b/>
        <i/>
        <sz val="14"/>
        <rFont val="Times New Roman"/>
        <family val="1"/>
      </rPr>
      <t xml:space="preserve">ALL </t>
    </r>
  </si>
  <si>
    <r>
      <t>Lendet e para</t>
    </r>
    <r>
      <rPr>
        <i/>
        <sz val="14"/>
        <rFont val="Times New Roman"/>
        <family val="1"/>
      </rPr>
      <t xml:space="preserve"> </t>
    </r>
  </si>
  <si>
    <r>
      <t>Returns</t>
    </r>
    <r>
      <rPr>
        <i/>
        <sz val="14"/>
        <rFont val="Arial"/>
        <family val="0"/>
      </rPr>
      <t>/Long-term loans repayments</t>
    </r>
  </si>
  <si>
    <r>
      <t>Te tjera detyrime    (</t>
    </r>
    <r>
      <rPr>
        <b/>
        <i/>
        <sz val="14"/>
        <rFont val="Times New Roman"/>
        <family val="1"/>
      </rPr>
      <t>dividenti</t>
    </r>
    <r>
      <rPr>
        <i/>
        <sz val="14"/>
        <rFont val="Times New Roman"/>
        <family val="1"/>
      </rPr>
      <t>)</t>
    </r>
  </si>
  <si>
    <r>
      <t>PASSIVES</t>
    </r>
    <r>
      <rPr>
        <b/>
        <sz val="14"/>
        <rFont val="Arial"/>
        <family val="0"/>
      </rPr>
      <t xml:space="preserve"> AND CAPITAL TOTAL </t>
    </r>
  </si>
  <si>
    <t>6a</t>
  </si>
  <si>
    <t>6b</t>
  </si>
  <si>
    <t>6c</t>
  </si>
  <si>
    <t>8c</t>
  </si>
  <si>
    <t>FINANCIERIA</t>
  </si>
  <si>
    <t>Shoqeria"Albanian Motor Company"_________</t>
  </si>
  <si>
    <t>NIPTI__K41829010I____________________</t>
  </si>
  <si>
    <t>Nr</t>
  </si>
  <si>
    <t>Emertimi</t>
  </si>
  <si>
    <t>Sasia</t>
  </si>
  <si>
    <t>Gjendje</t>
  </si>
  <si>
    <t>Shtesa</t>
  </si>
  <si>
    <t>Toka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</si>
  <si>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</si>
  <si>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</si>
  <si>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</si>
  <si>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</si>
  <si>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</si>
  <si>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</si>
  <si>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</si>
  <si>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Administratori</t>
  </si>
  <si>
    <t>SHOQERIA __ ALBANIAN MOTOR COMPANY__________________</t>
  </si>
  <si>
    <t>NIPT K418029010I_______________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</si>
  <si>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</si>
  <si>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</si>
  <si>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</si>
  <si>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</si>
  <si>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</si>
  <si>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</si>
  <si>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2012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</si>
  <si>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</si>
  <si>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</si>
  <si>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</si>
  <si>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</si>
  <si>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</si>
  <si>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</si>
  <si>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</si>
  <si>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</si>
  <si>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</si>
  <si>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</si>
  <si>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</si>
  <si>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</si>
  <si>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</si>
  <si>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</si>
  <si>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</si>
  <si>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</si>
  <si>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</si>
  <si>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</si>
  <si>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</si>
  <si>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>TE ardhura per tu shperndare nga leasingu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</si>
  <si>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</si>
  <si>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</si>
  <si>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</si>
  <si>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</si>
  <si>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</si>
  <si>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SHOQERIA ___ Albanina Motor company_________________</t>
  </si>
  <si>
    <t>NIPT __k41829010I_________________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</si>
  <si>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</si>
  <si>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</si>
  <si>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</si>
  <si>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</si>
  <si>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</si>
  <si>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</si>
  <si>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</si>
  <si>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</si>
  <si>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</si>
  <si>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</si>
  <si>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</si>
  <si>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</si>
  <si>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</si>
  <si>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 targim makina 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</si>
  <si>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</si>
  <si>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</si>
  <si>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</si>
  <si>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</si>
  <si>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</si>
  <si>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</si>
  <si>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 xml:space="preserve">sigurim </t>
  </si>
  <si>
    <t>suplementar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</si>
  <si>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</si>
  <si>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</si>
  <si>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</si>
  <si>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</si>
  <si>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</si>
  <si>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</si>
  <si>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</si>
  <si>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</si>
  <si>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</si>
  <si>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</si>
  <si>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</si>
  <si>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</si>
  <si>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blerje + Sherbime të tjera+ 652+656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</si>
  <si>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</si>
  <si>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</si>
  <si>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</si>
  <si>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</si>
  <si>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</si>
  <si>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</si>
  <si>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</si>
  <si>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</si>
  <si>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</si>
  <si>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</si>
  <si>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</si>
  <si>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</si>
  <si>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</si>
  <si>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</si>
  <si>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</si>
  <si>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</si>
  <si>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</si>
  <si>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</si>
  <si>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</si>
  <si>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</si>
  <si>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</si>
  <si>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</si>
  <si>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</si>
  <si>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</si>
  <si>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</si>
  <si>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</si>
  <si>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</si>
  <si>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</si>
  <si>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</si>
  <si>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SHOQERIA_____ALBANIAN MOTOR COMPANY____________</t>
  </si>
  <si>
    <t>NIPTI___K41829010I_________________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</si>
  <si>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</si>
  <si>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</si>
  <si>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</si>
  <si>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</si>
  <si>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</si>
  <si>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</si>
  <si>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</si>
  <si>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</si>
  <si>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</si>
  <si>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</si>
  <si>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</si>
  <si>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</si>
  <si>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I</t>
  </si>
  <si>
    <t>Totali i te ardhurave nga   tregtia</t>
  </si>
  <si>
    <t>Ndertim</t>
  </si>
  <si>
    <t xml:space="preserve">Ndertim banese </t>
  </si>
  <si>
    <t>Ndertim pune publike</t>
  </si>
  <si>
    <t>Ndertime te tjera</t>
  </si>
  <si>
    <t>II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</si>
  <si>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</si>
  <si>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</si>
  <si>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</si>
  <si>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</si>
  <si>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</si>
  <si>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</si>
  <si>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</si>
  <si>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</si>
  <si>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</si>
  <si>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</si>
  <si>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III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</si>
  <si>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</si>
  <si>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</si>
  <si>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</si>
  <si>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</si>
  <si>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</si>
  <si>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</si>
  <si>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</si>
  <si>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</si>
  <si>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</si>
  <si>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</si>
  <si>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</si>
  <si>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</si>
  <si>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</si>
  <si>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</si>
  <si>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</si>
  <si>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</si>
  <si>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</si>
  <si>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 rimbursim reklamash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</si>
  <si>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</si>
  <si>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</si>
  <si>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</si>
  <si>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</si>
  <si>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</si>
  <si>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</si>
  <si>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deri ne 21 .000 leke</t>
  </si>
  <si>
    <t>Me page nga 30.001 deri  ne 66.500 leke</t>
  </si>
  <si>
    <t>Ilia Cili</t>
  </si>
  <si>
    <r>
      <t xml:space="preserve">Shenim: </t>
    </r>
    <r>
      <rPr>
        <sz val="10"/>
        <rFont val="Arial"/>
        <family val="2"/>
      </rPr>
      <t>Kjo pasqyre plotesohet edhe on-line.</t>
    </r>
  </si>
  <si>
    <t>2013 LEKE</t>
  </si>
  <si>
    <t>468009</t>
  </si>
  <si>
    <t>Tirana leasing financim stoku 2013 afatshkurter</t>
  </si>
  <si>
    <t>468093</t>
  </si>
  <si>
    <t>raiffeisen leasin financim stok 3.5 vjecare</t>
  </si>
  <si>
    <t>Pozicioni me 31dhjetor 2011</t>
  </si>
  <si>
    <t>Pozicioni me 31 dhjetor 2012</t>
  </si>
  <si>
    <t>Pozicioni me 31 Dhjetor 2013</t>
  </si>
  <si>
    <t>Gjendje 01.01.2013</t>
  </si>
  <si>
    <t>Gjendje 31.12.2013</t>
  </si>
  <si>
    <t>Vlera neto 01.01.2013</t>
  </si>
  <si>
    <t>Gjendje ne 31.12.2013</t>
  </si>
  <si>
    <t>Vlera neto 31.12.2013</t>
  </si>
  <si>
    <t xml:space="preserve"> Janar </t>
  </si>
  <si>
    <t xml:space="preserve"> Shkurt </t>
  </si>
  <si>
    <t xml:space="preserve"> Mars </t>
  </si>
  <si>
    <t xml:space="preserve"> Prill </t>
  </si>
  <si>
    <t xml:space="preserve"> Maj </t>
  </si>
  <si>
    <t xml:space="preserve"> Qershor </t>
  </si>
  <si>
    <t xml:space="preserve"> Korrik </t>
  </si>
  <si>
    <t xml:space="preserve"> Gusht </t>
  </si>
  <si>
    <t xml:space="preserve"> Shtator </t>
  </si>
  <si>
    <t xml:space="preserve"> Tetor </t>
  </si>
  <si>
    <t xml:space="preserve"> Nentor </t>
  </si>
  <si>
    <t xml:space="preserve"> dhjetor </t>
  </si>
  <si>
    <t xml:space="preserve"> Total </t>
  </si>
  <si>
    <t>Pasqyra  permbledhese e sigurimeve  2013</t>
  </si>
  <si>
    <t>paguar</t>
  </si>
  <si>
    <t>F.D.P.  VITI 2013</t>
  </si>
  <si>
    <t>FJ</t>
  </si>
  <si>
    <t>FT48</t>
  </si>
  <si>
    <t>TIRANA kuga02828</t>
  </si>
  <si>
    <t>TIRANA LEASI kuga 37232</t>
  </si>
  <si>
    <t>TIRANA LEASING FINANC kuga 37235</t>
  </si>
  <si>
    <t>TIRANA LEASING FINANCIM kuga37238</t>
  </si>
  <si>
    <t>TIRANA LEASING FINANCIM  kuga16214</t>
  </si>
  <si>
    <t>TIRANA LEASING FINANCIM kuga03151</t>
  </si>
  <si>
    <t>TIRANA LEASING kuga16216</t>
  </si>
  <si>
    <t>TIRANA LEASING FINANC kuga16199</t>
  </si>
  <si>
    <t>TIRANA LEASING FINANCIM kuga24637</t>
  </si>
  <si>
    <t>TIRANA LEASING FINANCIM STOKU</t>
  </si>
  <si>
    <t>TIRANA LEASING FINANCIM  kuga16196</t>
  </si>
  <si>
    <t>TIRANA LEASING FINANCIMkuga16197</t>
  </si>
  <si>
    <t>TIRANA LEASING FINANCIM  kuga 87951</t>
  </si>
  <si>
    <t>TIRANA LEASING FINANCIM kuga07584</t>
  </si>
  <si>
    <t>TIRANA LEASING FINANCIM ft 40520</t>
  </si>
  <si>
    <t>K226</t>
  </si>
  <si>
    <t>RAIFAIZEN LEASING</t>
  </si>
  <si>
    <t>Autofatura -31.12.2013</t>
  </si>
  <si>
    <t>vlefte e tatueshme</t>
  </si>
  <si>
    <t>parapagime gjendje 31.12.2013</t>
  </si>
  <si>
    <t>Teardhura te perjashtuara</t>
  </si>
  <si>
    <t>Diferenca kursi parapgimet</t>
  </si>
  <si>
    <t>xhirua sipas  fdp</t>
  </si>
  <si>
    <t>Xhirua sipas bilancit</t>
  </si>
  <si>
    <t>Diferenca</t>
  </si>
  <si>
    <t>Kjo diference  eshte :</t>
  </si>
  <si>
    <t>Xhiro sipas fdp I zbresim financim stoku</t>
  </si>
  <si>
    <t>I shtojme diference kursi parapagimet</t>
  </si>
  <si>
    <t>i  zbresim  autofaturat  pasi i kemi me minus</t>
  </si>
  <si>
    <t>I shtojme parapagim gjendje  -31.12.2012</t>
  </si>
  <si>
    <t>I zbresim parapagimet gjend 31.12.2013</t>
  </si>
  <si>
    <t>I shtojme te ardhura nga vitet te perjashtuara</t>
  </si>
  <si>
    <t>2013 euro</t>
  </si>
  <si>
    <t>2013 leke</t>
  </si>
  <si>
    <t>2012 euro</t>
  </si>
  <si>
    <t>Aktivet Afatgjata Materiale  me vlere fillestare   2013</t>
  </si>
  <si>
    <t>Vlera Kontabel Neto e A.A.Materiale  2013</t>
  </si>
  <si>
    <t>Amortizimi A.A.Materiale   2013</t>
  </si>
  <si>
    <t>Viti 2013</t>
  </si>
  <si>
    <t>Llogaria te Ardhura Shpenzime  ;per vitin e mbyllur 2013</t>
  </si>
  <si>
    <t>Bilanci Kontabel  me 31.12.2013</t>
  </si>
  <si>
    <t>VITI 2013</t>
  </si>
  <si>
    <t>viti2012</t>
  </si>
  <si>
    <t>604.608.618.6541,652</t>
  </si>
  <si>
    <t>NIPT</t>
  </si>
  <si>
    <t>Aktiviteti  kryesor</t>
  </si>
  <si>
    <t>Aktiviteti dytesor</t>
  </si>
  <si>
    <t>Tregti ushqimore</t>
  </si>
  <si>
    <t>Tregti pijesh</t>
  </si>
  <si>
    <t>Eksport</t>
  </si>
  <si>
    <t>Ndertim pallati</t>
  </si>
  <si>
    <t>Fason</t>
  </si>
  <si>
    <t>Prodhim pije alkolike</t>
  </si>
  <si>
    <t>Prodhim nafte</t>
  </si>
  <si>
    <t>Transport malli</t>
  </si>
  <si>
    <t>Me page nga 22 deri ne 30.000 leke</t>
  </si>
  <si>
    <t>Me page nga 66.501 deri ne 95130 leke</t>
  </si>
  <si>
    <t>Me page me te larte se 95130 leke</t>
  </si>
  <si>
    <t>Te punesuar mesatarisht per vitin 2013:</t>
  </si>
  <si>
    <t>ketu nuk eshte perfshire 579 800  te ardhura per tu shperndare</t>
  </si>
  <si>
    <t>Financiere</t>
  </si>
  <si>
    <t>(Ilia Cili)</t>
  </si>
  <si>
    <t>(Aretuza Kuleci)</t>
  </si>
  <si>
    <t>Periudha kontabel     01 Janar-31 Dhjetor 2013</t>
  </si>
  <si>
    <t>Pasqyra e levizjes se kapitaleve te veta  me 31 Dhjetor 2013</t>
  </si>
  <si>
    <t>Gjendje ne 01.01.2013</t>
  </si>
  <si>
    <t xml:space="preserve">  Makineri paisje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</si>
</sst>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_);\-#,##0.00"/>
    <numFmt numFmtId="177" formatCode="#,##0.00_ ;\-#,##0.00\ "/>
    <numFmt numFmtId="178" formatCode="#,##0.0_ ;\-#,##0.0\ "/>
    <numFmt numFmtId="179" formatCode="#,##0_ ;\-#,##0\ "/>
    <numFmt numFmtId="180" formatCode="_(* #,##0.0_);_(* \(#,##0.0\);_(* &quot;-&quot;??_);_(@_)"/>
    <numFmt numFmtId="181" formatCode="_(* #,##0_);_(* \(#,##0\);_(* &quot;-&quot;??_);_(@_)"/>
    <numFmt numFmtId="182" formatCode="#,##0.0_);\(#,##0.0\)"/>
    <numFmt numFmtId="183" formatCode="#,##0.00000000000000_);\(#,##0.00000000000000\)"/>
    <numFmt numFmtId="184" formatCode="#,##0.0000000000000_);\(#,##0.0000000000000\)"/>
    <numFmt numFmtId="185" formatCode="#,##0.000000000000_);\(#,##0.000000000000\)"/>
    <numFmt numFmtId="186" formatCode="#,##0.00000000000_);\(#,##0.00000000000\)"/>
    <numFmt numFmtId="187" formatCode="#,##0.0000000000_);\(#,##0.0000000000\)"/>
    <numFmt numFmtId="188" formatCode="#,##0.000000000_);\(#,##0.000000000\)"/>
    <numFmt numFmtId="189" formatCode="#,##0.00000000_);\(#,##0.00000000\)"/>
    <numFmt numFmtId="190" formatCode="#,##0.0000000_);\(#,##0.0000000\)"/>
    <numFmt numFmtId="191" formatCode="#,##0.000000_);\(#,##0.000000\)"/>
    <numFmt numFmtId="192" formatCode="#,##0.00000_);\(#,##0.00000\)"/>
    <numFmt numFmtId="193" formatCode="#,##0.0000_);\(#,##0.0000\)"/>
    <numFmt numFmtId="194" formatCode="#,##0.000_);\(#,##0.000\)"/>
    <numFmt numFmtId="195" formatCode="#,##0.0_);[Red]\(#,##0.0\)"/>
    <numFmt numFmtId="196" formatCode="_(* #,##0.000_);_(* \(#,##0.000\);_(* &quot;-&quot;??_);_(@_)"/>
    <numFmt numFmtId="197" formatCode="_(* #,##0.0_);_(* \(#,##0.0\);_(* &quot;-&quot;?_);_(@_)"/>
    <numFmt numFmtId="198" formatCode="0.0"/>
    <numFmt numFmtId="199" formatCode="_ &quot;$&quot;\ * #,##0_ ;_ &quot;$&quot;\ * \-#,##0_ ;_ &quot;$&quot;\ * &quot;-&quot;_ ;_ @_ "/>
    <numFmt numFmtId="200" formatCode="_ * #,##0_ ;_ * \-#,##0_ ;_ * &quot;-&quot;_ ;_ @_ "/>
    <numFmt numFmtId="201" formatCode="_ &quot;$&quot;\ * #,##0.00_ ;_ &quot;$&quot;\ * \-#,##0.00_ ;_ &quot;$&quot;\ * &quot;-&quot;??_ ;_ @_ "/>
    <numFmt numFmtId="202" formatCode="_ * #,##0.00_ ;_ * \-#,##0.00_ ;_ * &quot;-&quot;??_ ;_ @_ "/>
    <numFmt numFmtId="203" formatCode="_ * #,##0_ ;_ * \-#,##0_ ;_ * &quot;-&quot;??_ ;_ @_ "/>
    <numFmt numFmtId="204" formatCode="d\-mmm\-yyyy"/>
    <numFmt numFmtId="205" formatCode="[$-409]d\-mmm\-yy;@"/>
    <numFmt numFmtId="206" formatCode="_-* #,##0.00_L_e_k_-;\-* #,##0.00_L_e_k_-;_-* &quot;-&quot;??_L_e_k_-;_-@_-"/>
    <numFmt numFmtId="207" formatCode="#,##0.0"/>
    <numFmt numFmtId="208" formatCode="dd\.mm\.yy"/>
    <numFmt numFmtId="209" formatCode="0.00000"/>
    <numFmt numFmtId="210" formatCode="_-* #,##0_L_e_k_-;\-* #,##0_L_e_k_-;_-* &quot;-&quot;??_L_e_k_-;_-@_-"/>
  </numFmts>
  <fonts count="102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3"/>
      <name val="Garamond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Garamond"/>
      <family val="1"/>
    </font>
    <font>
      <b/>
      <sz val="9"/>
      <name val="Garamond"/>
      <family val="1"/>
    </font>
    <font>
      <sz val="8"/>
      <name val="Times New Roman"/>
      <family val="1"/>
    </font>
    <font>
      <sz val="8"/>
      <name val="Garamond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  <font>
      <b/>
      <sz val="13"/>
      <name val="Times New Roman"/>
      <family val="1"/>
    </font>
    <font>
      <i/>
      <sz val="14"/>
      <name val="Garamond"/>
      <family val="1"/>
    </font>
    <font>
      <b/>
      <sz val="14"/>
      <name val="Arial"/>
      <family val="0"/>
    </font>
    <font>
      <b/>
      <i/>
      <sz val="14"/>
      <name val="Arial"/>
      <family val="0"/>
    </font>
    <font>
      <sz val="14"/>
      <color indexed="10"/>
      <name val="Arial"/>
      <family val="0"/>
    </font>
    <font>
      <b/>
      <u val="single"/>
      <sz val="8"/>
      <name val="Arial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1"/>
      <name val="Garamond"/>
      <family val="1"/>
    </font>
    <font>
      <b/>
      <sz val="10.5"/>
      <name val="Garamond"/>
      <family val="1"/>
    </font>
    <font>
      <sz val="10.5"/>
      <name val="Garamond"/>
      <family val="1"/>
    </font>
    <font>
      <b/>
      <i/>
      <sz val="11"/>
      <name val="Garamond"/>
      <family val="1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u val="single"/>
      <sz val="12"/>
      <name val="Garamond"/>
      <family val="1"/>
    </font>
    <font>
      <b/>
      <sz val="12"/>
      <name val="Garamond"/>
      <family val="1"/>
    </font>
    <font>
      <sz val="9"/>
      <color indexed="10"/>
      <name val="Garamond"/>
      <family val="1"/>
    </font>
    <font>
      <sz val="12.5"/>
      <color indexed="10"/>
      <name val="Garamond"/>
      <family val="1"/>
    </font>
    <font>
      <i/>
      <sz val="10.5"/>
      <name val="Times New Roman"/>
      <family val="1"/>
    </font>
    <font>
      <b/>
      <i/>
      <sz val="10.5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Arial"/>
      <family val="2"/>
    </font>
    <font>
      <i/>
      <sz val="14"/>
      <color indexed="10"/>
      <name val="Arial"/>
      <family val="0"/>
    </font>
    <font>
      <i/>
      <sz val="14"/>
      <name val="Arial"/>
      <family val="0"/>
    </font>
    <font>
      <b/>
      <sz val="14"/>
      <color indexed="10"/>
      <name val="Arial"/>
      <family val="0"/>
    </font>
    <font>
      <sz val="12"/>
      <name val="Garamond"/>
      <family val="1"/>
    </font>
    <font>
      <u val="single"/>
      <sz val="12"/>
      <name val="Garamond"/>
      <family val="1"/>
    </font>
    <font>
      <b/>
      <u val="single"/>
      <sz val="9"/>
      <name val="Times New Roman"/>
      <family val="1"/>
    </font>
    <font>
      <b/>
      <i/>
      <sz val="9"/>
      <name val="Garamond"/>
      <family val="1"/>
    </font>
    <font>
      <b/>
      <i/>
      <sz val="10"/>
      <name val="Garamond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8"/>
      <color indexed="10"/>
      <name val="Arial"/>
      <family val="0"/>
    </font>
    <font>
      <b/>
      <sz val="9.5"/>
      <name val="Arial"/>
      <family val="2"/>
    </font>
    <font>
      <i/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1" applyNumberFormat="0" applyAlignment="0" applyProtection="0"/>
    <xf numFmtId="0" fontId="8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30" borderId="1" applyNumberFormat="0" applyAlignment="0" applyProtection="0"/>
    <xf numFmtId="0" fontId="96" fillId="0" borderId="6" applyNumberFormat="0" applyFill="0" applyAlignment="0" applyProtection="0"/>
    <xf numFmtId="0" fontId="9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32" borderId="7" applyNumberFormat="0" applyFont="0" applyAlignment="0" applyProtection="0"/>
    <xf numFmtId="0" fontId="98" fillId="27" borderId="8" applyNumberFormat="0" applyAlignment="0" applyProtection="0"/>
    <xf numFmtId="9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</cellStyleXfs>
  <cellXfs count="4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 vertical="justify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181" fontId="1" fillId="0" borderId="0" xfId="0" applyNumberFormat="1" applyFont="1" applyAlignment="1">
      <alignment/>
    </xf>
    <xf numFmtId="181" fontId="1" fillId="0" borderId="0" xfId="42" applyNumberFormat="1" applyFont="1" applyBorder="1" applyAlignment="1">
      <alignment/>
    </xf>
    <xf numFmtId="3" fontId="1" fillId="0" borderId="10" xfId="0" applyNumberFormat="1" applyFont="1" applyBorder="1" applyAlignment="1">
      <alignment horizontal="right" wrapText="1"/>
    </xf>
    <xf numFmtId="181" fontId="4" fillId="0" borderId="0" xfId="0" applyNumberFormat="1" applyFont="1" applyBorder="1" applyAlignment="1">
      <alignment horizontal="center" wrapText="1"/>
    </xf>
    <xf numFmtId="181" fontId="1" fillId="0" borderId="0" xfId="0" applyNumberFormat="1" applyFont="1" applyBorder="1" applyAlignment="1">
      <alignment/>
    </xf>
    <xf numFmtId="181" fontId="1" fillId="0" borderId="0" xfId="0" applyNumberFormat="1" applyFont="1" applyBorder="1" applyAlignment="1">
      <alignment horizontal="left" wrapText="1"/>
    </xf>
    <xf numFmtId="181" fontId="1" fillId="0" borderId="11" xfId="42" applyNumberFormat="1" applyFont="1" applyBorder="1" applyAlignment="1">
      <alignment horizontal="center" wrapText="1"/>
    </xf>
    <xf numFmtId="181" fontId="1" fillId="0" borderId="0" xfId="42" applyNumberFormat="1" applyFont="1" applyBorder="1" applyAlignment="1">
      <alignment horizontal="center" wrapText="1"/>
    </xf>
    <xf numFmtId="181" fontId="1" fillId="0" borderId="0" xfId="42" applyNumberFormat="1" applyFont="1" applyBorder="1" applyAlignment="1">
      <alignment horizontal="left" wrapText="1"/>
    </xf>
    <xf numFmtId="181" fontId="1" fillId="0" borderId="12" xfId="42" applyNumberFormat="1" applyFont="1" applyBorder="1" applyAlignment="1">
      <alignment horizontal="center" wrapText="1"/>
    </xf>
    <xf numFmtId="181" fontId="1" fillId="0" borderId="12" xfId="42" applyNumberFormat="1" applyFont="1" applyBorder="1" applyAlignment="1">
      <alignment horizontal="right" wrapText="1" indent="1"/>
    </xf>
    <xf numFmtId="181" fontId="1" fillId="0" borderId="0" xfId="42" applyNumberFormat="1" applyFont="1" applyBorder="1" applyAlignment="1">
      <alignment horizontal="right" wrapText="1" indent="3"/>
    </xf>
    <xf numFmtId="181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181" fontId="0" fillId="0" borderId="0" xfId="42" applyNumberFormat="1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38" fontId="12" fillId="0" borderId="0" xfId="0" applyNumberFormat="1" applyFont="1" applyBorder="1" applyAlignment="1">
      <alignment/>
    </xf>
    <xf numFmtId="38" fontId="11" fillId="0" borderId="0" xfId="0" applyNumberFormat="1" applyFont="1" applyBorder="1" applyAlignment="1">
      <alignment/>
    </xf>
    <xf numFmtId="38" fontId="13" fillId="0" borderId="12" xfId="0" applyNumberFormat="1" applyFont="1" applyBorder="1" applyAlignment="1">
      <alignment/>
    </xf>
    <xf numFmtId="38" fontId="12" fillId="0" borderId="12" xfId="0" applyNumberFormat="1" applyFont="1" applyBorder="1" applyAlignment="1">
      <alignment/>
    </xf>
    <xf numFmtId="40" fontId="12" fillId="0" borderId="0" xfId="0" applyNumberFormat="1" applyFont="1" applyBorder="1" applyAlignment="1">
      <alignment/>
    </xf>
    <xf numFmtId="181" fontId="12" fillId="0" borderId="0" xfId="42" applyNumberFormat="1" applyFont="1" applyBorder="1" applyAlignment="1">
      <alignment/>
    </xf>
    <xf numFmtId="43" fontId="11" fillId="0" borderId="0" xfId="0" applyNumberFormat="1" applyFont="1" applyBorder="1" applyAlignment="1">
      <alignment/>
    </xf>
    <xf numFmtId="40" fontId="11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38" fontId="13" fillId="0" borderId="12" xfId="42" applyNumberFormat="1" applyFont="1" applyBorder="1" applyAlignment="1">
      <alignment/>
    </xf>
    <xf numFmtId="38" fontId="12" fillId="0" borderId="0" xfId="42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3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81" fontId="9" fillId="0" borderId="13" xfId="42" applyNumberFormat="1" applyFont="1" applyBorder="1" applyAlignment="1">
      <alignment/>
    </xf>
    <xf numFmtId="38" fontId="15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right"/>
    </xf>
    <xf numFmtId="43" fontId="1" fillId="0" borderId="0" xfId="0" applyNumberFormat="1" applyFont="1" applyAlignment="1">
      <alignment/>
    </xf>
    <xf numFmtId="181" fontId="21" fillId="0" borderId="0" xfId="0" applyNumberFormat="1" applyFont="1" applyBorder="1" applyAlignment="1">
      <alignment horizontal="center"/>
    </xf>
    <xf numFmtId="39" fontId="22" fillId="0" borderId="0" xfId="0" applyNumberFormat="1" applyFont="1" applyAlignment="1">
      <alignment/>
    </xf>
    <xf numFmtId="0" fontId="17" fillId="0" borderId="14" xfId="0" applyFont="1" applyBorder="1" applyAlignment="1">
      <alignment horizontal="center"/>
    </xf>
    <xf numFmtId="181" fontId="16" fillId="0" borderId="0" xfId="0" applyNumberFormat="1" applyFont="1" applyAlignment="1">
      <alignment horizontal="center"/>
    </xf>
    <xf numFmtId="181" fontId="16" fillId="0" borderId="0" xfId="0" applyNumberFormat="1" applyFont="1" applyAlignment="1">
      <alignment/>
    </xf>
    <xf numFmtId="0" fontId="16" fillId="0" borderId="0" xfId="0" applyFont="1" applyAlignment="1">
      <alignment horizontal="left" vertical="justify"/>
    </xf>
    <xf numFmtId="0" fontId="16" fillId="0" borderId="0" xfId="0" applyFont="1" applyBorder="1" applyAlignment="1">
      <alignment horizontal="center"/>
    </xf>
    <xf numFmtId="181" fontId="16" fillId="0" borderId="12" xfId="42" applyNumberFormat="1" applyFont="1" applyBorder="1" applyAlignment="1">
      <alignment/>
    </xf>
    <xf numFmtId="0" fontId="16" fillId="0" borderId="0" xfId="0" applyFont="1" applyBorder="1" applyAlignment="1">
      <alignment horizontal="left" wrapText="1"/>
    </xf>
    <xf numFmtId="181" fontId="16" fillId="0" borderId="0" xfId="42" applyNumberFormat="1" applyFont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7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181" fontId="16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181" fontId="0" fillId="0" borderId="13" xfId="42" applyNumberFormat="1" applyFont="1" applyBorder="1" applyAlignment="1">
      <alignment/>
    </xf>
    <xf numFmtId="0" fontId="16" fillId="0" borderId="0" xfId="0" applyFont="1" applyBorder="1" applyAlignment="1">
      <alignment horizontal="left" vertical="justify"/>
    </xf>
    <xf numFmtId="0" fontId="18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80" fontId="16" fillId="0" borderId="0" xfId="42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3" fontId="17" fillId="0" borderId="14" xfId="0" applyNumberFormat="1" applyFont="1" applyBorder="1" applyAlignment="1">
      <alignment horizontal="center"/>
    </xf>
    <xf numFmtId="180" fontId="16" fillId="0" borderId="12" xfId="42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27" fillId="0" borderId="12" xfId="0" applyFont="1" applyFill="1" applyBorder="1" applyAlignment="1">
      <alignment/>
    </xf>
    <xf numFmtId="181" fontId="18" fillId="0" borderId="0" xfId="42" applyNumberFormat="1" applyFont="1" applyAlignment="1">
      <alignment/>
    </xf>
    <xf numFmtId="181" fontId="18" fillId="0" borderId="12" xfId="42" applyNumberFormat="1" applyFont="1" applyBorder="1" applyAlignment="1">
      <alignment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0" fontId="28" fillId="0" borderId="0" xfId="0" applyFont="1" applyBorder="1" applyAlignment="1">
      <alignment horizontal="center"/>
    </xf>
    <xf numFmtId="181" fontId="17" fillId="0" borderId="0" xfId="0" applyNumberFormat="1" applyFont="1" applyBorder="1" applyAlignment="1">
      <alignment horizontal="center"/>
    </xf>
    <xf numFmtId="0" fontId="31" fillId="0" borderId="0" xfId="0" applyFont="1" applyAlignment="1">
      <alignment/>
    </xf>
    <xf numFmtId="0" fontId="9" fillId="0" borderId="0" xfId="0" applyFont="1" applyAlignment="1">
      <alignment/>
    </xf>
    <xf numFmtId="181" fontId="0" fillId="0" borderId="16" xfId="42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6" fillId="0" borderId="0" xfId="0" applyFont="1" applyAlignment="1">
      <alignment/>
    </xf>
    <xf numFmtId="43" fontId="3" fillId="0" borderId="0" xfId="0" applyNumberFormat="1" applyFont="1" applyAlignment="1">
      <alignment/>
    </xf>
    <xf numFmtId="181" fontId="3" fillId="0" borderId="0" xfId="42" applyNumberFormat="1" applyFont="1" applyAlignment="1">
      <alignment/>
    </xf>
    <xf numFmtId="181" fontId="3" fillId="0" borderId="13" xfId="42" applyNumberFormat="1" applyFont="1" applyBorder="1" applyAlignment="1">
      <alignment/>
    </xf>
    <xf numFmtId="181" fontId="3" fillId="0" borderId="13" xfId="0" applyNumberFormat="1" applyFont="1" applyBorder="1" applyAlignment="1">
      <alignment/>
    </xf>
    <xf numFmtId="181" fontId="3" fillId="0" borderId="17" xfId="42" applyNumberFormat="1" applyFont="1" applyFill="1" applyBorder="1" applyAlignment="1">
      <alignment/>
    </xf>
    <xf numFmtId="181" fontId="26" fillId="0" borderId="13" xfId="42" applyNumberFormat="1" applyFont="1" applyBorder="1" applyAlignment="1">
      <alignment/>
    </xf>
    <xf numFmtId="197" fontId="0" fillId="0" borderId="0" xfId="0" applyNumberFormat="1" applyAlignment="1">
      <alignment/>
    </xf>
    <xf numFmtId="0" fontId="0" fillId="0" borderId="18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181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Alignment="1">
      <alignment/>
    </xf>
    <xf numFmtId="181" fontId="35" fillId="0" borderId="0" xfId="42" applyNumberFormat="1" applyFont="1" applyAlignment="1">
      <alignment/>
    </xf>
    <xf numFmtId="3" fontId="11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6" fillId="0" borderId="0" xfId="0" applyFont="1" applyBorder="1" applyAlignment="1">
      <alignment horizontal="justify"/>
    </xf>
    <xf numFmtId="0" fontId="37" fillId="0" borderId="0" xfId="0" applyFont="1" applyBorder="1" applyAlignment="1">
      <alignment horizontal="justify"/>
    </xf>
    <xf numFmtId="0" fontId="3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9" fillId="0" borderId="0" xfId="0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37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3" fontId="38" fillId="0" borderId="0" xfId="0" applyNumberFormat="1" applyFont="1" applyBorder="1" applyAlignment="1">
      <alignment horizontal="right"/>
    </xf>
    <xf numFmtId="0" fontId="38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0" fontId="37" fillId="0" borderId="0" xfId="0" applyFont="1" applyBorder="1" applyAlignment="1">
      <alignment/>
    </xf>
    <xf numFmtId="3" fontId="12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0" fontId="39" fillId="0" borderId="0" xfId="0" applyFont="1" applyBorder="1" applyAlignment="1">
      <alignment/>
    </xf>
    <xf numFmtId="3" fontId="37" fillId="0" borderId="0" xfId="0" applyNumberFormat="1" applyFont="1" applyBorder="1" applyAlignment="1">
      <alignment/>
    </xf>
    <xf numFmtId="3" fontId="4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3" fontId="4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30" fillId="0" borderId="20" xfId="0" applyNumberFormat="1" applyFont="1" applyBorder="1" applyAlignment="1">
      <alignment/>
    </xf>
    <xf numFmtId="181" fontId="16" fillId="0" borderId="0" xfId="42" applyNumberFormat="1" applyFont="1" applyAlignment="1">
      <alignment horizontal="center"/>
    </xf>
    <xf numFmtId="181" fontId="16" fillId="0" borderId="12" xfId="42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2" fillId="0" borderId="0" xfId="0" applyFont="1" applyAlignment="1">
      <alignment/>
    </xf>
    <xf numFmtId="43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12" xfId="0" applyFont="1" applyBorder="1" applyAlignment="1">
      <alignment/>
    </xf>
    <xf numFmtId="181" fontId="17" fillId="0" borderId="12" xfId="0" applyNumberFormat="1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43" fontId="27" fillId="0" borderId="0" xfId="42" applyFont="1" applyBorder="1" applyAlignment="1">
      <alignment/>
    </xf>
    <xf numFmtId="181" fontId="27" fillId="0" borderId="0" xfId="42" applyNumberFormat="1" applyFont="1" applyBorder="1" applyAlignment="1">
      <alignment/>
    </xf>
    <xf numFmtId="181" fontId="17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181" fontId="42" fillId="0" borderId="0" xfId="42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right"/>
    </xf>
    <xf numFmtId="181" fontId="27" fillId="0" borderId="12" xfId="42" applyNumberFormat="1" applyFont="1" applyBorder="1" applyAlignment="1">
      <alignment/>
    </xf>
    <xf numFmtId="181" fontId="27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81" fontId="16" fillId="0" borderId="0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left"/>
    </xf>
    <xf numFmtId="181" fontId="27" fillId="0" borderId="21" xfId="42" applyNumberFormat="1" applyFont="1" applyBorder="1" applyAlignment="1">
      <alignment/>
    </xf>
    <xf numFmtId="181" fontId="17" fillId="0" borderId="21" xfId="0" applyNumberFormat="1" applyFont="1" applyBorder="1" applyAlignment="1">
      <alignment horizontal="center"/>
    </xf>
    <xf numFmtId="181" fontId="28" fillId="0" borderId="0" xfId="42" applyNumberFormat="1" applyFont="1" applyBorder="1" applyAlignment="1">
      <alignment/>
    </xf>
    <xf numFmtId="0" fontId="17" fillId="0" borderId="0" xfId="0" applyFont="1" applyBorder="1" applyAlignment="1">
      <alignment horizontal="left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left"/>
    </xf>
    <xf numFmtId="0" fontId="43" fillId="0" borderId="0" xfId="0" applyFont="1" applyBorder="1" applyAlignment="1">
      <alignment/>
    </xf>
    <xf numFmtId="181" fontId="42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/>
    </xf>
    <xf numFmtId="181" fontId="17" fillId="0" borderId="11" xfId="0" applyNumberFormat="1" applyFont="1" applyBorder="1" applyAlignment="1">
      <alignment horizontal="center"/>
    </xf>
    <xf numFmtId="181" fontId="27" fillId="0" borderId="19" xfId="42" applyNumberFormat="1" applyFont="1" applyBorder="1" applyAlignment="1">
      <alignment/>
    </xf>
    <xf numFmtId="0" fontId="23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181" fontId="27" fillId="0" borderId="0" xfId="0" applyNumberFormat="1" applyFont="1" applyBorder="1" applyAlignment="1">
      <alignment horizontal="right" vertical="center"/>
    </xf>
    <xf numFmtId="181" fontId="28" fillId="0" borderId="12" xfId="42" applyNumberFormat="1" applyFont="1" applyBorder="1" applyAlignment="1">
      <alignment/>
    </xf>
    <xf numFmtId="0" fontId="18" fillId="0" borderId="0" xfId="0" applyFont="1" applyBorder="1" applyAlignment="1">
      <alignment/>
    </xf>
    <xf numFmtId="0" fontId="23" fillId="33" borderId="0" xfId="0" applyFont="1" applyFill="1" applyBorder="1" applyAlignment="1">
      <alignment/>
    </xf>
    <xf numFmtId="0" fontId="27" fillId="0" borderId="0" xfId="0" applyFont="1" applyBorder="1" applyAlignment="1">
      <alignment horizontal="left"/>
    </xf>
    <xf numFmtId="43" fontId="16" fillId="0" borderId="0" xfId="42" applyNumberFormat="1" applyFont="1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181" fontId="17" fillId="0" borderId="12" xfId="42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181" fontId="28" fillId="0" borderId="0" xfId="0" applyNumberFormat="1" applyFont="1" applyBorder="1" applyAlignment="1">
      <alignment/>
    </xf>
    <xf numFmtId="181" fontId="16" fillId="0" borderId="0" xfId="0" applyNumberFormat="1" applyFont="1" applyBorder="1" applyAlignment="1">
      <alignment horizontal="left"/>
    </xf>
    <xf numFmtId="181" fontId="16" fillId="0" borderId="21" xfId="42" applyNumberFormat="1" applyFont="1" applyBorder="1" applyAlignment="1">
      <alignment/>
    </xf>
    <xf numFmtId="181" fontId="18" fillId="0" borderId="21" xfId="42" applyNumberFormat="1" applyFont="1" applyBorder="1" applyAlignment="1">
      <alignment/>
    </xf>
    <xf numFmtId="181" fontId="23" fillId="0" borderId="12" xfId="42" applyNumberFormat="1" applyFont="1" applyBorder="1" applyAlignment="1">
      <alignment/>
    </xf>
    <xf numFmtId="181" fontId="23" fillId="0" borderId="12" xfId="42" applyNumberFormat="1" applyFont="1" applyFill="1" applyBorder="1" applyAlignment="1">
      <alignment/>
    </xf>
    <xf numFmtId="181" fontId="17" fillId="0" borderId="0" xfId="42" applyNumberFormat="1" applyFont="1" applyBorder="1" applyAlignment="1">
      <alignment/>
    </xf>
    <xf numFmtId="181" fontId="23" fillId="0" borderId="0" xfId="42" applyNumberFormat="1" applyFont="1" applyAlignment="1">
      <alignment/>
    </xf>
    <xf numFmtId="0" fontId="4" fillId="0" borderId="14" xfId="0" applyFont="1" applyBorder="1" applyAlignment="1">
      <alignment horizontal="left" wrapText="1"/>
    </xf>
    <xf numFmtId="181" fontId="1" fillId="0" borderId="0" xfId="42" applyNumberFormat="1" applyFont="1" applyBorder="1" applyAlignment="1">
      <alignment horizontal="right"/>
    </xf>
    <xf numFmtId="180" fontId="16" fillId="0" borderId="0" xfId="42" applyNumberFormat="1" applyFont="1" applyBorder="1" applyAlignment="1">
      <alignment/>
    </xf>
    <xf numFmtId="180" fontId="17" fillId="0" borderId="0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right"/>
    </xf>
    <xf numFmtId="181" fontId="11" fillId="0" borderId="0" xfId="0" applyNumberFormat="1" applyFont="1" applyBorder="1" applyAlignment="1">
      <alignment horizontal="center"/>
    </xf>
    <xf numFmtId="40" fontId="47" fillId="0" borderId="0" xfId="0" applyNumberFormat="1" applyFont="1" applyBorder="1" applyAlignment="1">
      <alignment horizontal="center" vertical="center"/>
    </xf>
    <xf numFmtId="40" fontId="48" fillId="0" borderId="0" xfId="0" applyNumberFormat="1" applyFont="1" applyBorder="1" applyAlignment="1">
      <alignment horizontal="center" vertical="center"/>
    </xf>
    <xf numFmtId="38" fontId="50" fillId="0" borderId="0" xfId="0" applyNumberFormat="1" applyFont="1" applyBorder="1" applyAlignment="1">
      <alignment/>
    </xf>
    <xf numFmtId="38" fontId="51" fillId="0" borderId="0" xfId="0" applyNumberFormat="1" applyFont="1" applyBorder="1" applyAlignment="1">
      <alignment/>
    </xf>
    <xf numFmtId="40" fontId="47" fillId="0" borderId="0" xfId="0" applyNumberFormat="1" applyFont="1" applyBorder="1" applyAlignment="1">
      <alignment horizontal="justify"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/>
    </xf>
    <xf numFmtId="0" fontId="0" fillId="0" borderId="22" xfId="0" applyFont="1" applyBorder="1" applyAlignment="1">
      <alignment horizontal="center"/>
    </xf>
    <xf numFmtId="14" fontId="0" fillId="0" borderId="2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/>
    </xf>
    <xf numFmtId="3" fontId="0" fillId="0" borderId="13" xfId="46" applyNumberFormat="1" applyBorder="1" applyAlignment="1">
      <alignment/>
    </xf>
    <xf numFmtId="4" fontId="0" fillId="0" borderId="13" xfId="46" applyNumberFormat="1" applyBorder="1" applyAlignment="1">
      <alignment/>
    </xf>
    <xf numFmtId="4" fontId="0" fillId="0" borderId="13" xfId="42" applyNumberFormat="1" applyBorder="1" applyAlignment="1">
      <alignment/>
    </xf>
    <xf numFmtId="0" fontId="3" fillId="0" borderId="13" xfId="0" applyFont="1" applyBorder="1" applyAlignment="1">
      <alignment/>
    </xf>
    <xf numFmtId="3" fontId="0" fillId="0" borderId="13" xfId="42" applyNumberFormat="1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3" fontId="0" fillId="0" borderId="22" xfId="46" applyNumberFormat="1" applyBorder="1" applyAlignment="1">
      <alignment/>
    </xf>
    <xf numFmtId="0" fontId="0" fillId="0" borderId="24" xfId="0" applyFont="1" applyBorder="1" applyAlignment="1">
      <alignment vertical="center"/>
    </xf>
    <xf numFmtId="0" fontId="54" fillId="0" borderId="25" xfId="0" applyFont="1" applyBorder="1" applyAlignment="1">
      <alignment vertical="center"/>
    </xf>
    <xf numFmtId="0" fontId="54" fillId="0" borderId="25" xfId="0" applyFont="1" applyBorder="1" applyAlignment="1">
      <alignment horizontal="center" vertical="center"/>
    </xf>
    <xf numFmtId="3" fontId="54" fillId="0" borderId="25" xfId="46" applyNumberFormat="1" applyFont="1" applyBorder="1" applyAlignment="1">
      <alignment vertical="center"/>
    </xf>
    <xf numFmtId="3" fontId="54" fillId="0" borderId="26" xfId="46" applyNumberFormat="1" applyFont="1" applyBorder="1" applyAlignment="1">
      <alignment vertical="center"/>
    </xf>
    <xf numFmtId="1" fontId="0" fillId="0" borderId="13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0" xfId="46" applyNumberFormat="1" applyFill="1" applyBorder="1" applyAlignment="1">
      <alignment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181" fontId="0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181" fontId="54" fillId="0" borderId="0" xfId="42" applyNumberFormat="1" applyFont="1" applyBorder="1" applyAlignment="1">
      <alignment/>
    </xf>
    <xf numFmtId="181" fontId="54" fillId="0" borderId="0" xfId="42" applyNumberFormat="1" applyFont="1" applyBorder="1" applyAlignment="1">
      <alignment horizontal="right"/>
    </xf>
    <xf numFmtId="0" fontId="9" fillId="0" borderId="22" xfId="62" applyFont="1" applyBorder="1" applyAlignment="1">
      <alignment horizontal="center"/>
      <protection/>
    </xf>
    <xf numFmtId="2" fontId="57" fillId="0" borderId="27" xfId="62" applyNumberFormat="1" applyFont="1" applyBorder="1" applyAlignment="1">
      <alignment horizontal="center" wrapText="1"/>
      <protection/>
    </xf>
    <xf numFmtId="181" fontId="3" fillId="0" borderId="17" xfId="42" applyNumberFormat="1" applyFont="1" applyBorder="1" applyAlignment="1">
      <alignment horizontal="center" vertical="center" wrapText="1"/>
    </xf>
    <xf numFmtId="0" fontId="9" fillId="0" borderId="28" xfId="62" applyFont="1" applyBorder="1" applyAlignment="1">
      <alignment horizontal="center"/>
      <protection/>
    </xf>
    <xf numFmtId="0" fontId="3" fillId="0" borderId="13" xfId="62" applyFont="1" applyBorder="1" applyAlignment="1">
      <alignment horizontal="left" wrapText="1"/>
      <protection/>
    </xf>
    <xf numFmtId="0" fontId="9" fillId="0" borderId="29" xfId="62" applyFont="1" applyBorder="1" applyAlignment="1">
      <alignment horizontal="left" wrapText="1"/>
      <protection/>
    </xf>
    <xf numFmtId="181" fontId="0" fillId="0" borderId="29" xfId="42" applyNumberFormat="1" applyFont="1" applyBorder="1" applyAlignment="1">
      <alignment horizontal="left"/>
    </xf>
    <xf numFmtId="181" fontId="0" fillId="0" borderId="30" xfId="42" applyNumberFormat="1" applyFont="1" applyBorder="1" applyAlignment="1">
      <alignment horizontal="left"/>
    </xf>
    <xf numFmtId="0" fontId="0" fillId="0" borderId="31" xfId="62" applyFont="1" applyBorder="1" applyAlignment="1">
      <alignment horizontal="center"/>
      <protection/>
    </xf>
    <xf numFmtId="0" fontId="0" fillId="0" borderId="16" xfId="62" applyFont="1" applyBorder="1" applyAlignment="1">
      <alignment horizontal="left" wrapText="1"/>
      <protection/>
    </xf>
    <xf numFmtId="181" fontId="0" fillId="0" borderId="13" xfId="42" applyNumberFormat="1" applyFont="1" applyBorder="1" applyAlignment="1">
      <alignment horizontal="left"/>
    </xf>
    <xf numFmtId="181" fontId="0" fillId="0" borderId="32" xfId="42" applyNumberFormat="1" applyFont="1" applyBorder="1" applyAlignment="1">
      <alignment horizontal="left"/>
    </xf>
    <xf numFmtId="0" fontId="0" fillId="0" borderId="33" xfId="62" applyFont="1" applyBorder="1" applyAlignment="1">
      <alignment horizontal="center"/>
      <protection/>
    </xf>
    <xf numFmtId="0" fontId="54" fillId="0" borderId="16" xfId="62" applyFont="1" applyBorder="1" applyAlignment="1">
      <alignment horizontal="left" wrapText="1"/>
      <protection/>
    </xf>
    <xf numFmtId="0" fontId="9" fillId="0" borderId="34" xfId="62" applyFont="1" applyBorder="1" applyAlignment="1">
      <alignment horizontal="center"/>
      <protection/>
    </xf>
    <xf numFmtId="0" fontId="9" fillId="0" borderId="16" xfId="62" applyFont="1" applyBorder="1" applyAlignment="1">
      <alignment horizontal="left" wrapText="1"/>
      <protection/>
    </xf>
    <xf numFmtId="0" fontId="0" fillId="0" borderId="23" xfId="62" applyFont="1" applyBorder="1" applyAlignment="1">
      <alignment horizontal="left" wrapText="1"/>
      <protection/>
    </xf>
    <xf numFmtId="0" fontId="0" fillId="0" borderId="35" xfId="62" applyFont="1" applyBorder="1" applyAlignment="1">
      <alignment horizontal="center"/>
      <protection/>
    </xf>
    <xf numFmtId="0" fontId="0" fillId="0" borderId="36" xfId="62" applyFont="1" applyBorder="1" applyAlignment="1">
      <alignment horizontal="left" wrapText="1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0" fillId="0" borderId="16" xfId="62" applyFont="1" applyBorder="1" applyAlignment="1">
      <alignment horizontal="center" wrapText="1"/>
      <protection/>
    </xf>
    <xf numFmtId="0" fontId="9" fillId="0" borderId="31" xfId="62" applyFont="1" applyBorder="1" applyAlignment="1">
      <alignment horizontal="center"/>
      <protection/>
    </xf>
    <xf numFmtId="0" fontId="53" fillId="0" borderId="13" xfId="62" applyFont="1" applyBorder="1" applyAlignment="1">
      <alignment horizontal="left" wrapText="1"/>
      <protection/>
    </xf>
    <xf numFmtId="0" fontId="9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3" fillId="0" borderId="13" xfId="63" applyFont="1" applyFill="1" applyBorder="1" applyAlignment="1">
      <alignment horizontal="left" wrapText="1"/>
      <protection/>
    </xf>
    <xf numFmtId="0" fontId="0" fillId="0" borderId="37" xfId="62" applyFont="1" applyBorder="1" applyAlignment="1">
      <alignment horizontal="center"/>
      <protection/>
    </xf>
    <xf numFmtId="0" fontId="54" fillId="0" borderId="0" xfId="62" applyFont="1" applyBorder="1" applyAlignment="1">
      <alignment horizontal="left" wrapText="1"/>
      <protection/>
    </xf>
    <xf numFmtId="0" fontId="9" fillId="0" borderId="16" xfId="0" applyFont="1" applyBorder="1" applyAlignment="1">
      <alignment/>
    </xf>
    <xf numFmtId="0" fontId="9" fillId="0" borderId="33" xfId="62" applyFont="1" applyBorder="1" applyAlignment="1">
      <alignment horizontal="center"/>
      <protection/>
    </xf>
    <xf numFmtId="0" fontId="9" fillId="0" borderId="13" xfId="62" applyFont="1" applyBorder="1" applyAlignment="1">
      <alignment horizontal="left" wrapText="1"/>
      <protection/>
    </xf>
    <xf numFmtId="0" fontId="9" fillId="0" borderId="35" xfId="62" applyFont="1" applyBorder="1" applyAlignment="1">
      <alignment horizontal="center"/>
      <protection/>
    </xf>
    <xf numFmtId="0" fontId="9" fillId="0" borderId="23" xfId="62" applyFont="1" applyBorder="1" applyAlignment="1">
      <alignment horizontal="left" wrapText="1"/>
      <protection/>
    </xf>
    <xf numFmtId="0" fontId="9" fillId="0" borderId="38" xfId="62" applyFont="1" applyBorder="1" applyAlignment="1">
      <alignment horizontal="center"/>
      <protection/>
    </xf>
    <xf numFmtId="0" fontId="9" fillId="0" borderId="39" xfId="62" applyFont="1" applyBorder="1" applyAlignment="1">
      <alignment horizontal="left" wrapText="1"/>
      <protection/>
    </xf>
    <xf numFmtId="181" fontId="0" fillId="0" borderId="39" xfId="42" applyNumberFormat="1" applyFont="1" applyBorder="1" applyAlignment="1">
      <alignment horizontal="left"/>
    </xf>
    <xf numFmtId="0" fontId="9" fillId="0" borderId="0" xfId="62" applyFont="1" applyBorder="1" applyAlignment="1">
      <alignment horizontal="center"/>
      <protection/>
    </xf>
    <xf numFmtId="0" fontId="9" fillId="0" borderId="0" xfId="62" applyFont="1" applyBorder="1" applyAlignment="1">
      <alignment horizontal="left" wrapText="1"/>
      <protection/>
    </xf>
    <xf numFmtId="181" fontId="0" fillId="0" borderId="0" xfId="42" applyNumberFormat="1" applyFont="1" applyBorder="1" applyAlignment="1">
      <alignment horizontal="left"/>
    </xf>
    <xf numFmtId="0" fontId="3" fillId="0" borderId="22" xfId="62" applyFont="1" applyBorder="1">
      <alignment/>
      <protection/>
    </xf>
    <xf numFmtId="2" fontId="57" fillId="0" borderId="22" xfId="62" applyNumberFormat="1" applyFont="1" applyBorder="1" applyAlignment="1">
      <alignment horizontal="center" wrapText="1"/>
      <protection/>
    </xf>
    <xf numFmtId="181" fontId="3" fillId="0" borderId="22" xfId="42" applyNumberFormat="1" applyFont="1" applyBorder="1" applyAlignment="1">
      <alignment horizontal="center" vertical="center" wrapText="1"/>
    </xf>
    <xf numFmtId="0" fontId="35" fillId="0" borderId="40" xfId="62" applyFont="1" applyBorder="1" applyAlignment="1">
      <alignment horizontal="center"/>
      <protection/>
    </xf>
    <xf numFmtId="0" fontId="35" fillId="0" borderId="29" xfId="62" applyFont="1" applyBorder="1" applyAlignment="1">
      <alignment horizontal="left" wrapText="1"/>
      <protection/>
    </xf>
    <xf numFmtId="181" fontId="57" fillId="0" borderId="30" xfId="42" applyNumberFormat="1" applyFont="1" applyBorder="1" applyAlignment="1">
      <alignment horizontal="left"/>
    </xf>
    <xf numFmtId="0" fontId="3" fillId="0" borderId="34" xfId="62" applyFont="1" applyBorder="1" applyAlignment="1">
      <alignment horizontal="left"/>
      <protection/>
    </xf>
    <xf numFmtId="0" fontId="35" fillId="0" borderId="13" xfId="62" applyFont="1" applyBorder="1" applyAlignment="1">
      <alignment horizontal="left"/>
      <protection/>
    </xf>
    <xf numFmtId="181" fontId="3" fillId="0" borderId="13" xfId="42" applyNumberFormat="1" applyFont="1" applyBorder="1" applyAlignment="1">
      <alignment horizontal="left"/>
    </xf>
    <xf numFmtId="0" fontId="35" fillId="0" borderId="34" xfId="62" applyFont="1" applyBorder="1" applyAlignment="1">
      <alignment horizontal="center"/>
      <protection/>
    </xf>
    <xf numFmtId="0" fontId="35" fillId="0" borderId="13" xfId="62" applyFont="1" applyBorder="1" applyAlignment="1">
      <alignment horizontal="left" wrapText="1"/>
      <protection/>
    </xf>
    <xf numFmtId="181" fontId="57" fillId="0" borderId="32" xfId="42" applyNumberFormat="1" applyFont="1" applyBorder="1" applyAlignment="1">
      <alignment horizontal="left"/>
    </xf>
    <xf numFmtId="0" fontId="3" fillId="0" borderId="34" xfId="62" applyFont="1" applyBorder="1" applyAlignment="1">
      <alignment horizontal="center"/>
      <protection/>
    </xf>
    <xf numFmtId="181" fontId="57" fillId="0" borderId="13" xfId="42" applyNumberFormat="1" applyFont="1" applyBorder="1" applyAlignment="1">
      <alignment horizontal="left"/>
    </xf>
    <xf numFmtId="0" fontId="3" fillId="0" borderId="13" xfId="62" applyFont="1" applyBorder="1" applyAlignment="1">
      <alignment horizontal="left"/>
      <protection/>
    </xf>
    <xf numFmtId="181" fontId="3" fillId="0" borderId="13" xfId="42" applyNumberFormat="1" applyFont="1" applyBorder="1" applyAlignment="1">
      <alignment horizontal="left" wrapText="1"/>
    </xf>
    <xf numFmtId="0" fontId="3" fillId="0" borderId="34" xfId="62" applyFont="1" applyFill="1" applyBorder="1" applyAlignment="1">
      <alignment horizontal="center"/>
      <protection/>
    </xf>
    <xf numFmtId="0" fontId="3" fillId="0" borderId="37" xfId="0" applyFont="1" applyBorder="1" applyAlignment="1">
      <alignment/>
    </xf>
    <xf numFmtId="0" fontId="35" fillId="0" borderId="0" xfId="0" applyFont="1" applyBorder="1" applyAlignment="1">
      <alignment/>
    </xf>
    <xf numFmtId="0" fontId="3" fillId="0" borderId="0" xfId="0" applyFont="1" applyBorder="1" applyAlignment="1">
      <alignment/>
    </xf>
    <xf numFmtId="181" fontId="3" fillId="0" borderId="23" xfId="42" applyNumberFormat="1" applyFont="1" applyBorder="1" applyAlignment="1">
      <alignment horizontal="center" vertical="center" wrapText="1"/>
    </xf>
    <xf numFmtId="181" fontId="3" fillId="0" borderId="41" xfId="42" applyNumberFormat="1" applyFont="1" applyBorder="1" applyAlignment="1">
      <alignment horizontal="center" vertical="center" wrapText="1"/>
    </xf>
    <xf numFmtId="0" fontId="35" fillId="0" borderId="34" xfId="62" applyFont="1" applyBorder="1">
      <alignment/>
      <protection/>
    </xf>
    <xf numFmtId="181" fontId="3" fillId="0" borderId="32" xfId="42" applyNumberFormat="1" applyFont="1" applyBorder="1" applyAlignment="1">
      <alignment horizontal="left"/>
    </xf>
    <xf numFmtId="0" fontId="3" fillId="0" borderId="34" xfId="0" applyFont="1" applyBorder="1" applyAlignment="1">
      <alignment/>
    </xf>
    <xf numFmtId="0" fontId="3" fillId="0" borderId="34" xfId="62" applyFont="1" applyBorder="1">
      <alignment/>
      <protection/>
    </xf>
    <xf numFmtId="0" fontId="3" fillId="0" borderId="38" xfId="62" applyFont="1" applyBorder="1">
      <alignment/>
      <protection/>
    </xf>
    <xf numFmtId="0" fontId="35" fillId="0" borderId="39" xfId="62" applyFont="1" applyBorder="1" applyAlignment="1">
      <alignment horizontal="left"/>
      <protection/>
    </xf>
    <xf numFmtId="0" fontId="3" fillId="0" borderId="39" xfId="62" applyFont="1" applyBorder="1" applyAlignment="1">
      <alignment horizontal="left"/>
      <protection/>
    </xf>
    <xf numFmtId="181" fontId="3" fillId="0" borderId="39" xfId="42" applyNumberFormat="1" applyFont="1" applyBorder="1" applyAlignment="1">
      <alignment horizontal="left"/>
    </xf>
    <xf numFmtId="181" fontId="3" fillId="0" borderId="42" xfId="42" applyNumberFormat="1" applyFont="1" applyBorder="1" applyAlignment="1">
      <alignment horizontal="left"/>
    </xf>
    <xf numFmtId="181" fontId="3" fillId="0" borderId="0" xfId="42" applyNumberFormat="1" applyFont="1" applyBorder="1" applyAlignment="1">
      <alignment horizontal="left"/>
    </xf>
    <xf numFmtId="181" fontId="19" fillId="0" borderId="0" xfId="42" applyNumberFormat="1" applyFont="1" applyBorder="1" applyAlignment="1">
      <alignment horizontal="left"/>
    </xf>
    <xf numFmtId="0" fontId="0" fillId="0" borderId="0" xfId="62" applyFont="1">
      <alignment/>
      <protection/>
    </xf>
    <xf numFmtId="180" fontId="0" fillId="0" borderId="0" xfId="42" applyNumberFormat="1" applyFont="1" applyAlignment="1">
      <alignment/>
    </xf>
    <xf numFmtId="180" fontId="9" fillId="0" borderId="0" xfId="42" applyNumberFormat="1" applyFont="1" applyAlignment="1">
      <alignment/>
    </xf>
    <xf numFmtId="180" fontId="9" fillId="0" borderId="13" xfId="42" applyNumberFormat="1" applyFont="1" applyBorder="1" applyAlignment="1">
      <alignment/>
    </xf>
    <xf numFmtId="0" fontId="0" fillId="0" borderId="13" xfId="0" applyFont="1" applyBorder="1" applyAlignment="1">
      <alignment/>
    </xf>
    <xf numFmtId="180" fontId="0" fillId="0" borderId="13" xfId="42" applyNumberFormat="1" applyFont="1" applyBorder="1" applyAlignment="1">
      <alignment/>
    </xf>
    <xf numFmtId="180" fontId="0" fillId="0" borderId="13" xfId="42" applyNumberFormat="1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3" xfId="0" applyFill="1" applyBorder="1" applyAlignment="1">
      <alignment/>
    </xf>
    <xf numFmtId="0" fontId="9" fillId="0" borderId="22" xfId="0" applyFont="1" applyBorder="1" applyAlignment="1">
      <alignment/>
    </xf>
    <xf numFmtId="0" fontId="0" fillId="0" borderId="16" xfId="0" applyBorder="1" applyAlignment="1">
      <alignment/>
    </xf>
    <xf numFmtId="180" fontId="0" fillId="0" borderId="16" xfId="42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Font="1" applyBorder="1" applyAlignment="1">
      <alignment/>
    </xf>
    <xf numFmtId="0" fontId="9" fillId="0" borderId="18" xfId="0" applyFont="1" applyBorder="1" applyAlignment="1">
      <alignment/>
    </xf>
    <xf numFmtId="180" fontId="9" fillId="0" borderId="16" xfId="42" applyNumberFormat="1" applyFont="1" applyBorder="1" applyAlignment="1">
      <alignment/>
    </xf>
    <xf numFmtId="4" fontId="0" fillId="0" borderId="0" xfId="0" applyNumberFormat="1" applyAlignment="1">
      <alignment vertical="top"/>
    </xf>
    <xf numFmtId="181" fontId="17" fillId="0" borderId="0" xfId="42" applyNumberFormat="1" applyFont="1" applyAlignment="1">
      <alignment horizontal="center"/>
    </xf>
    <xf numFmtId="181" fontId="17" fillId="0" borderId="19" xfId="0" applyNumberFormat="1" applyFont="1" applyBorder="1" applyAlignment="1">
      <alignment horizontal="center"/>
    </xf>
    <xf numFmtId="181" fontId="4" fillId="0" borderId="0" xfId="42" applyNumberFormat="1" applyFont="1" applyBorder="1" applyAlignment="1">
      <alignment horizontal="left"/>
    </xf>
    <xf numFmtId="181" fontId="0" fillId="0" borderId="0" xfId="42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9" fillId="0" borderId="0" xfId="0" applyFont="1" applyBorder="1" applyAlignment="1">
      <alignment/>
    </xf>
    <xf numFmtId="181" fontId="9" fillId="0" borderId="0" xfId="42" applyNumberFormat="1" applyFont="1" applyBorder="1" applyAlignment="1">
      <alignment/>
    </xf>
    <xf numFmtId="0" fontId="59" fillId="0" borderId="0" xfId="0" applyNumberFormat="1" applyFont="1" applyAlignment="1">
      <alignment/>
    </xf>
    <xf numFmtId="0" fontId="60" fillId="0" borderId="0" xfId="0" applyFont="1" applyAlignment="1">
      <alignment/>
    </xf>
    <xf numFmtId="0" fontId="61" fillId="0" borderId="0" xfId="0" applyNumberFormat="1" applyFont="1" applyAlignment="1">
      <alignment vertical="top"/>
    </xf>
    <xf numFmtId="43" fontId="60" fillId="0" borderId="0" xfId="42" applyFont="1" applyAlignment="1">
      <alignment vertical="top"/>
    </xf>
    <xf numFmtId="0" fontId="60" fillId="0" borderId="43" xfId="0" applyFont="1" applyBorder="1" applyAlignment="1">
      <alignment/>
    </xf>
    <xf numFmtId="0" fontId="60" fillId="0" borderId="44" xfId="0" applyFont="1" applyBorder="1" applyAlignment="1">
      <alignment/>
    </xf>
    <xf numFmtId="0" fontId="61" fillId="0" borderId="37" xfId="0" applyNumberFormat="1" applyFont="1" applyBorder="1" applyAlignment="1">
      <alignment/>
    </xf>
    <xf numFmtId="0" fontId="61" fillId="0" borderId="13" xfId="0" applyNumberFormat="1" applyFont="1" applyBorder="1" applyAlignment="1">
      <alignment/>
    </xf>
    <xf numFmtId="208" fontId="61" fillId="0" borderId="13" xfId="0" applyNumberFormat="1" applyFont="1" applyBorder="1" applyAlignment="1">
      <alignment/>
    </xf>
    <xf numFmtId="0" fontId="61" fillId="0" borderId="18" xfId="0" applyNumberFormat="1" applyFont="1" applyBorder="1" applyAlignment="1">
      <alignment/>
    </xf>
    <xf numFmtId="0" fontId="61" fillId="0" borderId="13" xfId="0" applyNumberFormat="1" applyFont="1" applyBorder="1" applyAlignment="1">
      <alignment vertical="top"/>
    </xf>
    <xf numFmtId="0" fontId="60" fillId="0" borderId="13" xfId="0" applyFont="1" applyBorder="1" applyAlignment="1">
      <alignment/>
    </xf>
    <xf numFmtId="43" fontId="60" fillId="0" borderId="13" xfId="42" applyFont="1" applyBorder="1" applyAlignment="1">
      <alignment vertical="top"/>
    </xf>
    <xf numFmtId="0" fontId="61" fillId="0" borderId="0" xfId="0" applyNumberFormat="1" applyFont="1" applyBorder="1" applyAlignment="1">
      <alignment/>
    </xf>
    <xf numFmtId="208" fontId="61" fillId="0" borderId="0" xfId="0" applyNumberFormat="1" applyFont="1" applyBorder="1" applyAlignment="1">
      <alignment/>
    </xf>
    <xf numFmtId="0" fontId="60" fillId="0" borderId="37" xfId="0" applyFont="1" applyBorder="1" applyAlignment="1">
      <alignment/>
    </xf>
    <xf numFmtId="0" fontId="60" fillId="0" borderId="0" xfId="0" applyFont="1" applyBorder="1" applyAlignment="1">
      <alignment/>
    </xf>
    <xf numFmtId="0" fontId="59" fillId="0" borderId="0" xfId="0" applyNumberFormat="1" applyFont="1" applyBorder="1" applyAlignment="1">
      <alignment/>
    </xf>
    <xf numFmtId="0" fontId="59" fillId="0" borderId="37" xfId="0" applyNumberFormat="1" applyFont="1" applyBorder="1" applyAlignment="1">
      <alignment/>
    </xf>
    <xf numFmtId="0" fontId="61" fillId="0" borderId="0" xfId="0" applyNumberFormat="1" applyFont="1" applyBorder="1" applyAlignment="1">
      <alignment vertical="top"/>
    </xf>
    <xf numFmtId="0" fontId="60" fillId="0" borderId="18" xfId="0" applyFont="1" applyBorder="1" applyAlignment="1">
      <alignment/>
    </xf>
    <xf numFmtId="0" fontId="60" fillId="0" borderId="45" xfId="0" applyFont="1" applyBorder="1" applyAlignment="1">
      <alignment/>
    </xf>
    <xf numFmtId="0" fontId="60" fillId="0" borderId="19" xfId="0" applyFont="1" applyBorder="1" applyAlignment="1">
      <alignment/>
    </xf>
    <xf numFmtId="0" fontId="59" fillId="0" borderId="19" xfId="0" applyNumberFormat="1" applyFont="1" applyBorder="1" applyAlignment="1">
      <alignment/>
    </xf>
    <xf numFmtId="181" fontId="34" fillId="0" borderId="0" xfId="42" applyNumberFormat="1" applyFont="1" applyAlignment="1">
      <alignment/>
    </xf>
    <xf numFmtId="0" fontId="55" fillId="0" borderId="0" xfId="0" applyFont="1" applyAlignment="1">
      <alignment/>
    </xf>
    <xf numFmtId="181" fontId="17" fillId="0" borderId="14" xfId="42" applyNumberFormat="1" applyFont="1" applyBorder="1" applyAlignment="1">
      <alignment horizontal="center"/>
    </xf>
    <xf numFmtId="181" fontId="8" fillId="0" borderId="0" xfId="42" applyNumberFormat="1" applyFont="1" applyBorder="1" applyAlignment="1">
      <alignment/>
    </xf>
    <xf numFmtId="181" fontId="4" fillId="0" borderId="14" xfId="42" applyNumberFormat="1" applyFont="1" applyBorder="1" applyAlignment="1">
      <alignment horizontal="left" wrapText="1"/>
    </xf>
    <xf numFmtId="181" fontId="1" fillId="0" borderId="0" xfId="42" applyNumberFormat="1" applyFont="1" applyAlignment="1">
      <alignment horizontal="right" vertical="justify"/>
    </xf>
    <xf numFmtId="181" fontId="4" fillId="0" borderId="11" xfId="42" applyNumberFormat="1" applyFont="1" applyBorder="1" applyAlignment="1">
      <alignment horizontal="right" wrapText="1"/>
    </xf>
    <xf numFmtId="181" fontId="4" fillId="0" borderId="0" xfId="42" applyNumberFormat="1" applyFont="1" applyBorder="1" applyAlignment="1">
      <alignment horizontal="right"/>
    </xf>
    <xf numFmtId="181" fontId="4" fillId="0" borderId="11" xfId="42" applyNumberFormat="1" applyFont="1" applyBorder="1" applyAlignment="1">
      <alignment horizontal="right"/>
    </xf>
    <xf numFmtId="181" fontId="1" fillId="0" borderId="10" xfId="42" applyNumberFormat="1" applyFont="1" applyBorder="1" applyAlignment="1">
      <alignment horizontal="right" wrapText="1"/>
    </xf>
    <xf numFmtId="181" fontId="1" fillId="0" borderId="0" xfId="42" applyNumberFormat="1" applyFont="1" applyAlignment="1">
      <alignment/>
    </xf>
    <xf numFmtId="3" fontId="3" fillId="0" borderId="0" xfId="0" applyNumberFormat="1" applyFont="1" applyBorder="1" applyAlignment="1">
      <alignment/>
    </xf>
    <xf numFmtId="210" fontId="0" fillId="0" borderId="13" xfId="42" applyNumberFormat="1" applyBorder="1" applyAlignment="1">
      <alignment horizontal="center"/>
    </xf>
    <xf numFmtId="181" fontId="63" fillId="0" borderId="0" xfId="42" applyNumberFormat="1" applyFont="1" applyBorder="1" applyAlignment="1">
      <alignment horizontal="right" wrapText="1"/>
    </xf>
    <xf numFmtId="2" fontId="5" fillId="0" borderId="0" xfId="62" applyNumberFormat="1" applyFont="1" applyBorder="1" applyAlignment="1">
      <alignment wrapText="1"/>
      <protection/>
    </xf>
    <xf numFmtId="181" fontId="0" fillId="0" borderId="42" xfId="42" applyNumberFormat="1" applyFont="1" applyBorder="1" applyAlignment="1">
      <alignment horizontal="left"/>
    </xf>
    <xf numFmtId="181" fontId="40" fillId="0" borderId="0" xfId="42" applyNumberFormat="1" applyFont="1" applyBorder="1" applyAlignment="1">
      <alignment horizontal="center" wrapText="1"/>
    </xf>
    <xf numFmtId="0" fontId="63" fillId="0" borderId="0" xfId="0" applyFont="1" applyBorder="1" applyAlignment="1">
      <alignment horizontal="right" wrapText="1"/>
    </xf>
    <xf numFmtId="3" fontId="62" fillId="0" borderId="0" xfId="0" applyNumberFormat="1" applyFont="1" applyBorder="1" applyAlignment="1">
      <alignment horizontal="right" wrapText="1"/>
    </xf>
    <xf numFmtId="43" fontId="0" fillId="0" borderId="0" xfId="0" applyNumberFormat="1" applyAlignment="1">
      <alignment/>
    </xf>
    <xf numFmtId="181" fontId="16" fillId="0" borderId="11" xfId="0" applyNumberFormat="1" applyFont="1" applyBorder="1" applyAlignment="1">
      <alignment horizontal="center"/>
    </xf>
    <xf numFmtId="181" fontId="28" fillId="0" borderId="21" xfId="42" applyNumberFormat="1" applyFont="1" applyBorder="1" applyAlignment="1">
      <alignment/>
    </xf>
    <xf numFmtId="0" fontId="8" fillId="0" borderId="0" xfId="0" applyFont="1" applyAlignment="1">
      <alignment/>
    </xf>
    <xf numFmtId="181" fontId="8" fillId="0" borderId="0" xfId="42" applyNumberFormat="1" applyFont="1" applyAlignment="1">
      <alignment horizontal="center"/>
    </xf>
    <xf numFmtId="181" fontId="5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46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49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3" fillId="0" borderId="13" xfId="63" applyFont="1" applyFill="1" applyBorder="1" applyAlignment="1">
      <alignment horizontal="left" wrapText="1"/>
      <protection/>
    </xf>
    <xf numFmtId="0" fontId="58" fillId="0" borderId="13" xfId="62" applyFont="1" applyBorder="1" applyAlignment="1">
      <alignment horizontal="left"/>
      <protection/>
    </xf>
    <xf numFmtId="0" fontId="3" fillId="0" borderId="13" xfId="62" applyFont="1" applyBorder="1" applyAlignment="1">
      <alignment horizontal="left"/>
      <protection/>
    </xf>
    <xf numFmtId="0" fontId="58" fillId="0" borderId="39" xfId="62" applyFont="1" applyBorder="1" applyAlignment="1">
      <alignment horizontal="left"/>
      <protection/>
    </xf>
    <xf numFmtId="0" fontId="35" fillId="0" borderId="13" xfId="62" applyFont="1" applyBorder="1" applyAlignment="1">
      <alignment horizontal="left" wrapText="1"/>
      <protection/>
    </xf>
    <xf numFmtId="0" fontId="35" fillId="0" borderId="13" xfId="62" applyFont="1" applyBorder="1" applyAlignment="1">
      <alignment horizontal="left"/>
      <protection/>
    </xf>
    <xf numFmtId="0" fontId="35" fillId="0" borderId="13" xfId="63" applyFont="1" applyFill="1" applyBorder="1" applyAlignment="1">
      <alignment horizontal="left" wrapText="1"/>
      <protection/>
    </xf>
    <xf numFmtId="0" fontId="58" fillId="0" borderId="13" xfId="63" applyFont="1" applyFill="1" applyBorder="1" applyAlignment="1">
      <alignment horizontal="left" wrapText="1"/>
      <protection/>
    </xf>
    <xf numFmtId="0" fontId="3" fillId="0" borderId="13" xfId="62" applyFont="1" applyBorder="1" applyAlignment="1">
      <alignment horizontal="left" wrapText="1"/>
      <protection/>
    </xf>
    <xf numFmtId="0" fontId="9" fillId="0" borderId="10" xfId="62" applyFont="1" applyBorder="1" applyAlignment="1">
      <alignment horizontal="left" wrapText="1"/>
      <protection/>
    </xf>
    <xf numFmtId="0" fontId="9" fillId="0" borderId="16" xfId="62" applyFont="1" applyBorder="1" applyAlignment="1">
      <alignment horizontal="left" wrapText="1"/>
      <protection/>
    </xf>
    <xf numFmtId="0" fontId="54" fillId="0" borderId="47" xfId="62" applyFont="1" applyBorder="1" applyAlignment="1">
      <alignment horizontal="left" wrapText="1"/>
      <protection/>
    </xf>
    <xf numFmtId="0" fontId="54" fillId="0" borderId="22" xfId="62" applyFont="1" applyBorder="1" applyAlignment="1">
      <alignment horizontal="left" wrapText="1"/>
      <protection/>
    </xf>
    <xf numFmtId="2" fontId="9" fillId="0" borderId="18" xfId="62" applyNumberFormat="1" applyFont="1" applyBorder="1" applyAlignment="1">
      <alignment horizontal="center" wrapText="1"/>
      <protection/>
    </xf>
    <xf numFmtId="2" fontId="9" fillId="0" borderId="10" xfId="62" applyNumberFormat="1" applyFont="1" applyBorder="1" applyAlignment="1">
      <alignment horizontal="center" wrapText="1"/>
      <protection/>
    </xf>
    <xf numFmtId="2" fontId="9" fillId="0" borderId="16" xfId="62" applyNumberFormat="1" applyFont="1" applyBorder="1" applyAlignment="1">
      <alignment horizontal="center" wrapText="1"/>
      <protection/>
    </xf>
    <xf numFmtId="0" fontId="57" fillId="0" borderId="48" xfId="62" applyFont="1" applyBorder="1" applyAlignment="1">
      <alignment horizontal="center" wrapText="1"/>
      <protection/>
    </xf>
    <xf numFmtId="0" fontId="57" fillId="0" borderId="15" xfId="62" applyFont="1" applyBorder="1" applyAlignment="1">
      <alignment horizontal="center" wrapText="1"/>
      <protection/>
    </xf>
    <xf numFmtId="0" fontId="57" fillId="0" borderId="47" xfId="62" applyFont="1" applyBorder="1" applyAlignment="1">
      <alignment horizontal="center" wrapText="1"/>
      <protection/>
    </xf>
    <xf numFmtId="0" fontId="35" fillId="0" borderId="49" xfId="62" applyFont="1" applyBorder="1" applyAlignment="1">
      <alignment horizontal="left" wrapText="1"/>
      <protection/>
    </xf>
    <xf numFmtId="0" fontId="35" fillId="0" borderId="29" xfId="62" applyFont="1" applyBorder="1" applyAlignment="1">
      <alignment horizontal="left" wrapText="1"/>
      <protection/>
    </xf>
    <xf numFmtId="0" fontId="0" fillId="0" borderId="10" xfId="62" applyFont="1" applyBorder="1" applyAlignment="1">
      <alignment horizontal="left" wrapText="1"/>
      <protection/>
    </xf>
    <xf numFmtId="0" fontId="0" fillId="0" borderId="16" xfId="62" applyFont="1" applyBorder="1" applyAlignment="1">
      <alignment horizontal="left" wrapText="1"/>
      <protection/>
    </xf>
    <xf numFmtId="181" fontId="63" fillId="0" borderId="0" xfId="42" applyNumberFormat="1" applyFont="1" applyBorder="1" applyAlignment="1">
      <alignment horizontal="right" wrapText="1"/>
    </xf>
    <xf numFmtId="0" fontId="9" fillId="0" borderId="27" xfId="62" applyFont="1" applyBorder="1" applyAlignment="1">
      <alignment horizontal="left" wrapText="1"/>
      <protection/>
    </xf>
    <xf numFmtId="0" fontId="9" fillId="0" borderId="17" xfId="62" applyFont="1" applyBorder="1" applyAlignment="1">
      <alignment horizontal="left" wrapText="1"/>
      <protection/>
    </xf>
    <xf numFmtId="0" fontId="9" fillId="0" borderId="36" xfId="62" applyFont="1" applyBorder="1" applyAlignment="1">
      <alignment horizontal="left" wrapText="1"/>
      <protection/>
    </xf>
    <xf numFmtId="0" fontId="9" fillId="0" borderId="23" xfId="62" applyFont="1" applyBorder="1" applyAlignment="1">
      <alignment horizontal="left" wrapText="1"/>
      <protection/>
    </xf>
    <xf numFmtId="0" fontId="9" fillId="0" borderId="39" xfId="62" applyFont="1" applyBorder="1" applyAlignment="1">
      <alignment horizontal="left" wrapText="1"/>
      <protection/>
    </xf>
    <xf numFmtId="0" fontId="0" fillId="0" borderId="10" xfId="62" applyFont="1" applyBorder="1" applyAlignment="1">
      <alignment horizontal="center" wrapText="1"/>
      <protection/>
    </xf>
    <xf numFmtId="0" fontId="0" fillId="0" borderId="16" xfId="62" applyFont="1" applyBorder="1" applyAlignment="1">
      <alignment horizontal="center" wrapText="1"/>
      <protection/>
    </xf>
    <xf numFmtId="2" fontId="57" fillId="0" borderId="0" xfId="62" applyNumberFormat="1" applyFont="1" applyBorder="1" applyAlignment="1">
      <alignment horizontal="center" wrapText="1"/>
      <protection/>
    </xf>
    <xf numFmtId="2" fontId="57" fillId="0" borderId="27" xfId="62" applyNumberFormat="1" applyFont="1" applyBorder="1" applyAlignment="1">
      <alignment horizontal="center" wrapText="1"/>
      <protection/>
    </xf>
    <xf numFmtId="0" fontId="9" fillId="0" borderId="49" xfId="62" applyFont="1" applyBorder="1" applyAlignment="1">
      <alignment horizontal="left" wrapText="1"/>
      <protection/>
    </xf>
    <xf numFmtId="0" fontId="9" fillId="0" borderId="29" xfId="62" applyFont="1" applyBorder="1" applyAlignment="1">
      <alignment horizontal="left" wrapText="1"/>
      <protection/>
    </xf>
    <xf numFmtId="0" fontId="34" fillId="0" borderId="0" xfId="0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_21.Aktivet Afatgjata Materiale  09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_asn_2009 Propozimet" xfId="62"/>
    <cellStyle name="Normal_Sheet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V91"/>
  <sheetViews>
    <sheetView zoomScalePageLayoutView="0" workbookViewId="0" topLeftCell="F81">
      <selection activeCell="F94" sqref="F94"/>
    </sheetView>
  </sheetViews>
  <sheetFormatPr defaultColWidth="21.7109375" defaultRowHeight="19.5" customHeight="1"/>
  <cols>
    <col min="1" max="1" width="17.28125" style="51" customWidth="1"/>
    <col min="2" max="2" width="0.13671875" style="51" hidden="1" customWidth="1"/>
    <col min="3" max="3" width="0.2890625" style="51" hidden="1" customWidth="1"/>
    <col min="4" max="4" width="57.421875" style="49" hidden="1" customWidth="1"/>
    <col min="5" max="5" width="0.42578125" style="49" hidden="1" customWidth="1"/>
    <col min="6" max="6" width="39.57421875" style="68" customWidth="1"/>
    <col min="7" max="7" width="18.8515625" style="68" hidden="1" customWidth="1"/>
    <col min="8" max="8" width="18.00390625" style="89" hidden="1" customWidth="1"/>
    <col min="9" max="9" width="0.9921875" style="96" hidden="1" customWidth="1"/>
    <col min="10" max="10" width="9.421875" style="96" customWidth="1"/>
    <col min="11" max="11" width="0.42578125" style="96" customWidth="1"/>
    <col min="12" max="12" width="17.57421875" style="96" bestFit="1" customWidth="1"/>
    <col min="13" max="13" width="0.2890625" style="96" customWidth="1"/>
    <col min="14" max="14" width="26.140625" style="96" customWidth="1"/>
    <col min="15" max="15" width="22.421875" style="96" customWidth="1"/>
    <col min="16" max="16" width="15.7109375" style="96" hidden="1" customWidth="1"/>
    <col min="17" max="17" width="0.5625" style="96" hidden="1" customWidth="1"/>
    <col min="18" max="18" width="21.7109375" style="49" customWidth="1"/>
    <col min="19" max="19" width="21.7109375" style="153" customWidth="1"/>
    <col min="20" max="20" width="21.7109375" style="154" customWidth="1"/>
    <col min="21" max="21" width="21.7109375" style="49" customWidth="1"/>
    <col min="22" max="16384" width="21.7109375" style="51" customWidth="1"/>
  </cols>
  <sheetData>
    <row r="1" ht="19.5" customHeight="1">
      <c r="C1" s="52" t="s">
        <v>147</v>
      </c>
    </row>
    <row r="2" spans="3:7" ht="19.5" customHeight="1">
      <c r="C2" s="392" t="s">
        <v>231</v>
      </c>
      <c r="D2" s="392"/>
      <c r="F2" s="95" t="s">
        <v>556</v>
      </c>
      <c r="G2" s="95"/>
    </row>
    <row r="3" ht="19.5" customHeight="1">
      <c r="C3" s="155"/>
    </row>
    <row r="4" spans="9:17" ht="19.5" customHeight="1">
      <c r="I4" s="156"/>
      <c r="J4" s="156"/>
      <c r="K4" s="156"/>
      <c r="L4" s="156"/>
      <c r="M4" s="156"/>
      <c r="N4" s="156"/>
      <c r="O4" s="156"/>
      <c r="P4" s="156">
        <v>138.77</v>
      </c>
      <c r="Q4" s="156">
        <v>137.96</v>
      </c>
    </row>
    <row r="5" spans="3:21" ht="19.5" customHeight="1" thickBot="1">
      <c r="C5" s="157" t="s">
        <v>83</v>
      </c>
      <c r="D5" s="157"/>
      <c r="E5" s="153" t="s">
        <v>148</v>
      </c>
      <c r="F5" s="153" t="s">
        <v>79</v>
      </c>
      <c r="G5" s="158" t="s">
        <v>298</v>
      </c>
      <c r="H5" s="90" t="s">
        <v>230</v>
      </c>
      <c r="J5" s="96" t="s">
        <v>53</v>
      </c>
      <c r="K5" s="159" t="s">
        <v>548</v>
      </c>
      <c r="L5" s="159" t="s">
        <v>549</v>
      </c>
      <c r="M5" s="159" t="s">
        <v>550</v>
      </c>
      <c r="N5" s="159" t="s">
        <v>299</v>
      </c>
      <c r="O5" s="160" t="s">
        <v>228</v>
      </c>
      <c r="P5" s="96" t="s">
        <v>217</v>
      </c>
      <c r="Q5" s="96" t="s">
        <v>127</v>
      </c>
      <c r="S5" s="161"/>
      <c r="T5" s="95"/>
      <c r="U5" s="153"/>
    </row>
    <row r="6" spans="3:20" ht="19.5" customHeight="1" thickTop="1">
      <c r="C6" s="153"/>
      <c r="E6" s="153"/>
      <c r="F6" s="49"/>
      <c r="G6" s="49"/>
      <c r="T6" s="95"/>
    </row>
    <row r="7" spans="3:20" ht="19.5" customHeight="1">
      <c r="C7" s="162" t="s">
        <v>109</v>
      </c>
      <c r="E7" s="153" t="s">
        <v>149</v>
      </c>
      <c r="F7" s="49" t="s">
        <v>221</v>
      </c>
      <c r="G7" s="49"/>
      <c r="L7" s="96">
        <v>0</v>
      </c>
      <c r="N7" s="96">
        <v>0</v>
      </c>
      <c r="T7" s="163"/>
    </row>
    <row r="8" spans="3:20" ht="19.5" customHeight="1">
      <c r="C8" s="49"/>
      <c r="D8" s="49" t="s">
        <v>84</v>
      </c>
      <c r="F8" s="49" t="s">
        <v>150</v>
      </c>
      <c r="G8" s="71">
        <f>N8/139.59</f>
        <v>570770.6644458773</v>
      </c>
      <c r="H8" s="91">
        <f>O8/138.93</f>
        <v>686851.5943280789</v>
      </c>
      <c r="I8" s="96">
        <v>4</v>
      </c>
      <c r="J8" s="96">
        <v>4</v>
      </c>
      <c r="K8" s="96">
        <f>L8/140.2</f>
        <v>342775.21605050645</v>
      </c>
      <c r="L8" s="172">
        <v>48057085.290281</v>
      </c>
      <c r="M8" s="172">
        <v>570770.6644458773</v>
      </c>
      <c r="N8" s="172">
        <v>79673877.05000001</v>
      </c>
      <c r="O8" s="96">
        <v>95424292</v>
      </c>
      <c r="P8" s="96" t="e">
        <f>#REF!/$P$4</f>
        <v>#REF!</v>
      </c>
      <c r="Q8" s="96" t="e">
        <f>#REF!/137.96</f>
        <v>#REF!</v>
      </c>
      <c r="R8" s="76"/>
      <c r="S8" s="165"/>
      <c r="T8" s="164"/>
    </row>
    <row r="9" spans="3:20" ht="19.5" customHeight="1">
      <c r="C9" s="49"/>
      <c r="D9" s="166" t="s">
        <v>101</v>
      </c>
      <c r="F9" s="49" t="s">
        <v>151</v>
      </c>
      <c r="G9" s="71">
        <f aca="true" t="shared" si="0" ref="G9:G72">N9/139.59</f>
        <v>0</v>
      </c>
      <c r="H9" s="91">
        <f aca="true" t="shared" si="1" ref="H9:H72">O9/138.93</f>
        <v>0</v>
      </c>
      <c r="J9" s="96">
        <v>4</v>
      </c>
      <c r="K9" s="96">
        <f aca="true" t="shared" si="2" ref="K9:K72">L9/140.2</f>
        <v>0</v>
      </c>
      <c r="L9" s="96">
        <v>0</v>
      </c>
      <c r="M9" s="96">
        <v>0</v>
      </c>
      <c r="N9" s="96">
        <v>0</v>
      </c>
      <c r="P9" s="96" t="e">
        <f>#REF!/$P$4</f>
        <v>#REF!</v>
      </c>
      <c r="Q9" s="96" t="e">
        <f>#REF!/137.96</f>
        <v>#REF!</v>
      </c>
      <c r="R9" s="76"/>
      <c r="S9" s="165"/>
      <c r="T9" s="164"/>
    </row>
    <row r="10" spans="3:20" ht="19.5" customHeight="1">
      <c r="C10" s="49"/>
      <c r="D10" s="49" t="s">
        <v>100</v>
      </c>
      <c r="F10" s="49" t="s">
        <v>152</v>
      </c>
      <c r="G10" s="71">
        <f t="shared" si="0"/>
        <v>0</v>
      </c>
      <c r="H10" s="91">
        <f t="shared" si="1"/>
        <v>0</v>
      </c>
      <c r="J10" s="96">
        <v>4</v>
      </c>
      <c r="K10" s="96">
        <f t="shared" si="2"/>
        <v>0</v>
      </c>
      <c r="L10" s="96">
        <v>0</v>
      </c>
      <c r="M10" s="96">
        <v>0</v>
      </c>
      <c r="N10" s="96">
        <v>0</v>
      </c>
      <c r="P10" s="96" t="e">
        <f>#REF!/$P$4</f>
        <v>#REF!</v>
      </c>
      <c r="Q10" s="96" t="e">
        <f>#REF!/137.96</f>
        <v>#REF!</v>
      </c>
      <c r="R10" s="76"/>
      <c r="S10" s="165"/>
      <c r="T10" s="167"/>
    </row>
    <row r="11" spans="3:20" ht="19.5" customHeight="1">
      <c r="C11" s="49"/>
      <c r="D11" s="49" t="s">
        <v>38</v>
      </c>
      <c r="F11" s="49" t="s">
        <v>38</v>
      </c>
      <c r="G11" s="71">
        <f t="shared" si="0"/>
        <v>0</v>
      </c>
      <c r="H11" s="91">
        <f t="shared" si="1"/>
        <v>0</v>
      </c>
      <c r="K11" s="96">
        <f t="shared" si="2"/>
        <v>0</v>
      </c>
      <c r="L11" s="96">
        <v>0</v>
      </c>
      <c r="M11" s="96">
        <v>0</v>
      </c>
      <c r="N11" s="96">
        <v>0</v>
      </c>
      <c r="P11" s="96" t="e">
        <f>#REF!/$P$4</f>
        <v>#REF!</v>
      </c>
      <c r="Q11" s="96" t="e">
        <f>#REF!/137.96</f>
        <v>#REF!</v>
      </c>
      <c r="R11" s="76"/>
      <c r="S11" s="165"/>
      <c r="T11" s="164"/>
    </row>
    <row r="12" spans="3:20" ht="19.5" customHeight="1">
      <c r="C12" s="49"/>
      <c r="F12" s="49"/>
      <c r="G12" s="71">
        <f t="shared" si="0"/>
        <v>0</v>
      </c>
      <c r="H12" s="91">
        <f t="shared" si="1"/>
        <v>0</v>
      </c>
      <c r="K12" s="96">
        <f t="shared" si="2"/>
        <v>0</v>
      </c>
      <c r="L12" s="96">
        <v>0</v>
      </c>
      <c r="N12" s="96">
        <v>0</v>
      </c>
      <c r="R12" s="76"/>
      <c r="S12" s="165"/>
      <c r="T12" s="164"/>
    </row>
    <row r="13" spans="3:21" ht="19.5" customHeight="1" thickBot="1">
      <c r="C13" s="49"/>
      <c r="D13" s="168" t="s">
        <v>39</v>
      </c>
      <c r="F13" s="168" t="s">
        <v>39</v>
      </c>
      <c r="G13" s="196">
        <f t="shared" si="0"/>
        <v>570770.6644458773</v>
      </c>
      <c r="H13" s="202">
        <f t="shared" si="1"/>
        <v>686851.5943280789</v>
      </c>
      <c r="J13" s="209">
        <v>4.1</v>
      </c>
      <c r="K13" s="159">
        <f t="shared" si="2"/>
        <v>342775.21605050645</v>
      </c>
      <c r="L13" s="159">
        <v>48057085.290281</v>
      </c>
      <c r="M13" s="159">
        <v>570770.6644458773</v>
      </c>
      <c r="N13" s="189">
        <v>79673877.05000001</v>
      </c>
      <c r="O13" s="189">
        <v>95424292</v>
      </c>
      <c r="P13" s="96" t="e">
        <f>#REF!/$P$4</f>
        <v>#REF!</v>
      </c>
      <c r="Q13" s="159" t="e">
        <f>#REF!/137.96</f>
        <v>#REF!</v>
      </c>
      <c r="R13" s="76"/>
      <c r="S13" s="165"/>
      <c r="T13" s="164"/>
      <c r="U13" s="168"/>
    </row>
    <row r="14" spans="3:20" ht="19.5" customHeight="1" thickTop="1">
      <c r="C14" s="49"/>
      <c r="F14" s="49"/>
      <c r="G14" s="71">
        <f t="shared" si="0"/>
        <v>0</v>
      </c>
      <c r="H14" s="91">
        <f t="shared" si="1"/>
        <v>0</v>
      </c>
      <c r="K14" s="96">
        <f t="shared" si="2"/>
        <v>0</v>
      </c>
      <c r="L14" s="96">
        <v>0</v>
      </c>
      <c r="N14" s="96">
        <v>0</v>
      </c>
      <c r="P14" s="96" t="e">
        <f>#REF!/$P$4</f>
        <v>#REF!</v>
      </c>
      <c r="R14" s="76"/>
      <c r="S14" s="165"/>
      <c r="T14" s="170"/>
    </row>
    <row r="15" spans="3:20" ht="19.5" customHeight="1">
      <c r="C15" s="153" t="s">
        <v>95</v>
      </c>
      <c r="E15" s="153" t="s">
        <v>153</v>
      </c>
      <c r="F15" s="49" t="s">
        <v>222</v>
      </c>
      <c r="G15" s="71">
        <f t="shared" si="0"/>
        <v>0</v>
      </c>
      <c r="H15" s="91">
        <f t="shared" si="1"/>
        <v>0</v>
      </c>
      <c r="K15" s="96">
        <f t="shared" si="2"/>
        <v>0</v>
      </c>
      <c r="L15" s="96">
        <v>0</v>
      </c>
      <c r="N15" s="96">
        <v>0</v>
      </c>
      <c r="P15" s="96" t="e">
        <f>#REF!/$P$4</f>
        <v>#REF!</v>
      </c>
      <c r="R15" s="76"/>
      <c r="S15" s="165"/>
      <c r="T15" s="170"/>
    </row>
    <row r="16" spans="3:21" ht="19.5" customHeight="1">
      <c r="C16" s="49"/>
      <c r="D16" s="171" t="s">
        <v>85</v>
      </c>
      <c r="F16" s="171" t="s">
        <v>154</v>
      </c>
      <c r="G16" s="71">
        <f t="shared" si="0"/>
        <v>0</v>
      </c>
      <c r="H16" s="91">
        <f t="shared" si="1"/>
        <v>0</v>
      </c>
      <c r="K16" s="96">
        <f t="shared" si="2"/>
        <v>0</v>
      </c>
      <c r="L16" s="96">
        <v>0</v>
      </c>
      <c r="N16" s="96">
        <v>0</v>
      </c>
      <c r="P16" s="96" t="e">
        <f>#REF!/$P$4</f>
        <v>#REF!</v>
      </c>
      <c r="R16" s="76"/>
      <c r="S16" s="165"/>
      <c r="T16" s="164"/>
      <c r="U16" s="171"/>
    </row>
    <row r="17" spans="3:21" ht="19.5" customHeight="1">
      <c r="C17" s="49"/>
      <c r="D17" s="49" t="s">
        <v>90</v>
      </c>
      <c r="F17" s="49" t="s">
        <v>300</v>
      </c>
      <c r="G17" s="71">
        <f t="shared" si="0"/>
        <v>5603.644673687227</v>
      </c>
      <c r="H17" s="91">
        <f t="shared" si="1"/>
        <v>4949.514143813431</v>
      </c>
      <c r="I17" s="96" t="s">
        <v>77</v>
      </c>
      <c r="J17" s="96" t="s">
        <v>245</v>
      </c>
      <c r="K17" s="96">
        <f t="shared" si="2"/>
        <v>5666.2465049928305</v>
      </c>
      <c r="L17" s="172">
        <v>794407.7599999948</v>
      </c>
      <c r="M17" s="172">
        <v>5603.644673687227</v>
      </c>
      <c r="N17" s="172">
        <v>782212.76</v>
      </c>
      <c r="O17" s="172">
        <v>687636</v>
      </c>
      <c r="P17" s="96" t="e">
        <f>#REF!/$P$4</f>
        <v>#REF!</v>
      </c>
      <c r="Q17" s="96" t="e">
        <f>#REF!/137.96</f>
        <v>#REF!</v>
      </c>
      <c r="R17" s="76"/>
      <c r="S17" s="165"/>
      <c r="T17" s="164"/>
      <c r="U17" s="173"/>
    </row>
    <row r="18" spans="3:20" ht="19.5" customHeight="1">
      <c r="C18" s="49"/>
      <c r="D18" s="49" t="s">
        <v>91</v>
      </c>
      <c r="F18" s="49" t="s">
        <v>155</v>
      </c>
      <c r="G18" s="71">
        <f t="shared" si="0"/>
        <v>0</v>
      </c>
      <c r="H18" s="91">
        <f t="shared" si="1"/>
        <v>0</v>
      </c>
      <c r="K18" s="96">
        <f t="shared" si="2"/>
        <v>0</v>
      </c>
      <c r="L18" s="172">
        <v>0</v>
      </c>
      <c r="M18" s="172">
        <v>0</v>
      </c>
      <c r="N18" s="172">
        <v>0</v>
      </c>
      <c r="P18" s="96" t="e">
        <f>#REF!/$P$4</f>
        <v>#REF!</v>
      </c>
      <c r="Q18" s="96" t="e">
        <f>#REF!/137.96</f>
        <v>#REF!</v>
      </c>
      <c r="R18" s="76"/>
      <c r="S18" s="165"/>
      <c r="T18" s="164"/>
    </row>
    <row r="19" spans="3:20" ht="19.5" customHeight="1">
      <c r="C19" s="49"/>
      <c r="D19" s="49" t="s">
        <v>92</v>
      </c>
      <c r="F19" s="49" t="s">
        <v>156</v>
      </c>
      <c r="G19" s="71">
        <f t="shared" si="0"/>
        <v>0</v>
      </c>
      <c r="H19" s="91">
        <f t="shared" si="1"/>
        <v>0</v>
      </c>
      <c r="K19" s="96">
        <f t="shared" si="2"/>
        <v>0</v>
      </c>
      <c r="L19" s="172">
        <v>0</v>
      </c>
      <c r="M19" s="172">
        <v>0</v>
      </c>
      <c r="N19" s="172">
        <v>0</v>
      </c>
      <c r="P19" s="96" t="e">
        <f>#REF!/$P$4</f>
        <v>#REF!</v>
      </c>
      <c r="Q19" s="96" t="e">
        <f>#REF!/137.96</f>
        <v>#REF!</v>
      </c>
      <c r="R19" s="76"/>
      <c r="S19" s="165"/>
      <c r="T19" s="164"/>
    </row>
    <row r="20" spans="3:20" ht="19.5" customHeight="1">
      <c r="C20" s="49"/>
      <c r="D20" s="49" t="s">
        <v>93</v>
      </c>
      <c r="F20" s="174" t="s">
        <v>157</v>
      </c>
      <c r="G20" s="71">
        <f t="shared" si="0"/>
        <v>1795801.3859875347</v>
      </c>
      <c r="H20" s="91">
        <f t="shared" si="1"/>
        <v>1548339.3939393938</v>
      </c>
      <c r="I20" s="96" t="s">
        <v>78</v>
      </c>
      <c r="J20" s="96" t="s">
        <v>245</v>
      </c>
      <c r="K20" s="96">
        <f t="shared" si="2"/>
        <v>1214739.3558701847</v>
      </c>
      <c r="L20" s="172">
        <v>170306457.69299987</v>
      </c>
      <c r="M20" s="172">
        <v>1795801.3859875347</v>
      </c>
      <c r="N20" s="172">
        <v>250675915.46999997</v>
      </c>
      <c r="O20" s="172">
        <v>215110792</v>
      </c>
      <c r="P20" s="96" t="e">
        <f>#REF!/$P$4</f>
        <v>#REF!</v>
      </c>
      <c r="Q20" s="96" t="e">
        <f>#REF!/137.96</f>
        <v>#REF!</v>
      </c>
      <c r="R20" s="76"/>
      <c r="S20" s="165"/>
      <c r="T20" s="164"/>
    </row>
    <row r="21" spans="3:20" ht="19.5" customHeight="1">
      <c r="C21" s="49"/>
      <c r="D21" s="49" t="s">
        <v>94</v>
      </c>
      <c r="F21" s="174" t="s">
        <v>158</v>
      </c>
      <c r="G21" s="71">
        <f t="shared" si="0"/>
        <v>74032.58922558921</v>
      </c>
      <c r="H21" s="91">
        <f t="shared" si="1"/>
        <v>191484.8772763262</v>
      </c>
      <c r="K21" s="96">
        <f t="shared" si="2"/>
        <v>0</v>
      </c>
      <c r="L21" s="172">
        <v>0</v>
      </c>
      <c r="M21" s="387">
        <v>74032.58922558921</v>
      </c>
      <c r="N21" s="172">
        <v>10334209.129999999</v>
      </c>
      <c r="O21" s="172">
        <v>26602994</v>
      </c>
      <c r="P21" s="96" t="e">
        <f>#REF!/$P$4</f>
        <v>#REF!</v>
      </c>
      <c r="Q21" s="96" t="e">
        <f>#REF!/137.96</f>
        <v>#REF!</v>
      </c>
      <c r="R21" s="76"/>
      <c r="S21" s="165"/>
      <c r="T21" s="164"/>
    </row>
    <row r="22" spans="3:21" ht="19.5" customHeight="1" thickBot="1">
      <c r="C22" s="49"/>
      <c r="D22" s="168" t="s">
        <v>40</v>
      </c>
      <c r="F22" s="174" t="s">
        <v>40</v>
      </c>
      <c r="G22" s="200">
        <f t="shared" si="0"/>
        <v>1875437.619886811</v>
      </c>
      <c r="H22" s="201">
        <f t="shared" si="1"/>
        <v>1744773.7853595335</v>
      </c>
      <c r="K22" s="159">
        <f t="shared" si="2"/>
        <v>1220405.6023751774</v>
      </c>
      <c r="L22" s="176">
        <v>171100865.45299986</v>
      </c>
      <c r="M22" s="337">
        <v>1875437.619886811</v>
      </c>
      <c r="N22" s="388">
        <v>261792337.35999995</v>
      </c>
      <c r="O22" s="175">
        <v>242401422</v>
      </c>
      <c r="P22" s="96" t="e">
        <f>#REF!/$P$4</f>
        <v>#REF!</v>
      </c>
      <c r="Q22" s="176" t="e">
        <f>#REF!/137.96</f>
        <v>#REF!</v>
      </c>
      <c r="R22" s="76"/>
      <c r="S22" s="165"/>
      <c r="T22" s="177"/>
      <c r="U22" s="168"/>
    </row>
    <row r="23" spans="3:21" ht="19.5" customHeight="1">
      <c r="C23" s="49"/>
      <c r="D23" s="153"/>
      <c r="F23" s="178"/>
      <c r="G23" s="71">
        <f t="shared" si="0"/>
        <v>0</v>
      </c>
      <c r="H23" s="91">
        <f t="shared" si="1"/>
        <v>0</v>
      </c>
      <c r="K23" s="96">
        <f t="shared" si="2"/>
        <v>0</v>
      </c>
      <c r="L23" s="96">
        <v>0</v>
      </c>
      <c r="N23" s="96">
        <v>0</v>
      </c>
      <c r="P23" s="96" t="e">
        <f>#REF!/$P$4</f>
        <v>#REF!</v>
      </c>
      <c r="R23" s="76"/>
      <c r="S23" s="165"/>
      <c r="T23" s="170"/>
      <c r="U23" s="153"/>
    </row>
    <row r="24" spans="3:21" ht="19.5" customHeight="1">
      <c r="C24" s="179" t="s">
        <v>190</v>
      </c>
      <c r="D24" s="179"/>
      <c r="E24" s="179" t="s">
        <v>159</v>
      </c>
      <c r="F24" s="180" t="s">
        <v>223</v>
      </c>
      <c r="G24" s="71">
        <f t="shared" si="0"/>
        <v>0</v>
      </c>
      <c r="H24" s="91">
        <f t="shared" si="1"/>
        <v>0</v>
      </c>
      <c r="J24" s="96" t="s">
        <v>56</v>
      </c>
      <c r="K24" s="96">
        <f t="shared" si="2"/>
        <v>0</v>
      </c>
      <c r="L24" s="96">
        <v>0</v>
      </c>
      <c r="N24" s="96">
        <v>0</v>
      </c>
      <c r="P24" s="96" t="e">
        <f>#REF!/$P$4</f>
        <v>#REF!</v>
      </c>
      <c r="R24" s="76"/>
      <c r="S24" s="165"/>
      <c r="T24" s="164"/>
      <c r="U24" s="153"/>
    </row>
    <row r="25" spans="3:20" ht="19.5" customHeight="1">
      <c r="C25" s="49"/>
      <c r="D25" s="181" t="s">
        <v>96</v>
      </c>
      <c r="F25" s="174" t="s">
        <v>160</v>
      </c>
      <c r="G25" s="71">
        <f t="shared" si="0"/>
        <v>1541847.4791890534</v>
      </c>
      <c r="H25" s="91">
        <f t="shared" si="1"/>
        <v>1241463.060534082</v>
      </c>
      <c r="I25" s="96" t="s">
        <v>56</v>
      </c>
      <c r="J25" s="96" t="s">
        <v>56</v>
      </c>
      <c r="K25" s="96">
        <f t="shared" si="2"/>
        <v>1894801.4764039246</v>
      </c>
      <c r="L25" s="172">
        <v>265651166.9918302</v>
      </c>
      <c r="M25" s="172">
        <v>1541847.4791890534</v>
      </c>
      <c r="N25" s="172">
        <v>215226489.61999997</v>
      </c>
      <c r="O25" s="172">
        <v>172476463</v>
      </c>
      <c r="P25" s="96" t="e">
        <f>#REF!/$P$4</f>
        <v>#REF!</v>
      </c>
      <c r="Q25" s="96" t="e">
        <f>#REF!/137.96</f>
        <v>#REF!</v>
      </c>
      <c r="R25" s="76"/>
      <c r="S25" s="165"/>
      <c r="T25" s="182"/>
    </row>
    <row r="26" spans="3:20" ht="19.5" customHeight="1">
      <c r="C26" s="49"/>
      <c r="D26" s="181" t="s">
        <v>97</v>
      </c>
      <c r="F26" s="174" t="s">
        <v>161</v>
      </c>
      <c r="G26" s="71">
        <f t="shared" si="0"/>
        <v>194587.14449459137</v>
      </c>
      <c r="H26" s="91">
        <f t="shared" si="1"/>
        <v>395973.12315554597</v>
      </c>
      <c r="I26" s="96" t="s">
        <v>56</v>
      </c>
      <c r="J26" s="96" t="s">
        <v>56</v>
      </c>
      <c r="K26" s="96">
        <f t="shared" si="2"/>
        <v>31643.62978987881</v>
      </c>
      <c r="L26" s="172">
        <v>4436436.896541009</v>
      </c>
      <c r="M26" s="172">
        <v>194587.14449459137</v>
      </c>
      <c r="N26" s="172">
        <v>27162419.50000001</v>
      </c>
      <c r="O26" s="172">
        <v>55012546</v>
      </c>
      <c r="P26" s="96" t="e">
        <f>#REF!/$P$4</f>
        <v>#REF!</v>
      </c>
      <c r="Q26" s="96" t="e">
        <f>#REF!/137.96</f>
        <v>#REF!</v>
      </c>
      <c r="R26" s="76"/>
      <c r="S26" s="165"/>
      <c r="T26" s="182"/>
    </row>
    <row r="27" spans="3:20" ht="19.5" customHeight="1">
      <c r="C27" s="49"/>
      <c r="D27" s="183" t="s">
        <v>98</v>
      </c>
      <c r="F27" s="174" t="s">
        <v>162</v>
      </c>
      <c r="G27" s="71">
        <f t="shared" si="0"/>
        <v>37200.55584210903</v>
      </c>
      <c r="H27" s="91">
        <f t="shared" si="1"/>
        <v>46008.500683797596</v>
      </c>
      <c r="I27" s="96" t="s">
        <v>56</v>
      </c>
      <c r="J27" s="96" t="s">
        <v>56</v>
      </c>
      <c r="K27" s="96">
        <f t="shared" si="2"/>
        <v>38888.984236804565</v>
      </c>
      <c r="L27" s="172">
        <v>5452235.59</v>
      </c>
      <c r="M27" s="172">
        <v>37200.55584210903</v>
      </c>
      <c r="N27" s="172">
        <v>5192825.59</v>
      </c>
      <c r="O27" s="172">
        <v>6391961</v>
      </c>
      <c r="P27" s="96" t="e">
        <f>#REF!/$P$4</f>
        <v>#REF!</v>
      </c>
      <c r="Q27" s="96" t="e">
        <f>#REF!/137.96</f>
        <v>#REF!</v>
      </c>
      <c r="R27" s="76"/>
      <c r="S27" s="165"/>
      <c r="T27" s="164"/>
    </row>
    <row r="28" spans="3:20" ht="19.5" customHeight="1">
      <c r="C28" s="49"/>
      <c r="D28" s="183" t="s">
        <v>99</v>
      </c>
      <c r="F28" s="174" t="s">
        <v>163</v>
      </c>
      <c r="G28" s="71">
        <f t="shared" si="0"/>
        <v>0</v>
      </c>
      <c r="H28" s="91">
        <f t="shared" si="1"/>
        <v>0</v>
      </c>
      <c r="K28" s="96">
        <f t="shared" si="2"/>
        <v>0</v>
      </c>
      <c r="L28" s="96">
        <v>0</v>
      </c>
      <c r="M28" s="96">
        <v>0</v>
      </c>
      <c r="N28" s="172">
        <v>0</v>
      </c>
      <c r="O28" s="172"/>
      <c r="P28" s="96" t="e">
        <f>#REF!/$P$4</f>
        <v>#REF!</v>
      </c>
      <c r="Q28" s="96" t="e">
        <f>#REF!/137.96</f>
        <v>#REF!</v>
      </c>
      <c r="R28" s="76"/>
      <c r="S28" s="165"/>
      <c r="T28" s="164"/>
    </row>
    <row r="29" spans="3:21" ht="19.5" customHeight="1" thickBot="1">
      <c r="C29" s="49"/>
      <c r="D29" s="168" t="s">
        <v>41</v>
      </c>
      <c r="F29" s="174" t="s">
        <v>41</v>
      </c>
      <c r="G29" s="196">
        <f t="shared" si="0"/>
        <v>1773635.1795257537</v>
      </c>
      <c r="H29" s="203">
        <f t="shared" si="1"/>
        <v>1683444.6843734253</v>
      </c>
      <c r="J29" s="96" t="s">
        <v>56</v>
      </c>
      <c r="K29" s="159">
        <f t="shared" si="2"/>
        <v>1965334.0904306078</v>
      </c>
      <c r="L29" s="159">
        <v>275539839.4783712</v>
      </c>
      <c r="M29" s="159">
        <v>1773635.1795257537</v>
      </c>
      <c r="N29" s="189">
        <v>247581734.70999998</v>
      </c>
      <c r="O29" s="169">
        <v>233880970</v>
      </c>
      <c r="P29" s="96" t="e">
        <f>#REF!/$P$4</f>
        <v>#REF!</v>
      </c>
      <c r="Q29" s="159" t="e">
        <f>#REF!/137.96</f>
        <v>#REF!</v>
      </c>
      <c r="R29" s="165"/>
      <c r="S29" s="165"/>
      <c r="T29" s="177"/>
      <c r="U29" s="168"/>
    </row>
    <row r="30" spans="3:20" ht="19.5" customHeight="1" thickTop="1">
      <c r="C30" s="49"/>
      <c r="F30" s="174"/>
      <c r="G30" s="71">
        <f t="shared" si="0"/>
        <v>0</v>
      </c>
      <c r="H30" s="91">
        <f t="shared" si="1"/>
        <v>0</v>
      </c>
      <c r="K30" s="96">
        <f t="shared" si="2"/>
        <v>0</v>
      </c>
      <c r="L30" s="96">
        <v>0</v>
      </c>
      <c r="N30" s="96">
        <v>0</v>
      </c>
      <c r="P30" s="96" t="e">
        <f>#REF!/$P$4</f>
        <v>#REF!</v>
      </c>
      <c r="R30" s="76"/>
      <c r="S30" s="165"/>
      <c r="T30" s="164"/>
    </row>
    <row r="31" spans="3:20" ht="19.5" customHeight="1">
      <c r="C31" s="49"/>
      <c r="D31" s="162" t="s">
        <v>102</v>
      </c>
      <c r="F31" s="174" t="s">
        <v>164</v>
      </c>
      <c r="G31" s="71">
        <f t="shared" si="0"/>
        <v>54181.742388423234</v>
      </c>
      <c r="H31" s="91">
        <f t="shared" si="1"/>
        <v>154266.83221766356</v>
      </c>
      <c r="I31" s="96" t="s">
        <v>57</v>
      </c>
      <c r="J31" s="96" t="s">
        <v>57</v>
      </c>
      <c r="K31" s="96">
        <f t="shared" si="2"/>
        <v>87333.74162189066</v>
      </c>
      <c r="L31" s="172">
        <v>12244190.575389069</v>
      </c>
      <c r="M31" s="172">
        <v>54181.742388423234</v>
      </c>
      <c r="N31" s="172">
        <v>7563229.419999999</v>
      </c>
      <c r="O31" s="172">
        <v>21432291</v>
      </c>
      <c r="P31" s="96" t="e">
        <f>#REF!/$P$4</f>
        <v>#REF!</v>
      </c>
      <c r="Q31" s="96" t="e">
        <f>#REF!/137.96</f>
        <v>#REF!</v>
      </c>
      <c r="R31" s="76"/>
      <c r="S31" s="165"/>
      <c r="T31" s="167"/>
    </row>
    <row r="32" spans="3:20" ht="19.5" customHeight="1">
      <c r="C32" s="49"/>
      <c r="D32" s="162" t="s">
        <v>103</v>
      </c>
      <c r="F32" s="174" t="s">
        <v>165</v>
      </c>
      <c r="G32" s="71">
        <f t="shared" si="0"/>
        <v>0</v>
      </c>
      <c r="H32" s="91">
        <f t="shared" si="1"/>
        <v>0</v>
      </c>
      <c r="K32" s="96">
        <f t="shared" si="2"/>
        <v>0</v>
      </c>
      <c r="L32" s="96">
        <v>0</v>
      </c>
      <c r="N32" s="96">
        <v>0</v>
      </c>
      <c r="P32" s="96" t="e">
        <f>#REF!/$P$4</f>
        <v>#REF!</v>
      </c>
      <c r="Q32" s="96" t="e">
        <f>#REF!/137.96</f>
        <v>#REF!</v>
      </c>
      <c r="R32" s="76"/>
      <c r="S32" s="165"/>
      <c r="T32" s="170"/>
    </row>
    <row r="33" spans="3:20" ht="19.5" customHeight="1">
      <c r="C33" s="49"/>
      <c r="F33" s="174"/>
      <c r="G33" s="71">
        <f t="shared" si="0"/>
        <v>0</v>
      </c>
      <c r="H33" s="91">
        <f t="shared" si="1"/>
        <v>0</v>
      </c>
      <c r="K33" s="96">
        <f t="shared" si="2"/>
        <v>0</v>
      </c>
      <c r="L33" s="96">
        <v>0</v>
      </c>
      <c r="N33" s="96">
        <v>0</v>
      </c>
      <c r="O33" s="184"/>
      <c r="P33" s="96" t="e">
        <f>#REF!/$P$4</f>
        <v>#REF!</v>
      </c>
      <c r="Q33" s="96" t="e">
        <f>#REF!/137.96</f>
        <v>#REF!</v>
      </c>
      <c r="R33" s="76"/>
      <c r="S33" s="165"/>
      <c r="T33" s="164"/>
    </row>
    <row r="34" spans="3:21" ht="19.5" customHeight="1" thickBot="1">
      <c r="C34" s="49"/>
      <c r="D34" s="168" t="s">
        <v>108</v>
      </c>
      <c r="F34" s="174" t="s">
        <v>166</v>
      </c>
      <c r="G34" s="69">
        <f t="shared" si="0"/>
        <v>54181.742388423234</v>
      </c>
      <c r="H34" s="92">
        <f t="shared" si="1"/>
        <v>154266.83221766356</v>
      </c>
      <c r="K34" s="337">
        <f t="shared" si="2"/>
        <v>87333.74162189066</v>
      </c>
      <c r="L34" s="337">
        <v>12244190.575389069</v>
      </c>
      <c r="M34" s="337">
        <v>54181.742388423234</v>
      </c>
      <c r="N34" s="185">
        <v>7563229.419999999</v>
      </c>
      <c r="O34" s="185">
        <v>21432291</v>
      </c>
      <c r="P34" s="96" t="e">
        <f>#REF!/$P$4</f>
        <v>#REF!</v>
      </c>
      <c r="Q34" s="176" t="e">
        <f>#REF!/137.96</f>
        <v>#REF!</v>
      </c>
      <c r="R34" s="76"/>
      <c r="S34" s="165"/>
      <c r="T34" s="164"/>
      <c r="U34" s="168"/>
    </row>
    <row r="35" spans="3:20" ht="19.5" customHeight="1" thickTop="1">
      <c r="C35" s="49"/>
      <c r="F35" s="174"/>
      <c r="G35" s="71">
        <f t="shared" si="0"/>
        <v>0</v>
      </c>
      <c r="H35" s="91">
        <f t="shared" si="1"/>
        <v>0</v>
      </c>
      <c r="K35" s="96">
        <f t="shared" si="2"/>
        <v>0</v>
      </c>
      <c r="L35" s="96">
        <v>0</v>
      </c>
      <c r="N35" s="96">
        <v>0</v>
      </c>
      <c r="P35" s="96" t="e">
        <f>#REF!/$P$4</f>
        <v>#REF!</v>
      </c>
      <c r="R35" s="76"/>
      <c r="S35" s="165"/>
      <c r="T35" s="164"/>
    </row>
    <row r="36" spans="3:20" ht="19.5" customHeight="1">
      <c r="C36" s="49"/>
      <c r="F36" s="174" t="s">
        <v>167</v>
      </c>
      <c r="G36" s="71">
        <f t="shared" si="0"/>
        <v>0</v>
      </c>
      <c r="H36" s="91">
        <f t="shared" si="1"/>
        <v>0</v>
      </c>
      <c r="K36" s="96">
        <f t="shared" si="2"/>
        <v>0</v>
      </c>
      <c r="L36" s="96">
        <v>0</v>
      </c>
      <c r="N36" s="96">
        <v>0</v>
      </c>
      <c r="P36" s="96" t="e">
        <f>#REF!/$P$4</f>
        <v>#REF!</v>
      </c>
      <c r="R36" s="76"/>
      <c r="S36" s="165"/>
      <c r="T36" s="164"/>
    </row>
    <row r="37" spans="3:20" ht="19.5" customHeight="1">
      <c r="C37" s="49"/>
      <c r="D37" s="186" t="s">
        <v>105</v>
      </c>
      <c r="F37" s="174" t="s">
        <v>168</v>
      </c>
      <c r="G37" s="71">
        <f t="shared" si="0"/>
        <v>0</v>
      </c>
      <c r="H37" s="91">
        <f t="shared" si="1"/>
        <v>0</v>
      </c>
      <c r="K37" s="96">
        <f t="shared" si="2"/>
        <v>0</v>
      </c>
      <c r="L37" s="96">
        <v>0</v>
      </c>
      <c r="N37" s="96">
        <v>0</v>
      </c>
      <c r="P37" s="96" t="e">
        <f>#REF!/$P$4</f>
        <v>#REF!</v>
      </c>
      <c r="R37" s="76"/>
      <c r="S37" s="165"/>
      <c r="T37" s="164"/>
    </row>
    <row r="38" spans="3:20" ht="19.5" customHeight="1">
      <c r="C38" s="49"/>
      <c r="D38" s="186" t="s">
        <v>104</v>
      </c>
      <c r="F38" s="174" t="s">
        <v>169</v>
      </c>
      <c r="G38" s="71">
        <f t="shared" si="0"/>
        <v>18708.13224443012</v>
      </c>
      <c r="H38" s="91">
        <f t="shared" si="1"/>
        <v>8518.7648456057</v>
      </c>
      <c r="I38" s="96" t="s">
        <v>218</v>
      </c>
      <c r="J38" s="96" t="s">
        <v>218</v>
      </c>
      <c r="K38" s="96">
        <f t="shared" si="2"/>
        <v>0</v>
      </c>
      <c r="N38" s="172">
        <v>2611468.18</v>
      </c>
      <c r="O38" s="172">
        <v>1183512</v>
      </c>
      <c r="P38" s="96" t="e">
        <f>#REF!/$P$4</f>
        <v>#REF!</v>
      </c>
      <c r="Q38" s="96" t="e">
        <f>#REF!/137.96</f>
        <v>#REF!</v>
      </c>
      <c r="R38" s="76"/>
      <c r="S38" s="165"/>
      <c r="T38" s="164"/>
    </row>
    <row r="39" spans="3:20" ht="19.5" customHeight="1">
      <c r="C39" s="49"/>
      <c r="F39" s="174"/>
      <c r="G39" s="71">
        <f t="shared" si="0"/>
        <v>0</v>
      </c>
      <c r="H39" s="91">
        <f t="shared" si="1"/>
        <v>0</v>
      </c>
      <c r="K39" s="96">
        <f t="shared" si="2"/>
        <v>0</v>
      </c>
      <c r="L39" s="96">
        <v>0</v>
      </c>
      <c r="N39" s="96">
        <v>0</v>
      </c>
      <c r="O39" s="172"/>
      <c r="P39" s="96" t="e">
        <f>#REF!/$P$4</f>
        <v>#REF!</v>
      </c>
      <c r="Q39" s="96" t="e">
        <f>#REF!/137.96</f>
        <v>#REF!</v>
      </c>
      <c r="R39" s="71"/>
      <c r="S39" s="165"/>
      <c r="T39" s="164"/>
    </row>
    <row r="40" spans="3:21" ht="19.5" customHeight="1" thickBot="1">
      <c r="C40" s="49"/>
      <c r="D40" s="84" t="s">
        <v>106</v>
      </c>
      <c r="F40" s="178" t="s">
        <v>170</v>
      </c>
      <c r="G40" s="69">
        <f t="shared" si="0"/>
        <v>3721962.6740454184</v>
      </c>
      <c r="H40" s="92">
        <f t="shared" si="1"/>
        <v>3591004.0667962283</v>
      </c>
      <c r="J40" s="209">
        <v>4.2</v>
      </c>
      <c r="K40" s="159">
        <f t="shared" si="2"/>
        <v>3273073.4344276763</v>
      </c>
      <c r="L40" s="159">
        <v>458884895.5067602</v>
      </c>
      <c r="M40" s="159">
        <v>3721962.6740454184</v>
      </c>
      <c r="N40" s="189">
        <v>519548769.66999996</v>
      </c>
      <c r="O40" s="169">
        <v>498898195</v>
      </c>
      <c r="P40" s="96" t="e">
        <f>#REF!/$P$4</f>
        <v>#REF!</v>
      </c>
      <c r="Q40" s="159" t="e">
        <f>#REF!/137.96</f>
        <v>#REF!</v>
      </c>
      <c r="R40" s="76"/>
      <c r="S40" s="165"/>
      <c r="T40" s="164"/>
      <c r="U40" s="161"/>
    </row>
    <row r="41" spans="3:20" ht="19.5" customHeight="1" thickTop="1">
      <c r="C41" s="49"/>
      <c r="F41" s="174"/>
      <c r="G41" s="71">
        <f t="shared" si="0"/>
        <v>0</v>
      </c>
      <c r="H41" s="91">
        <f t="shared" si="1"/>
        <v>0</v>
      </c>
      <c r="K41" s="96">
        <f t="shared" si="2"/>
        <v>0</v>
      </c>
      <c r="L41" s="96">
        <v>0</v>
      </c>
      <c r="N41" s="96">
        <v>0</v>
      </c>
      <c r="P41" s="96" t="e">
        <f>#REF!/$P$4</f>
        <v>#REF!</v>
      </c>
      <c r="R41" s="76"/>
      <c r="S41" s="165"/>
      <c r="T41" s="164"/>
    </row>
    <row r="42" spans="3:20" ht="19.5" customHeight="1">
      <c r="C42" s="49"/>
      <c r="F42" s="174"/>
      <c r="G42" s="71">
        <f t="shared" si="0"/>
        <v>0</v>
      </c>
      <c r="H42" s="91">
        <f t="shared" si="1"/>
        <v>0</v>
      </c>
      <c r="K42" s="96">
        <f t="shared" si="2"/>
        <v>0</v>
      </c>
      <c r="L42" s="96">
        <v>0</v>
      </c>
      <c r="N42" s="96">
        <v>0</v>
      </c>
      <c r="P42" s="96" t="e">
        <f>#REF!/$P$4</f>
        <v>#REF!</v>
      </c>
      <c r="R42" s="76"/>
      <c r="S42" s="165"/>
      <c r="T42" s="164"/>
    </row>
    <row r="43" spans="3:21" ht="19.5" customHeight="1">
      <c r="C43" s="49"/>
      <c r="D43" s="84" t="s">
        <v>107</v>
      </c>
      <c r="F43" s="178" t="s">
        <v>171</v>
      </c>
      <c r="G43" s="204">
        <f t="shared" si="0"/>
        <v>4292733.338491296</v>
      </c>
      <c r="H43" s="205">
        <f t="shared" si="1"/>
        <v>4277855.661124307</v>
      </c>
      <c r="J43" s="96">
        <v>4</v>
      </c>
      <c r="K43" s="96">
        <f t="shared" si="2"/>
        <v>3615848.650478183</v>
      </c>
      <c r="L43" s="96">
        <v>506941980.7970412</v>
      </c>
      <c r="M43" s="96">
        <v>4292733.338491295</v>
      </c>
      <c r="N43" s="177">
        <v>599222646.72</v>
      </c>
      <c r="O43" s="177">
        <v>594322487</v>
      </c>
      <c r="P43" s="96" t="e">
        <f>#REF!/$P$4</f>
        <v>#REF!</v>
      </c>
      <c r="Q43" s="96" t="e">
        <f>#REF!/137.96</f>
        <v>#REF!</v>
      </c>
      <c r="R43" s="76"/>
      <c r="S43" s="165"/>
      <c r="T43" s="177"/>
      <c r="U43" s="153"/>
    </row>
    <row r="44" spans="3:20" ht="19.5" customHeight="1">
      <c r="C44" s="49"/>
      <c r="F44" s="174"/>
      <c r="G44" s="71">
        <f t="shared" si="0"/>
        <v>0</v>
      </c>
      <c r="H44" s="91">
        <f t="shared" si="1"/>
        <v>0</v>
      </c>
      <c r="K44" s="96">
        <f t="shared" si="2"/>
        <v>0</v>
      </c>
      <c r="L44" s="96">
        <v>0</v>
      </c>
      <c r="N44" s="96">
        <v>0</v>
      </c>
      <c r="P44" s="96" t="e">
        <f>#REF!/$P$4</f>
        <v>#REF!</v>
      </c>
      <c r="R44" s="76"/>
      <c r="S44" s="165"/>
      <c r="T44" s="164"/>
    </row>
    <row r="45" spans="3:20" ht="19.5" customHeight="1">
      <c r="C45" s="49"/>
      <c r="F45" s="174"/>
      <c r="G45" s="71">
        <f t="shared" si="0"/>
        <v>0</v>
      </c>
      <c r="H45" s="91">
        <f t="shared" si="1"/>
        <v>0</v>
      </c>
      <c r="K45" s="96">
        <f t="shared" si="2"/>
        <v>0</v>
      </c>
      <c r="L45" s="96">
        <v>0</v>
      </c>
      <c r="N45" s="96">
        <v>0</v>
      </c>
      <c r="P45" s="96" t="e">
        <f>#REF!/$P$4</f>
        <v>#REF!</v>
      </c>
      <c r="R45" s="76"/>
      <c r="S45" s="165"/>
      <c r="T45" s="164"/>
    </row>
    <row r="46" spans="3:20" ht="19.5" customHeight="1">
      <c r="C46" s="153" t="s">
        <v>128</v>
      </c>
      <c r="E46" s="153" t="s">
        <v>172</v>
      </c>
      <c r="F46" s="178" t="s">
        <v>224</v>
      </c>
      <c r="G46" s="71">
        <f t="shared" si="0"/>
        <v>0</v>
      </c>
      <c r="H46" s="91">
        <f t="shared" si="1"/>
        <v>0</v>
      </c>
      <c r="K46" s="96">
        <f t="shared" si="2"/>
        <v>0</v>
      </c>
      <c r="P46" s="96" t="e">
        <f>#REF!/$P$4</f>
        <v>#REF!</v>
      </c>
      <c r="R46" s="76"/>
      <c r="S46" s="165"/>
      <c r="T46" s="164"/>
    </row>
    <row r="47" spans="3:20" ht="19.5" customHeight="1">
      <c r="C47" s="49"/>
      <c r="F47" s="174"/>
      <c r="G47" s="71">
        <f t="shared" si="0"/>
        <v>0</v>
      </c>
      <c r="H47" s="91">
        <f t="shared" si="1"/>
        <v>0</v>
      </c>
      <c r="K47" s="96">
        <f t="shared" si="2"/>
        <v>0</v>
      </c>
      <c r="P47" s="96" t="e">
        <f>#REF!/$P$4</f>
        <v>#REF!</v>
      </c>
      <c r="R47" s="76"/>
      <c r="S47" s="165"/>
      <c r="T47" s="164"/>
    </row>
    <row r="48" spans="3:20" ht="19.5" customHeight="1">
      <c r="C48" s="153" t="s">
        <v>129</v>
      </c>
      <c r="E48" s="153" t="s">
        <v>173</v>
      </c>
      <c r="F48" s="174" t="s">
        <v>173</v>
      </c>
      <c r="G48" s="71">
        <f t="shared" si="0"/>
        <v>0</v>
      </c>
      <c r="H48" s="91">
        <f t="shared" si="1"/>
        <v>0</v>
      </c>
      <c r="K48" s="96">
        <f t="shared" si="2"/>
        <v>0</v>
      </c>
      <c r="P48" s="96" t="e">
        <f>#REF!/$P$4</f>
        <v>#REF!</v>
      </c>
      <c r="R48" s="76"/>
      <c r="S48" s="165"/>
      <c r="T48" s="164"/>
    </row>
    <row r="49" spans="3:20" ht="19.5" customHeight="1">
      <c r="C49" s="49"/>
      <c r="D49" s="49" t="s">
        <v>88</v>
      </c>
      <c r="F49" s="174" t="s">
        <v>24</v>
      </c>
      <c r="G49" s="71">
        <f t="shared" si="0"/>
        <v>1097105.8098717672</v>
      </c>
      <c r="H49" s="91">
        <f t="shared" si="1"/>
        <v>158439.5019074354</v>
      </c>
      <c r="I49" s="96">
        <v>6</v>
      </c>
      <c r="J49" s="96" t="s">
        <v>304</v>
      </c>
      <c r="K49" s="96">
        <f t="shared" si="2"/>
        <v>1103730.3851640515</v>
      </c>
      <c r="L49" s="96">
        <v>154743000</v>
      </c>
      <c r="M49" s="96">
        <v>1097105.8098717672</v>
      </c>
      <c r="N49" s="96">
        <v>153145000</v>
      </c>
      <c r="O49" s="172">
        <v>22012000</v>
      </c>
      <c r="P49" s="96" t="e">
        <f>#REF!/$P$4</f>
        <v>#REF!</v>
      </c>
      <c r="Q49" s="96" t="e">
        <f>#REF!/137.96</f>
        <v>#REF!</v>
      </c>
      <c r="R49" s="76"/>
      <c r="S49" s="165"/>
      <c r="T49" s="182"/>
    </row>
    <row r="50" spans="3:20" ht="19.5" customHeight="1">
      <c r="C50" s="49"/>
      <c r="D50" s="49" t="s">
        <v>89</v>
      </c>
      <c r="F50" s="174" t="s">
        <v>174</v>
      </c>
      <c r="G50" s="71">
        <f t="shared" si="0"/>
        <v>0</v>
      </c>
      <c r="H50" s="91">
        <f t="shared" si="1"/>
        <v>0</v>
      </c>
      <c r="K50" s="96">
        <f t="shared" si="2"/>
        <v>0</v>
      </c>
      <c r="L50" s="96">
        <v>0</v>
      </c>
      <c r="M50" s="96">
        <v>0</v>
      </c>
      <c r="N50" s="96">
        <v>0</v>
      </c>
      <c r="O50" s="172"/>
      <c r="P50" s="96" t="e">
        <f>#REF!/$P$4</f>
        <v>#REF!</v>
      </c>
      <c r="Q50" s="96" t="e">
        <f>#REF!/137.96</f>
        <v>#REF!</v>
      </c>
      <c r="R50" s="76"/>
      <c r="S50" s="165"/>
      <c r="T50" s="182"/>
    </row>
    <row r="51" spans="3:20" ht="19.5" customHeight="1">
      <c r="C51" s="49"/>
      <c r="D51" s="187" t="s">
        <v>126</v>
      </c>
      <c r="F51" s="174" t="s">
        <v>175</v>
      </c>
      <c r="G51" s="71">
        <f t="shared" si="0"/>
        <v>0</v>
      </c>
      <c r="H51" s="91">
        <f t="shared" si="1"/>
        <v>0</v>
      </c>
      <c r="K51" s="96">
        <f t="shared" si="2"/>
        <v>0</v>
      </c>
      <c r="L51" s="172">
        <v>0</v>
      </c>
      <c r="M51" s="172">
        <v>0</v>
      </c>
      <c r="N51" s="172">
        <v>0</v>
      </c>
      <c r="O51" s="172"/>
      <c r="P51" s="96" t="e">
        <f>#REF!/$P$4</f>
        <v>#REF!</v>
      </c>
      <c r="Q51" s="96" t="e">
        <f>#REF!/137.96</f>
        <v>#REF!</v>
      </c>
      <c r="R51" s="76"/>
      <c r="S51" s="165"/>
      <c r="T51" s="164"/>
    </row>
    <row r="52" spans="3:20" ht="19.5" customHeight="1">
      <c r="C52" s="49"/>
      <c r="D52" s="49" t="s">
        <v>125</v>
      </c>
      <c r="F52" s="174" t="s">
        <v>27</v>
      </c>
      <c r="G52" s="71">
        <f t="shared" si="0"/>
        <v>41156.94720252167</v>
      </c>
      <c r="H52" s="91">
        <f t="shared" si="1"/>
        <v>143.95738861297056</v>
      </c>
      <c r="I52" s="96">
        <v>6</v>
      </c>
      <c r="J52" s="96" t="s">
        <v>305</v>
      </c>
      <c r="K52" s="96">
        <f t="shared" si="2"/>
        <v>41577.85492154066</v>
      </c>
      <c r="L52" s="172">
        <v>5829215.26</v>
      </c>
      <c r="M52" s="172">
        <v>41156.94720252167</v>
      </c>
      <c r="N52" s="172">
        <v>5745098.26</v>
      </c>
      <c r="O52" s="172">
        <v>20000</v>
      </c>
      <c r="P52" s="96" t="e">
        <f>#REF!/$P$4</f>
        <v>#REF!</v>
      </c>
      <c r="Q52" s="96" t="e">
        <f>#REF!/137.96</f>
        <v>#REF!</v>
      </c>
      <c r="R52" s="76"/>
      <c r="S52" s="165"/>
      <c r="T52" s="164"/>
    </row>
    <row r="53" spans="3:20" ht="19.5" customHeight="1">
      <c r="C53" s="49"/>
      <c r="D53" s="187" t="s">
        <v>114</v>
      </c>
      <c r="F53" s="174" t="s">
        <v>1</v>
      </c>
      <c r="G53" s="71">
        <f t="shared" si="0"/>
        <v>0</v>
      </c>
      <c r="H53" s="91">
        <f t="shared" si="1"/>
        <v>0</v>
      </c>
      <c r="K53" s="96">
        <f t="shared" si="2"/>
        <v>1.5348787446504994</v>
      </c>
      <c r="L53" s="172">
        <v>215.19</v>
      </c>
      <c r="M53" s="172">
        <v>0</v>
      </c>
      <c r="N53" s="172">
        <v>0</v>
      </c>
      <c r="O53" s="172"/>
      <c r="P53" s="96" t="e">
        <f>#REF!/$P$4</f>
        <v>#REF!</v>
      </c>
      <c r="Q53" s="96" t="e">
        <f>#REF!/137.96</f>
        <v>#REF!</v>
      </c>
      <c r="R53" s="76"/>
      <c r="S53" s="165"/>
      <c r="T53" s="188"/>
    </row>
    <row r="54" spans="3:20" ht="19.5" customHeight="1">
      <c r="C54" s="49"/>
      <c r="D54" s="49" t="s">
        <v>87</v>
      </c>
      <c r="F54" s="174" t="s">
        <v>28</v>
      </c>
      <c r="G54" s="71">
        <f t="shared" si="0"/>
        <v>0</v>
      </c>
      <c r="H54" s="91">
        <f t="shared" si="1"/>
        <v>476246.1959260059</v>
      </c>
      <c r="I54" s="96">
        <v>6</v>
      </c>
      <c r="K54" s="96">
        <f t="shared" si="2"/>
        <v>0</v>
      </c>
      <c r="L54" s="172">
        <v>0</v>
      </c>
      <c r="M54" s="172">
        <v>0</v>
      </c>
      <c r="N54" s="172">
        <v>0</v>
      </c>
      <c r="O54" s="172">
        <v>66164884</v>
      </c>
      <c r="P54" s="96" t="e">
        <f>#REF!/$P$4</f>
        <v>#REF!</v>
      </c>
      <c r="Q54" s="96" t="e">
        <f>#REF!/137.96</f>
        <v>#REF!</v>
      </c>
      <c r="R54" s="76"/>
      <c r="S54" s="165"/>
      <c r="T54" s="188"/>
    </row>
    <row r="55" spans="3:20" ht="19.5" customHeight="1">
      <c r="C55" s="49"/>
      <c r="D55" s="49" t="s">
        <v>86</v>
      </c>
      <c r="F55" s="174" t="s">
        <v>42</v>
      </c>
      <c r="G55" s="71">
        <v>12099</v>
      </c>
      <c r="H55" s="91">
        <f t="shared" si="1"/>
        <v>508840.52400489454</v>
      </c>
      <c r="I55" s="96">
        <v>6</v>
      </c>
      <c r="J55" s="96" t="s">
        <v>306</v>
      </c>
      <c r="K55" s="96">
        <f t="shared" si="2"/>
        <v>40193.57988587733</v>
      </c>
      <c r="L55" s="172">
        <v>5635139.9</v>
      </c>
      <c r="M55" s="172">
        <v>12099</v>
      </c>
      <c r="N55" s="172">
        <v>1682332.16</v>
      </c>
      <c r="O55" s="172">
        <v>70693214</v>
      </c>
      <c r="P55" s="96" t="e">
        <f>#REF!/$P$4</f>
        <v>#REF!</v>
      </c>
      <c r="Q55" s="96" t="e">
        <f>#REF!/132.65</f>
        <v>#REF!</v>
      </c>
      <c r="R55" s="76"/>
      <c r="S55" s="165"/>
      <c r="T55" s="170"/>
    </row>
    <row r="56" spans="3:20" ht="19.5" customHeight="1" thickBot="1">
      <c r="C56" s="49"/>
      <c r="F56" s="174"/>
      <c r="G56" s="196">
        <f>SUM(G49:G55)</f>
        <v>1150361.7570742888</v>
      </c>
      <c r="H56" s="202">
        <f t="shared" si="1"/>
        <v>1143670.1792269489</v>
      </c>
      <c r="J56" s="96">
        <v>6</v>
      </c>
      <c r="K56" s="159">
        <f t="shared" si="2"/>
        <v>1185503.354850214</v>
      </c>
      <c r="L56" s="159">
        <v>166207570.35</v>
      </c>
      <c r="M56" s="159">
        <v>1150361.7570742888</v>
      </c>
      <c r="N56" s="189">
        <v>160572430.42</v>
      </c>
      <c r="O56" s="189">
        <v>158890098</v>
      </c>
      <c r="P56" s="96" t="e">
        <f>#REF!/$P$4</f>
        <v>#REF!</v>
      </c>
      <c r="Q56" s="159" t="e">
        <f>#REF!/137.96</f>
        <v>#REF!</v>
      </c>
      <c r="R56" s="76"/>
      <c r="S56" s="165"/>
      <c r="T56" s="164"/>
    </row>
    <row r="57" spans="3:20" ht="19.5" customHeight="1" thickTop="1">
      <c r="C57" s="49"/>
      <c r="F57" s="174"/>
      <c r="G57" s="71">
        <f t="shared" si="0"/>
        <v>0</v>
      </c>
      <c r="H57" s="91">
        <f t="shared" si="1"/>
        <v>0</v>
      </c>
      <c r="K57" s="96">
        <f t="shared" si="2"/>
        <v>0</v>
      </c>
      <c r="L57" s="96">
        <v>0</v>
      </c>
      <c r="N57" s="96">
        <v>0</v>
      </c>
      <c r="P57" s="96" t="e">
        <f>#REF!/$P$4</f>
        <v>#REF!</v>
      </c>
      <c r="R57" s="76"/>
      <c r="S57" s="165"/>
      <c r="T57" s="164"/>
    </row>
    <row r="58" spans="3:20" ht="19.5" customHeight="1">
      <c r="C58" s="162" t="s">
        <v>111</v>
      </c>
      <c r="E58" s="153" t="s">
        <v>176</v>
      </c>
      <c r="F58" s="174" t="s">
        <v>225</v>
      </c>
      <c r="G58" s="71">
        <f t="shared" si="0"/>
        <v>0</v>
      </c>
      <c r="H58" s="91">
        <f t="shared" si="1"/>
        <v>0</v>
      </c>
      <c r="I58" s="96">
        <v>7</v>
      </c>
      <c r="K58" s="96">
        <f t="shared" si="2"/>
        <v>0</v>
      </c>
      <c r="L58" s="96">
        <v>0</v>
      </c>
      <c r="N58" s="96">
        <v>0</v>
      </c>
      <c r="P58" s="96" t="e">
        <f>#REF!/$P$4</f>
        <v>#REF!</v>
      </c>
      <c r="R58" s="76"/>
      <c r="S58" s="165"/>
      <c r="T58" s="164"/>
    </row>
    <row r="59" spans="3:20" ht="19.5" customHeight="1">
      <c r="C59" s="49"/>
      <c r="D59" s="166" t="s">
        <v>111</v>
      </c>
      <c r="F59" s="174" t="s">
        <v>177</v>
      </c>
      <c r="G59" s="71">
        <f t="shared" si="0"/>
        <v>656391.5392220074</v>
      </c>
      <c r="H59" s="91">
        <f t="shared" si="1"/>
        <v>659608.6302454473</v>
      </c>
      <c r="I59" s="96" t="s">
        <v>219</v>
      </c>
      <c r="J59" s="96">
        <v>7</v>
      </c>
      <c r="K59" s="96">
        <f t="shared" si="2"/>
        <v>455713.42015192617</v>
      </c>
      <c r="L59" s="96">
        <v>63891021.505300045</v>
      </c>
      <c r="M59" s="96">
        <v>656391.5392220074</v>
      </c>
      <c r="N59" s="96">
        <v>91625694.96000001</v>
      </c>
      <c r="O59" s="96">
        <v>91639427</v>
      </c>
      <c r="P59" s="96" t="e">
        <f>#REF!/$P$4</f>
        <v>#REF!</v>
      </c>
      <c r="Q59" s="96" t="e">
        <f>#REF!/137.96</f>
        <v>#REF!</v>
      </c>
      <c r="R59" s="76"/>
      <c r="S59" s="165"/>
      <c r="T59" s="170"/>
    </row>
    <row r="60" spans="3:20" ht="19.5" customHeight="1">
      <c r="C60" s="49"/>
      <c r="D60" s="190" t="s">
        <v>146</v>
      </c>
      <c r="F60" s="174" t="s">
        <v>178</v>
      </c>
      <c r="G60" s="71">
        <f t="shared" si="0"/>
        <v>0</v>
      </c>
      <c r="H60" s="91">
        <f t="shared" si="1"/>
        <v>0</v>
      </c>
      <c r="K60" s="96">
        <f t="shared" si="2"/>
        <v>0</v>
      </c>
      <c r="L60" s="96">
        <v>0</v>
      </c>
      <c r="M60" s="96">
        <v>0</v>
      </c>
      <c r="N60" s="96">
        <v>0</v>
      </c>
      <c r="P60" s="96" t="e">
        <f>#REF!/$P$4</f>
        <v>#REF!</v>
      </c>
      <c r="Q60" s="96" t="e">
        <f>#REF!/137.96</f>
        <v>#REF!</v>
      </c>
      <c r="R60" s="76"/>
      <c r="S60" s="165"/>
      <c r="T60" s="170"/>
    </row>
    <row r="61" spans="3:20" ht="19.5" customHeight="1">
      <c r="C61" s="49"/>
      <c r="D61" s="190" t="s">
        <v>112</v>
      </c>
      <c r="F61" s="174" t="s">
        <v>179</v>
      </c>
      <c r="G61" s="71">
        <f t="shared" si="0"/>
        <v>0</v>
      </c>
      <c r="H61" s="91">
        <f t="shared" si="1"/>
        <v>0</v>
      </c>
      <c r="K61" s="96">
        <f t="shared" si="2"/>
        <v>0</v>
      </c>
      <c r="L61" s="96">
        <v>0</v>
      </c>
      <c r="M61" s="96">
        <v>0</v>
      </c>
      <c r="N61" s="96">
        <v>0</v>
      </c>
      <c r="P61" s="96" t="e">
        <f>#REF!/$P$4</f>
        <v>#REF!</v>
      </c>
      <c r="Q61" s="96" t="e">
        <f>#REF!/137.96</f>
        <v>#REF!</v>
      </c>
      <c r="R61" s="76"/>
      <c r="S61" s="165"/>
      <c r="T61" s="164"/>
    </row>
    <row r="62" spans="3:20" ht="19.5" customHeight="1">
      <c r="C62" s="49"/>
      <c r="D62" s="190" t="s">
        <v>113</v>
      </c>
      <c r="F62" s="174" t="s">
        <v>180</v>
      </c>
      <c r="G62" s="71">
        <f t="shared" si="0"/>
        <v>4153.593523891396</v>
      </c>
      <c r="H62" s="91">
        <f t="shared" si="1"/>
        <v>10095.997984596559</v>
      </c>
      <c r="I62" s="96" t="s">
        <v>220</v>
      </c>
      <c r="J62" s="96">
        <v>7</v>
      </c>
      <c r="K62" s="96">
        <f t="shared" si="2"/>
        <v>0</v>
      </c>
      <c r="L62" s="96">
        <v>0</v>
      </c>
      <c r="M62" s="96">
        <v>4153.593523891396</v>
      </c>
      <c r="N62" s="96">
        <v>579800.12</v>
      </c>
      <c r="O62" s="96">
        <v>1402637</v>
      </c>
      <c r="P62" s="96" t="e">
        <f>#REF!/$P$4</f>
        <v>#REF!</v>
      </c>
      <c r="Q62" s="96" t="e">
        <f>#REF!/137.96</f>
        <v>#REF!</v>
      </c>
      <c r="R62" s="76"/>
      <c r="S62" s="165"/>
      <c r="T62" s="170"/>
    </row>
    <row r="63" spans="3:20" ht="19.5" customHeight="1">
      <c r="C63" s="49"/>
      <c r="F63" s="174"/>
      <c r="G63" s="71">
        <f t="shared" si="0"/>
        <v>0</v>
      </c>
      <c r="H63" s="91">
        <f t="shared" si="1"/>
        <v>0</v>
      </c>
      <c r="K63" s="96">
        <f t="shared" si="2"/>
        <v>0</v>
      </c>
      <c r="L63" s="96">
        <v>0</v>
      </c>
      <c r="M63" s="96">
        <v>0</v>
      </c>
      <c r="N63" s="96">
        <v>0</v>
      </c>
      <c r="P63" s="96" t="e">
        <f>#REF!/$P$4</f>
        <v>#REF!</v>
      </c>
      <c r="Q63" s="96" t="e">
        <f>#REF!/137.96</f>
        <v>#REF!</v>
      </c>
      <c r="R63" s="76"/>
      <c r="S63" s="165"/>
      <c r="T63" s="164"/>
    </row>
    <row r="64" spans="3:21" ht="19.5" customHeight="1" thickBot="1">
      <c r="C64" s="49"/>
      <c r="D64" s="191" t="s">
        <v>110</v>
      </c>
      <c r="F64" s="178" t="s">
        <v>181</v>
      </c>
      <c r="G64" s="196">
        <f t="shared" si="0"/>
        <v>660545.1327458988</v>
      </c>
      <c r="H64" s="202">
        <f t="shared" si="1"/>
        <v>669704.6282300439</v>
      </c>
      <c r="J64" s="96">
        <v>7</v>
      </c>
      <c r="K64" s="159">
        <f t="shared" si="2"/>
        <v>455713.42015192617</v>
      </c>
      <c r="L64" s="159">
        <v>63891021.505300045</v>
      </c>
      <c r="M64" s="159">
        <v>660545.1327458988</v>
      </c>
      <c r="N64" s="189">
        <v>92205495.08000001</v>
      </c>
      <c r="O64" s="189">
        <v>93042064</v>
      </c>
      <c r="P64" s="96" t="e">
        <f>#REF!/$P$4</f>
        <v>#REF!</v>
      </c>
      <c r="Q64" s="159" t="e">
        <f>#REF!/137.96</f>
        <v>#REF!</v>
      </c>
      <c r="R64" s="76"/>
      <c r="S64" s="165"/>
      <c r="T64" s="164"/>
      <c r="U64" s="161"/>
    </row>
    <row r="65" spans="3:20" ht="19.5" customHeight="1" thickTop="1">
      <c r="C65" s="49"/>
      <c r="F65" s="174"/>
      <c r="G65" s="71">
        <f t="shared" si="0"/>
        <v>0</v>
      </c>
      <c r="H65" s="91">
        <f t="shared" si="1"/>
        <v>0</v>
      </c>
      <c r="K65" s="96">
        <f t="shared" si="2"/>
        <v>0</v>
      </c>
      <c r="L65" s="96">
        <v>0</v>
      </c>
      <c r="N65" s="96">
        <v>0</v>
      </c>
      <c r="P65" s="96" t="e">
        <f>#REF!/$P$4</f>
        <v>#REF!</v>
      </c>
      <c r="R65" s="76"/>
      <c r="S65" s="165"/>
      <c r="T65" s="164"/>
    </row>
    <row r="66" spans="3:20" ht="19.5" customHeight="1">
      <c r="C66" s="49"/>
      <c r="F66" s="174"/>
      <c r="G66" s="71">
        <f t="shared" si="0"/>
        <v>0</v>
      </c>
      <c r="H66" s="91">
        <f t="shared" si="1"/>
        <v>0</v>
      </c>
      <c r="K66" s="96">
        <f t="shared" si="2"/>
        <v>0</v>
      </c>
      <c r="L66" s="96">
        <v>0</v>
      </c>
      <c r="N66" s="96">
        <v>0</v>
      </c>
      <c r="P66" s="96" t="e">
        <f>#REF!/$P$4</f>
        <v>#REF!</v>
      </c>
      <c r="R66" s="76"/>
      <c r="S66" s="165"/>
      <c r="T66" s="164"/>
    </row>
    <row r="67" spans="3:20" ht="19.5" customHeight="1">
      <c r="C67" s="162"/>
      <c r="E67" s="49" t="s">
        <v>182</v>
      </c>
      <c r="F67" s="174"/>
      <c r="G67" s="71">
        <f t="shared" si="0"/>
        <v>0</v>
      </c>
      <c r="H67" s="91">
        <f t="shared" si="1"/>
        <v>0</v>
      </c>
      <c r="K67" s="96">
        <f t="shared" si="2"/>
        <v>0</v>
      </c>
      <c r="L67" s="96">
        <v>0</v>
      </c>
      <c r="N67" s="96">
        <v>0</v>
      </c>
      <c r="P67" s="96" t="e">
        <f>#REF!/$P$4</f>
        <v>#REF!</v>
      </c>
      <c r="R67" s="76"/>
      <c r="S67" s="165"/>
      <c r="T67" s="164"/>
    </row>
    <row r="68" spans="3:20" ht="19.5" customHeight="1">
      <c r="C68" s="162" t="s">
        <v>115</v>
      </c>
      <c r="E68" s="49" t="s">
        <v>183</v>
      </c>
      <c r="F68" s="174" t="s">
        <v>226</v>
      </c>
      <c r="G68" s="71">
        <f t="shared" si="0"/>
        <v>0</v>
      </c>
      <c r="H68" s="91">
        <f t="shared" si="1"/>
        <v>0</v>
      </c>
      <c r="K68" s="96">
        <f t="shared" si="2"/>
        <v>0</v>
      </c>
      <c r="L68" s="96">
        <v>0</v>
      </c>
      <c r="N68" s="96">
        <v>0</v>
      </c>
      <c r="P68" s="96" t="e">
        <f>#REF!/$P$4</f>
        <v>#REF!</v>
      </c>
      <c r="R68" s="76"/>
      <c r="S68" s="165"/>
      <c r="T68" s="164"/>
    </row>
    <row r="69" spans="3:21" ht="19.5" customHeight="1">
      <c r="C69" s="49"/>
      <c r="D69" s="162" t="s">
        <v>116</v>
      </c>
      <c r="F69" s="192" t="s">
        <v>184</v>
      </c>
      <c r="G69" s="208">
        <f t="shared" si="0"/>
        <v>692625.0606060607</v>
      </c>
      <c r="H69" s="91">
        <f t="shared" si="1"/>
        <v>213500</v>
      </c>
      <c r="K69" s="96">
        <f t="shared" si="2"/>
        <v>267786.6698837377</v>
      </c>
      <c r="L69" s="172">
        <v>37543691.11770002</v>
      </c>
      <c r="M69" s="172">
        <v>692625.0606060607</v>
      </c>
      <c r="N69" s="172">
        <v>96683532.21000001</v>
      </c>
      <c r="O69" s="96">
        <v>29661555</v>
      </c>
      <c r="P69" s="96" t="e">
        <f>#REF!/$P$4</f>
        <v>#REF!</v>
      </c>
      <c r="Q69" s="96" t="e">
        <f>#REF!/137.96</f>
        <v>#REF!</v>
      </c>
      <c r="R69" s="76"/>
      <c r="S69" s="165"/>
      <c r="T69" s="164"/>
      <c r="U69" s="154"/>
    </row>
    <row r="70" spans="3:21" ht="19.5" customHeight="1">
      <c r="C70" s="49"/>
      <c r="D70" s="194" t="s">
        <v>301</v>
      </c>
      <c r="F70" s="192" t="s">
        <v>185</v>
      </c>
      <c r="G70" s="193">
        <f t="shared" si="0"/>
        <v>0</v>
      </c>
      <c r="H70" s="91">
        <f t="shared" si="1"/>
        <v>0</v>
      </c>
      <c r="K70" s="96">
        <f t="shared" si="2"/>
        <v>0</v>
      </c>
      <c r="L70" s="172">
        <v>0</v>
      </c>
      <c r="M70" s="172">
        <v>0</v>
      </c>
      <c r="N70" s="172">
        <v>0</v>
      </c>
      <c r="P70" s="96" t="e">
        <f>#REF!/$P$4</f>
        <v>#REF!</v>
      </c>
      <c r="Q70" s="96" t="e">
        <f>#REF!/137.96</f>
        <v>#REF!</v>
      </c>
      <c r="R70" s="76"/>
      <c r="S70" s="165"/>
      <c r="T70" s="164"/>
      <c r="U70" s="154"/>
    </row>
    <row r="71" spans="3:21" ht="19.5" customHeight="1">
      <c r="C71" s="49"/>
      <c r="D71" s="195" t="s">
        <v>117</v>
      </c>
      <c r="F71" s="192" t="s">
        <v>25</v>
      </c>
      <c r="G71" s="193">
        <f t="shared" si="0"/>
        <v>1081795.8969840244</v>
      </c>
      <c r="H71" s="91">
        <f t="shared" si="1"/>
        <v>1540462.2399769668</v>
      </c>
      <c r="I71" s="96" t="s">
        <v>58</v>
      </c>
      <c r="J71" s="96" t="s">
        <v>58</v>
      </c>
      <c r="K71" s="96">
        <f t="shared" si="2"/>
        <v>991879.3884357966</v>
      </c>
      <c r="L71" s="172">
        <v>139061490.25869867</v>
      </c>
      <c r="M71" s="172">
        <v>1081795.8969840244</v>
      </c>
      <c r="N71" s="172">
        <v>151007889.26</v>
      </c>
      <c r="O71" s="172">
        <v>214016419</v>
      </c>
      <c r="P71" s="96" t="e">
        <f>#REF!/$P$4</f>
        <v>#REF!</v>
      </c>
      <c r="Q71" s="96" t="e">
        <f>#REF!/137.96</f>
        <v>#REF!</v>
      </c>
      <c r="R71" s="76"/>
      <c r="S71" s="165"/>
      <c r="T71" s="182"/>
      <c r="U71" s="154"/>
    </row>
    <row r="72" spans="3:21" ht="19.5" customHeight="1">
      <c r="C72" s="49"/>
      <c r="D72" s="195" t="s">
        <v>118</v>
      </c>
      <c r="F72" s="192" t="s">
        <v>43</v>
      </c>
      <c r="G72" s="193">
        <f t="shared" si="0"/>
        <v>469.55354968120923</v>
      </c>
      <c r="H72" s="91">
        <f t="shared" si="1"/>
        <v>35.98934715324264</v>
      </c>
      <c r="I72" s="96" t="s">
        <v>71</v>
      </c>
      <c r="J72" s="96" t="s">
        <v>58</v>
      </c>
      <c r="K72" s="96">
        <f t="shared" si="2"/>
        <v>35.66333808844508</v>
      </c>
      <c r="L72" s="172">
        <v>5000</v>
      </c>
      <c r="M72" s="172">
        <v>469.55354968120923</v>
      </c>
      <c r="N72" s="172">
        <v>65544.98</v>
      </c>
      <c r="O72" s="172">
        <v>5000</v>
      </c>
      <c r="P72" s="96" t="e">
        <f>#REF!/$P$4</f>
        <v>#REF!</v>
      </c>
      <c r="Q72" s="96" t="e">
        <f>#REF!/137.96</f>
        <v>#REF!</v>
      </c>
      <c r="R72" s="76"/>
      <c r="S72" s="165"/>
      <c r="T72" s="182"/>
      <c r="U72" s="154"/>
    </row>
    <row r="73" spans="3:21" ht="19.5" customHeight="1">
      <c r="C73" s="49"/>
      <c r="D73" s="195" t="s">
        <v>119</v>
      </c>
      <c r="F73" s="192" t="s">
        <v>52</v>
      </c>
      <c r="G73" s="193">
        <f aca="true" t="shared" si="3" ref="G73:G83">N73/139.59</f>
        <v>34583.695536929576</v>
      </c>
      <c r="H73" s="91">
        <f aca="true" t="shared" si="4" ref="H73:H83">O73/138.93</f>
        <v>13882.631541063844</v>
      </c>
      <c r="I73" s="96" t="s">
        <v>59</v>
      </c>
      <c r="J73" s="96" t="s">
        <v>59</v>
      </c>
      <c r="K73" s="96">
        <f aca="true" t="shared" si="5" ref="K73:K83">L73/140.2</f>
        <v>18603.778941512126</v>
      </c>
      <c r="L73" s="172">
        <v>2608249.8076</v>
      </c>
      <c r="M73" s="172">
        <v>34583.69553692958</v>
      </c>
      <c r="N73" s="172">
        <v>4827538.06</v>
      </c>
      <c r="O73" s="172">
        <v>1928714</v>
      </c>
      <c r="P73" s="96" t="e">
        <f>#REF!/$P$4</f>
        <v>#REF!</v>
      </c>
      <c r="Q73" s="96" t="e">
        <f>#REF!/137.96</f>
        <v>#REF!</v>
      </c>
      <c r="R73" s="76"/>
      <c r="S73" s="165"/>
      <c r="T73" s="182"/>
      <c r="U73" s="154"/>
    </row>
    <row r="74" spans="3:22" ht="19.5" customHeight="1">
      <c r="C74" s="49"/>
      <c r="D74" s="195" t="s">
        <v>120</v>
      </c>
      <c r="F74" s="192" t="s">
        <v>302</v>
      </c>
      <c r="G74" s="193">
        <f t="shared" si="3"/>
        <v>636782.025789813</v>
      </c>
      <c r="H74" s="91">
        <f t="shared" si="4"/>
        <v>653748.4848484849</v>
      </c>
      <c r="I74" s="96" t="s">
        <v>70</v>
      </c>
      <c r="J74" s="96" t="s">
        <v>58</v>
      </c>
      <c r="K74" s="96">
        <f t="shared" si="5"/>
        <v>634011.4335235378</v>
      </c>
      <c r="L74" s="172">
        <v>88888402.97999999</v>
      </c>
      <c r="M74" s="172">
        <v>636782.025789813</v>
      </c>
      <c r="N74" s="172">
        <v>88888402.98</v>
      </c>
      <c r="O74" s="172">
        <v>90825277</v>
      </c>
      <c r="P74" s="96" t="e">
        <f>#REF!/$P$4</f>
        <v>#REF!</v>
      </c>
      <c r="Q74" s="96" t="e">
        <f>#REF!/137.96</f>
        <v>#REF!</v>
      </c>
      <c r="R74" s="76"/>
      <c r="S74" s="165"/>
      <c r="T74" s="182"/>
      <c r="U74" s="154"/>
      <c r="V74" s="66"/>
    </row>
    <row r="75" spans="3:21" ht="19.5" customHeight="1">
      <c r="C75" s="49"/>
      <c r="D75" s="195" t="s">
        <v>121</v>
      </c>
      <c r="F75" s="192" t="s">
        <v>26</v>
      </c>
      <c r="G75" s="193">
        <f t="shared" si="3"/>
        <v>35617.26155168709</v>
      </c>
      <c r="H75" s="91">
        <f t="shared" si="4"/>
        <v>42851.493557906855</v>
      </c>
      <c r="J75" s="96" t="s">
        <v>58</v>
      </c>
      <c r="K75" s="96">
        <f t="shared" si="5"/>
        <v>62314.94359138381</v>
      </c>
      <c r="L75" s="172">
        <v>8736555.09151201</v>
      </c>
      <c r="M75" s="172">
        <v>35617.26155168709</v>
      </c>
      <c r="N75" s="172">
        <v>4971813.54</v>
      </c>
      <c r="O75" s="172">
        <v>5953358</v>
      </c>
      <c r="P75" s="96" t="e">
        <f>#REF!/$P$4</f>
        <v>#REF!</v>
      </c>
      <c r="Q75" s="96" t="e">
        <f>#REF!/137.96</f>
        <v>#REF!</v>
      </c>
      <c r="R75" s="76"/>
      <c r="S75" s="165"/>
      <c r="T75" s="182"/>
      <c r="U75" s="154"/>
    </row>
    <row r="76" spans="3:20" ht="19.5" customHeight="1">
      <c r="C76" s="49"/>
      <c r="F76" s="174"/>
      <c r="G76" s="71">
        <f t="shared" si="3"/>
        <v>0</v>
      </c>
      <c r="H76" s="91">
        <f t="shared" si="4"/>
        <v>0</v>
      </c>
      <c r="K76" s="96">
        <f t="shared" si="5"/>
        <v>0</v>
      </c>
      <c r="L76" s="172">
        <v>0</v>
      </c>
      <c r="M76" s="172">
        <v>0</v>
      </c>
      <c r="N76" s="172">
        <v>0</v>
      </c>
      <c r="P76" s="96" t="e">
        <f>#REF!/$P$4</f>
        <v>#REF!</v>
      </c>
      <c r="Q76" s="96" t="e">
        <f>#REF!/137.96</f>
        <v>#REF!</v>
      </c>
      <c r="R76" s="76"/>
      <c r="S76" s="165"/>
      <c r="T76" s="164"/>
    </row>
    <row r="77" spans="3:20" ht="19.5" customHeight="1">
      <c r="C77" s="49"/>
      <c r="D77" s="190" t="s">
        <v>122</v>
      </c>
      <c r="F77" s="174" t="s">
        <v>180</v>
      </c>
      <c r="G77" s="71">
        <f t="shared" si="3"/>
        <v>0</v>
      </c>
      <c r="H77" s="91">
        <f t="shared" si="4"/>
        <v>0</v>
      </c>
      <c r="K77" s="96">
        <f t="shared" si="5"/>
        <v>0</v>
      </c>
      <c r="L77" s="172">
        <v>0</v>
      </c>
      <c r="M77" s="172">
        <v>0</v>
      </c>
      <c r="N77" s="172"/>
      <c r="P77" s="96" t="e">
        <f>#REF!/$P$4</f>
        <v>#REF!</v>
      </c>
      <c r="Q77" s="96" t="e">
        <f>#REF!/137.96</f>
        <v>#REF!</v>
      </c>
      <c r="R77" s="76"/>
      <c r="S77" s="165"/>
      <c r="T77" s="164"/>
    </row>
    <row r="78" spans="3:20" ht="19.5" customHeight="1">
      <c r="C78" s="49"/>
      <c r="D78" s="78" t="s">
        <v>123</v>
      </c>
      <c r="F78" s="174" t="s">
        <v>186</v>
      </c>
      <c r="G78" s="71">
        <f t="shared" si="3"/>
        <v>0</v>
      </c>
      <c r="H78" s="91">
        <f t="shared" si="4"/>
        <v>0</v>
      </c>
      <c r="K78" s="96">
        <f t="shared" si="5"/>
        <v>0</v>
      </c>
      <c r="L78" s="96">
        <v>0</v>
      </c>
      <c r="M78" s="96">
        <v>0</v>
      </c>
      <c r="N78" s="96">
        <v>0</v>
      </c>
      <c r="P78" s="96" t="e">
        <f>#REF!/$P$4</f>
        <v>#REF!</v>
      </c>
      <c r="Q78" s="96" t="e">
        <f>#REF!/137.96</f>
        <v>#REF!</v>
      </c>
      <c r="R78" s="76"/>
      <c r="S78" s="165"/>
      <c r="T78" s="164"/>
    </row>
    <row r="79" spans="3:20" ht="19.5" customHeight="1">
      <c r="C79" s="49"/>
      <c r="D79" s="49" t="s">
        <v>145</v>
      </c>
      <c r="F79" s="174" t="s">
        <v>187</v>
      </c>
      <c r="G79" s="71">
        <v>-47</v>
      </c>
      <c r="H79" s="91">
        <f t="shared" si="4"/>
        <v>0</v>
      </c>
      <c r="I79" s="172"/>
      <c r="J79" s="172"/>
      <c r="K79" s="96">
        <f t="shared" si="5"/>
        <v>0</v>
      </c>
      <c r="L79" s="96">
        <v>0</v>
      </c>
      <c r="M79" s="96">
        <v>-47</v>
      </c>
      <c r="N79" s="172">
        <v>0</v>
      </c>
      <c r="O79" s="172"/>
      <c r="P79" s="172" t="e">
        <f>'ardh-shpenz'!J26-'BK'!P55</f>
        <v>#REF!</v>
      </c>
      <c r="Q79" s="96">
        <v>6361</v>
      </c>
      <c r="R79" s="76"/>
      <c r="S79" s="165"/>
      <c r="T79" s="164"/>
    </row>
    <row r="80" spans="3:21" ht="19.5" customHeight="1" thickBot="1">
      <c r="C80" s="49"/>
      <c r="D80" s="191" t="s">
        <v>124</v>
      </c>
      <c r="F80" s="178" t="s">
        <v>188</v>
      </c>
      <c r="G80" s="196">
        <f>SUM(G68:G79)</f>
        <v>2481826.494018196</v>
      </c>
      <c r="H80" s="203">
        <f t="shared" si="4"/>
        <v>2464480.8392715757</v>
      </c>
      <c r="J80" s="96" t="s">
        <v>58</v>
      </c>
      <c r="K80" s="159">
        <f t="shared" si="5"/>
        <v>1974631.8758915835</v>
      </c>
      <c r="L80" s="159">
        <v>276843389</v>
      </c>
      <c r="M80" s="159">
        <v>2481826.494018196</v>
      </c>
      <c r="N80" s="189">
        <v>346444721.03000003</v>
      </c>
      <c r="O80" s="189">
        <v>342390323</v>
      </c>
      <c r="P80" s="172" t="e">
        <f>#REF!/$P$4</f>
        <v>#REF!</v>
      </c>
      <c r="Q80" s="159" t="e">
        <f>#REF!/137.96</f>
        <v>#REF!</v>
      </c>
      <c r="R80" s="76"/>
      <c r="S80" s="165"/>
      <c r="T80" s="164"/>
      <c r="U80" s="161"/>
    </row>
    <row r="81" spans="3:16" ht="19.5" customHeight="1" thickTop="1">
      <c r="C81" s="49"/>
      <c r="F81" s="174"/>
      <c r="G81" s="71">
        <f t="shared" si="3"/>
        <v>0</v>
      </c>
      <c r="H81" s="91">
        <f t="shared" si="4"/>
        <v>0</v>
      </c>
      <c r="K81" s="96">
        <f t="shared" si="5"/>
        <v>0</v>
      </c>
      <c r="L81" s="96">
        <v>0</v>
      </c>
      <c r="N81" s="96">
        <v>0</v>
      </c>
      <c r="P81" s="96" t="e">
        <f>#REF!/$P$4</f>
        <v>#REF!</v>
      </c>
    </row>
    <row r="82" spans="3:20" ht="9" customHeight="1">
      <c r="C82" s="49"/>
      <c r="F82" s="174"/>
      <c r="G82" s="71">
        <f t="shared" si="3"/>
        <v>0</v>
      </c>
      <c r="H82" s="91">
        <f t="shared" si="4"/>
        <v>0</v>
      </c>
      <c r="K82" s="96">
        <f t="shared" si="5"/>
        <v>0</v>
      </c>
      <c r="L82" s="96">
        <v>0</v>
      </c>
      <c r="N82" s="96">
        <v>0</v>
      </c>
      <c r="P82" s="96" t="e">
        <f>#REF!/$P$4</f>
        <v>#REF!</v>
      </c>
      <c r="R82" s="76"/>
      <c r="S82" s="165"/>
      <c r="T82" s="170"/>
    </row>
    <row r="83" spans="3:22" ht="19.5" customHeight="1">
      <c r="C83" s="49"/>
      <c r="D83" s="197" t="s">
        <v>303</v>
      </c>
      <c r="F83" s="178" t="s">
        <v>189</v>
      </c>
      <c r="G83" s="71">
        <f t="shared" si="3"/>
        <v>4292733.337130167</v>
      </c>
      <c r="H83" s="91">
        <f t="shared" si="4"/>
        <v>4277855.646728568</v>
      </c>
      <c r="J83" s="96">
        <v>4</v>
      </c>
      <c r="K83" s="96">
        <f t="shared" si="5"/>
        <v>3615848.650893724</v>
      </c>
      <c r="L83" s="96">
        <f>L80+L64+L56</f>
        <v>506941980.85530007</v>
      </c>
      <c r="M83" s="96">
        <v>4292733.3838383835</v>
      </c>
      <c r="N83" s="198">
        <v>599222646.53</v>
      </c>
      <c r="O83" s="170">
        <v>594322485</v>
      </c>
      <c r="P83" s="96" t="e">
        <f>#REF!/$P$4</f>
        <v>#REF!</v>
      </c>
      <c r="Q83" s="96" t="e">
        <f>#REF!/137.96</f>
        <v>#REF!</v>
      </c>
      <c r="R83" s="165"/>
      <c r="S83" s="165"/>
      <c r="T83" s="198"/>
      <c r="U83" s="161"/>
      <c r="V83" s="66"/>
    </row>
    <row r="84" spans="6:20" ht="19.5" customHeight="1">
      <c r="F84" s="174"/>
      <c r="G84" s="199"/>
      <c r="R84" s="76"/>
      <c r="S84" s="165"/>
      <c r="T84" s="170"/>
    </row>
    <row r="85" spans="6:20" ht="19.5" customHeight="1">
      <c r="F85" s="68" t="s">
        <v>324</v>
      </c>
      <c r="G85" s="161"/>
      <c r="I85" s="96" t="s">
        <v>238</v>
      </c>
      <c r="N85" s="62" t="s">
        <v>576</v>
      </c>
      <c r="R85" s="76"/>
      <c r="S85" s="165"/>
      <c r="T85" s="170"/>
    </row>
    <row r="86" spans="6:20" ht="19.5" customHeight="1">
      <c r="F86" s="68" t="s">
        <v>577</v>
      </c>
      <c r="G86" s="161"/>
      <c r="I86" s="96" t="s">
        <v>239</v>
      </c>
      <c r="N86" s="62" t="s">
        <v>578</v>
      </c>
      <c r="R86" s="76"/>
      <c r="S86" s="165"/>
      <c r="T86" s="170"/>
    </row>
    <row r="87" spans="18:20" ht="19.5" customHeight="1">
      <c r="R87" s="76"/>
      <c r="S87" s="165"/>
      <c r="T87" s="170"/>
    </row>
    <row r="88" ht="19.5" customHeight="1">
      <c r="U88" s="76"/>
    </row>
    <row r="91" ht="19.5" customHeight="1">
      <c r="T91" s="170"/>
    </row>
  </sheetData>
  <sheetProtection/>
  <mergeCells count="1">
    <mergeCell ref="C2:D2"/>
  </mergeCells>
  <printOptions/>
  <pageMargins left="1.3" right="0.21" top="0.4" bottom="0.36" header="0.26" footer="0.19"/>
  <pageSetup fitToHeight="1" fitToWidth="1" horizontalDpi="600" verticalDpi="600" orientation="portrait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P104"/>
  <sheetViews>
    <sheetView zoomScalePageLayoutView="0" workbookViewId="0" topLeftCell="A4">
      <selection activeCell="E18" sqref="E18"/>
    </sheetView>
  </sheetViews>
  <sheetFormatPr defaultColWidth="9.140625" defaultRowHeight="12.75"/>
  <cols>
    <col min="1" max="1" width="12.28125" style="0" bestFit="1" customWidth="1"/>
    <col min="3" max="3" width="0.42578125" style="0" customWidth="1"/>
    <col min="4" max="4" width="10.28125" style="0" customWidth="1"/>
    <col min="5" max="5" width="12.28125" style="0" bestFit="1" customWidth="1"/>
    <col min="6" max="6" width="12.8515625" style="0" customWidth="1"/>
    <col min="7" max="7" width="18.7109375" style="0" customWidth="1"/>
    <col min="8" max="8" width="12.28125" style="0" customWidth="1"/>
    <col min="9" max="9" width="10.421875" style="0" customWidth="1"/>
    <col min="10" max="10" width="12.7109375" style="0" customWidth="1"/>
    <col min="11" max="11" width="10.7109375" style="0" customWidth="1"/>
    <col min="12" max="12" width="12.8515625" style="0" customWidth="1"/>
    <col min="13" max="13" width="10.8515625" style="0" customWidth="1"/>
    <col min="14" max="14" width="10.421875" style="0" bestFit="1" customWidth="1"/>
    <col min="15" max="15" width="13.57421875" style="0" bestFit="1" customWidth="1"/>
  </cols>
  <sheetData>
    <row r="3" spans="2:14" ht="12.75">
      <c r="B3" s="100"/>
      <c r="C3" s="100"/>
      <c r="D3" s="100"/>
      <c r="E3" s="100"/>
      <c r="F3" s="101"/>
      <c r="G3" s="101"/>
      <c r="H3" s="102" t="s">
        <v>513</v>
      </c>
      <c r="I3" s="102"/>
      <c r="J3" s="103"/>
      <c r="K3" s="100"/>
      <c r="L3" s="100"/>
      <c r="M3" s="100"/>
      <c r="N3" s="100" t="s">
        <v>248</v>
      </c>
    </row>
    <row r="4" spans="2:14" ht="12.75">
      <c r="B4" s="104"/>
      <c r="C4" s="100"/>
      <c r="D4" s="104">
        <v>9</v>
      </c>
      <c r="E4" s="104">
        <v>10</v>
      </c>
      <c r="F4" s="104">
        <v>11</v>
      </c>
      <c r="G4" s="104"/>
      <c r="H4" s="104">
        <v>13</v>
      </c>
      <c r="I4" s="104">
        <v>14</v>
      </c>
      <c r="J4" s="104">
        <v>15</v>
      </c>
      <c r="K4" s="104">
        <v>16</v>
      </c>
      <c r="L4" s="104">
        <v>17</v>
      </c>
      <c r="M4" s="104"/>
      <c r="N4" s="104">
        <v>20</v>
      </c>
    </row>
    <row r="5" spans="2:14" ht="12.75">
      <c r="B5" s="105"/>
      <c r="C5" s="100" t="s">
        <v>249</v>
      </c>
      <c r="D5" s="105" t="s">
        <v>250</v>
      </c>
      <c r="E5" s="105" t="s">
        <v>251</v>
      </c>
      <c r="F5" s="105" t="s">
        <v>252</v>
      </c>
      <c r="G5" s="105" t="s">
        <v>253</v>
      </c>
      <c r="H5" s="105" t="s">
        <v>254</v>
      </c>
      <c r="I5" s="105" t="s">
        <v>255</v>
      </c>
      <c r="J5" s="105" t="s">
        <v>256</v>
      </c>
      <c r="K5" s="105" t="s">
        <v>257</v>
      </c>
      <c r="L5" s="105" t="s">
        <v>258</v>
      </c>
      <c r="M5" s="105" t="s">
        <v>259</v>
      </c>
      <c r="N5" s="105">
        <v>-9308688</v>
      </c>
    </row>
    <row r="6" spans="2:14" ht="12.75">
      <c r="B6" s="105" t="s">
        <v>260</v>
      </c>
      <c r="C6" s="106"/>
      <c r="D6" s="105">
        <v>4306513</v>
      </c>
      <c r="E6" s="105"/>
      <c r="F6" s="105">
        <v>34073367</v>
      </c>
      <c r="G6" s="105">
        <f>F6*0.2</f>
        <v>6814673.4</v>
      </c>
      <c r="H6" s="105">
        <v>7501430</v>
      </c>
      <c r="I6" s="105">
        <v>14386340</v>
      </c>
      <c r="J6" s="105">
        <f>I6*0.2</f>
        <v>2877268</v>
      </c>
      <c r="K6" s="105">
        <v>8537935</v>
      </c>
      <c r="L6" s="105">
        <f>K6*0.2</f>
        <v>1707587</v>
      </c>
      <c r="M6" s="105"/>
      <c r="N6" s="105">
        <f>G6-J6-L6+N5</f>
        <v>-7078869.6</v>
      </c>
    </row>
    <row r="7" spans="2:15" ht="12.75">
      <c r="B7" s="105" t="s">
        <v>261</v>
      </c>
      <c r="C7" s="106"/>
      <c r="D7" s="105"/>
      <c r="E7" s="105">
        <v>739786</v>
      </c>
      <c r="F7" s="105">
        <v>68394473</v>
      </c>
      <c r="G7" s="105">
        <f aca="true" t="shared" si="0" ref="G7:G17">F7*0.2</f>
        <v>13678894.600000001</v>
      </c>
      <c r="H7" s="105">
        <v>4285420</v>
      </c>
      <c r="I7" s="105">
        <v>18319375</v>
      </c>
      <c r="J7" s="105">
        <f>I7*0.2</f>
        <v>3663875</v>
      </c>
      <c r="K7" s="105">
        <v>12329073</v>
      </c>
      <c r="L7" s="105">
        <f aca="true" t="shared" si="1" ref="L7:L17">K7*0.2</f>
        <v>2465814.6</v>
      </c>
      <c r="M7" s="105"/>
      <c r="N7" s="105">
        <f aca="true" t="shared" si="2" ref="N7:N17">G7-J7-L7+N6</f>
        <v>470335.40000000224</v>
      </c>
      <c r="O7" s="26">
        <v>-15000000</v>
      </c>
    </row>
    <row r="8" spans="2:14" ht="12.75">
      <c r="B8" s="105" t="s">
        <v>262</v>
      </c>
      <c r="C8" s="106"/>
      <c r="D8" s="105"/>
      <c r="E8" s="105"/>
      <c r="F8" s="105">
        <v>96528296</v>
      </c>
      <c r="G8" s="105">
        <f t="shared" si="0"/>
        <v>19305659.2</v>
      </c>
      <c r="H8" s="105">
        <v>3756648</v>
      </c>
      <c r="I8" s="105">
        <v>43766135</v>
      </c>
      <c r="J8" s="105">
        <f aca="true" t="shared" si="3" ref="J8:J17">I8*0.2</f>
        <v>8753227</v>
      </c>
      <c r="K8" s="105">
        <v>22811017</v>
      </c>
      <c r="L8" s="105">
        <f t="shared" si="1"/>
        <v>4562203.4</v>
      </c>
      <c r="M8" s="105"/>
      <c r="N8" s="105">
        <f>G8-J8-L8+N7+O7-N7</f>
        <v>-9009771.200000001</v>
      </c>
    </row>
    <row r="9" spans="2:14" ht="12.75">
      <c r="B9" s="105" t="s">
        <v>263</v>
      </c>
      <c r="C9" s="106"/>
      <c r="D9" s="105"/>
      <c r="E9" s="105">
        <v>1867985</v>
      </c>
      <c r="F9" s="105">
        <f>63796463</f>
        <v>63796463</v>
      </c>
      <c r="G9" s="105">
        <f t="shared" si="0"/>
        <v>12759292.600000001</v>
      </c>
      <c r="H9" s="105">
        <v>3266845</v>
      </c>
      <c r="I9" s="105">
        <f>48961610</f>
        <v>48961610</v>
      </c>
      <c r="J9" s="105">
        <f t="shared" si="3"/>
        <v>9792322</v>
      </c>
      <c r="K9" s="105">
        <v>17857246</v>
      </c>
      <c r="L9" s="105">
        <f t="shared" si="1"/>
        <v>3571449.2</v>
      </c>
      <c r="M9" s="105"/>
      <c r="N9" s="105">
        <f t="shared" si="2"/>
        <v>-9614249.8</v>
      </c>
    </row>
    <row r="10" spans="2:14" ht="12.75">
      <c r="B10" s="105" t="s">
        <v>264</v>
      </c>
      <c r="C10" s="106"/>
      <c r="D10" s="105"/>
      <c r="E10" s="105">
        <v>221444</v>
      </c>
      <c r="F10" s="105">
        <v>50816493</v>
      </c>
      <c r="G10" s="105">
        <f t="shared" si="0"/>
        <v>10163298.600000001</v>
      </c>
      <c r="H10" s="105">
        <v>6252883</v>
      </c>
      <c r="I10" s="105">
        <v>71995265</v>
      </c>
      <c r="J10" s="105">
        <f t="shared" si="3"/>
        <v>14399053</v>
      </c>
      <c r="K10" s="105">
        <v>10862815</v>
      </c>
      <c r="L10" s="105">
        <f t="shared" si="1"/>
        <v>2172563</v>
      </c>
      <c r="M10" s="105"/>
      <c r="N10" s="105">
        <f t="shared" si="2"/>
        <v>-16022567.2</v>
      </c>
    </row>
    <row r="11" spans="2:14" ht="12.75">
      <c r="B11" s="105" t="s">
        <v>265</v>
      </c>
      <c r="C11" s="106"/>
      <c r="D11" s="105"/>
      <c r="E11" s="107"/>
      <c r="F11" s="107">
        <v>89874379</v>
      </c>
      <c r="G11" s="105">
        <f t="shared" si="0"/>
        <v>17974875.8</v>
      </c>
      <c r="H11" s="105">
        <v>-3566421</v>
      </c>
      <c r="I11" s="105">
        <v>33114510</v>
      </c>
      <c r="J11" s="105">
        <f t="shared" si="3"/>
        <v>6622902</v>
      </c>
      <c r="K11" s="107">
        <v>15339594</v>
      </c>
      <c r="L11" s="105">
        <f t="shared" si="1"/>
        <v>3067918.8000000003</v>
      </c>
      <c r="M11" s="105"/>
      <c r="N11" s="105">
        <f t="shared" si="2"/>
        <v>-7738512.199999999</v>
      </c>
    </row>
    <row r="12" spans="2:14" ht="12.75">
      <c r="B12" s="105" t="s">
        <v>266</v>
      </c>
      <c r="C12" s="106"/>
      <c r="D12" s="105"/>
      <c r="F12" s="105">
        <v>45182340</v>
      </c>
      <c r="G12" s="105">
        <f t="shared" si="0"/>
        <v>9036468</v>
      </c>
      <c r="H12" s="105">
        <v>3920095</v>
      </c>
      <c r="I12" s="105">
        <v>20925710</v>
      </c>
      <c r="J12" s="105">
        <f t="shared" si="3"/>
        <v>4185142</v>
      </c>
      <c r="K12" s="105">
        <v>9042590</v>
      </c>
      <c r="L12" s="105">
        <f t="shared" si="1"/>
        <v>1808518</v>
      </c>
      <c r="M12" s="105"/>
      <c r="N12" s="105">
        <f t="shared" si="2"/>
        <v>-4695704.199999999</v>
      </c>
    </row>
    <row r="13" spans="2:14" ht="12.75">
      <c r="B13" s="105" t="s">
        <v>267</v>
      </c>
      <c r="C13" s="106"/>
      <c r="D13" s="105"/>
      <c r="E13" s="105"/>
      <c r="F13" s="105">
        <v>41312418</v>
      </c>
      <c r="G13" s="105">
        <f t="shared" si="0"/>
        <v>8262483.600000001</v>
      </c>
      <c r="H13" s="105">
        <v>2347504</v>
      </c>
      <c r="I13" s="105">
        <v>21925435</v>
      </c>
      <c r="J13" s="105">
        <f t="shared" si="3"/>
        <v>4385087</v>
      </c>
      <c r="K13" s="105">
        <v>8505827</v>
      </c>
      <c r="L13" s="105">
        <f t="shared" si="1"/>
        <v>1701165.4000000001</v>
      </c>
      <c r="M13" s="105"/>
      <c r="N13" s="105">
        <f t="shared" si="2"/>
        <v>-2519472.999999999</v>
      </c>
    </row>
    <row r="14" spans="2:14" ht="12.75">
      <c r="B14" s="105" t="s">
        <v>268</v>
      </c>
      <c r="C14" s="106"/>
      <c r="D14" s="105"/>
      <c r="E14" s="105"/>
      <c r="F14" s="105">
        <v>25932156</v>
      </c>
      <c r="G14" s="105">
        <f t="shared" si="0"/>
        <v>5186431.2</v>
      </c>
      <c r="H14" s="105">
        <v>2576904</v>
      </c>
      <c r="I14" s="105">
        <v>15743235</v>
      </c>
      <c r="J14" s="105">
        <f t="shared" si="3"/>
        <v>3148647</v>
      </c>
      <c r="K14" s="105">
        <v>4092395</v>
      </c>
      <c r="L14" s="105">
        <f t="shared" si="1"/>
        <v>818479</v>
      </c>
      <c r="M14" s="105"/>
      <c r="N14" s="105">
        <f t="shared" si="2"/>
        <v>-1300167.7999999989</v>
      </c>
    </row>
    <row r="15" spans="2:15" ht="12.75">
      <c r="B15" s="105" t="s">
        <v>269</v>
      </c>
      <c r="C15" s="106"/>
      <c r="D15" s="105">
        <v>3234970</v>
      </c>
      <c r="E15" s="105">
        <v>14891350</v>
      </c>
      <c r="F15" s="105">
        <v>60072966</v>
      </c>
      <c r="G15" s="105">
        <f t="shared" si="0"/>
        <v>12014593.200000001</v>
      </c>
      <c r="H15" s="105">
        <v>5622649</v>
      </c>
      <c r="I15" s="105">
        <v>51971410</v>
      </c>
      <c r="J15" s="105">
        <f t="shared" si="3"/>
        <v>10394282</v>
      </c>
      <c r="K15" s="105">
        <v>14619312</v>
      </c>
      <c r="L15" s="105">
        <f t="shared" si="1"/>
        <v>2923862.4000000004</v>
      </c>
      <c r="M15" s="105"/>
      <c r="N15" s="105">
        <f t="shared" si="2"/>
        <v>-2603718.999999998</v>
      </c>
      <c r="O15" s="26">
        <f>G15-N14-J15+L15</f>
        <v>5844341.4</v>
      </c>
    </row>
    <row r="16" spans="2:16" ht="12.75">
      <c r="B16" s="105" t="s">
        <v>270</v>
      </c>
      <c r="C16" s="106"/>
      <c r="D16" s="105"/>
      <c r="E16" s="105"/>
      <c r="F16" s="105">
        <v>23806387.5</v>
      </c>
      <c r="G16" s="105">
        <f t="shared" si="0"/>
        <v>4761277.5</v>
      </c>
      <c r="H16" s="105">
        <v>2820246</v>
      </c>
      <c r="I16" s="105">
        <v>14600460</v>
      </c>
      <c r="J16" s="105">
        <f t="shared" si="3"/>
        <v>2920092</v>
      </c>
      <c r="K16" s="105">
        <v>5137310</v>
      </c>
      <c r="L16" s="105">
        <f t="shared" si="1"/>
        <v>1027462</v>
      </c>
      <c r="M16" s="105"/>
      <c r="N16" s="105">
        <f t="shared" si="2"/>
        <v>-1789995.4999999981</v>
      </c>
      <c r="O16" s="26">
        <v>661623</v>
      </c>
      <c r="P16" t="s">
        <v>271</v>
      </c>
    </row>
    <row r="17" spans="2:15" ht="12.75">
      <c r="B17" s="105" t="s">
        <v>272</v>
      </c>
      <c r="C17" s="106"/>
      <c r="D17" s="105"/>
      <c r="E17" s="105"/>
      <c r="F17" s="105">
        <v>66841002</v>
      </c>
      <c r="G17" s="105">
        <f t="shared" si="0"/>
        <v>13368200.4</v>
      </c>
      <c r="H17" s="107">
        <v>2674145</v>
      </c>
      <c r="I17" s="105">
        <v>55673275</v>
      </c>
      <c r="J17" s="105">
        <f t="shared" si="3"/>
        <v>11134655</v>
      </c>
      <c r="K17" s="105">
        <v>7225959</v>
      </c>
      <c r="L17" s="105">
        <f t="shared" si="1"/>
        <v>1445191.8</v>
      </c>
      <c r="M17" s="105"/>
      <c r="N17" s="105">
        <f t="shared" si="2"/>
        <v>-1001641.8999999978</v>
      </c>
      <c r="O17" s="26"/>
    </row>
    <row r="18" spans="2:14" ht="12.75">
      <c r="B18" s="108"/>
      <c r="C18" s="106">
        <f>F18+E18</f>
        <v>684351305.5</v>
      </c>
      <c r="D18" s="108">
        <f>SUM(D6:D17)</f>
        <v>7541483</v>
      </c>
      <c r="E18" s="108">
        <f aca="true" t="shared" si="4" ref="E18:M18">SUM(E6:E17)</f>
        <v>17720565</v>
      </c>
      <c r="F18" s="108">
        <f t="shared" si="4"/>
        <v>666630740.5</v>
      </c>
      <c r="G18" s="108">
        <f t="shared" si="4"/>
        <v>133326148.10000001</v>
      </c>
      <c r="H18" s="108">
        <f t="shared" si="4"/>
        <v>41458348</v>
      </c>
      <c r="I18" s="108">
        <f t="shared" si="4"/>
        <v>411382760</v>
      </c>
      <c r="J18" s="108">
        <f t="shared" si="4"/>
        <v>82276552</v>
      </c>
      <c r="K18" s="108">
        <f t="shared" si="4"/>
        <v>136361073</v>
      </c>
      <c r="L18" s="108">
        <f t="shared" si="4"/>
        <v>27272214.599999998</v>
      </c>
      <c r="M18" s="108">
        <f t="shared" si="4"/>
        <v>0</v>
      </c>
      <c r="N18" s="108"/>
    </row>
    <row r="20" spans="6:14" ht="12.75">
      <c r="F20" s="109"/>
      <c r="J20" s="109">
        <f>I15*0.2</f>
        <v>10394282</v>
      </c>
      <c r="L20" s="109">
        <f>K15*0.2</f>
        <v>2923862.4000000004</v>
      </c>
      <c r="N20">
        <f>G21</f>
        <v>0</v>
      </c>
    </row>
    <row r="21" spans="6:7" ht="12.75">
      <c r="F21" t="s">
        <v>273</v>
      </c>
      <c r="G21" s="109"/>
    </row>
    <row r="22" spans="5:7" ht="12.75">
      <c r="E22" s="26">
        <f>F18+E18+D18</f>
        <v>691892788.5</v>
      </c>
      <c r="G22" s="31">
        <f>D18+E18+F18</f>
        <v>691892788.5</v>
      </c>
    </row>
    <row r="23" ht="12.75">
      <c r="G23" s="31"/>
    </row>
    <row r="24" spans="5:7" ht="12.75">
      <c r="E24" s="26" t="s">
        <v>274</v>
      </c>
      <c r="F24" s="346">
        <v>45285062.80100002</v>
      </c>
      <c r="G24" s="31">
        <v>45285062.8</v>
      </c>
    </row>
    <row r="25" spans="1:7" ht="12.75">
      <c r="A25">
        <v>670981283</v>
      </c>
      <c r="E25" t="s">
        <v>537</v>
      </c>
      <c r="F25" s="26"/>
      <c r="G25" s="335">
        <f>159826.09-17057+986</f>
        <v>143755.09</v>
      </c>
    </row>
    <row r="26" spans="5:7" ht="12.75">
      <c r="E26" t="s">
        <v>533</v>
      </c>
      <c r="F26" s="320"/>
      <c r="G26" s="31">
        <v>-4349556</v>
      </c>
    </row>
    <row r="27" spans="1:9" ht="12.75">
      <c r="A27" s="26">
        <f>A25+D18+E18-G24-G26+G27-G28</f>
        <v>652418747.2</v>
      </c>
      <c r="E27" t="s">
        <v>295</v>
      </c>
      <c r="F27" s="31"/>
      <c r="G27" s="31">
        <v>3976772</v>
      </c>
      <c r="I27">
        <v>52501683</v>
      </c>
    </row>
    <row r="28" spans="1:7" ht="12.75">
      <c r="A28" s="26">
        <f>A27+D18+E18</f>
        <v>677680795.2</v>
      </c>
      <c r="E28" s="26" t="s">
        <v>535</v>
      </c>
      <c r="F28" s="31"/>
      <c r="G28" s="31">
        <f>6842399+23450</f>
        <v>6865849</v>
      </c>
    </row>
    <row r="29" spans="5:7" ht="12.75">
      <c r="E29" t="s">
        <v>536</v>
      </c>
      <c r="G29" s="31">
        <f>'ardh-shpenz'!F7</f>
        <v>579800.12</v>
      </c>
    </row>
    <row r="30" spans="5:16" ht="12.75">
      <c r="E30" s="26"/>
      <c r="F30" s="26"/>
      <c r="G30" s="31">
        <f>G22-G24+4349556+G27-G28+G29+G25</f>
        <v>648791759.9100001</v>
      </c>
      <c r="L30" s="114"/>
      <c r="M30" s="114"/>
      <c r="N30" s="114"/>
      <c r="O30" s="111"/>
      <c r="P30" s="111"/>
    </row>
    <row r="31" spans="5:16" ht="12.75">
      <c r="E31" s="26"/>
      <c r="F31" s="26"/>
      <c r="G31" s="31"/>
      <c r="L31" s="114"/>
      <c r="M31" s="114"/>
      <c r="N31" s="114"/>
      <c r="O31" s="111"/>
      <c r="P31" s="111"/>
    </row>
    <row r="32" spans="5:16" ht="12.75">
      <c r="E32" s="26" t="s">
        <v>538</v>
      </c>
      <c r="F32" s="26"/>
      <c r="G32" s="31">
        <v>691892789</v>
      </c>
      <c r="L32" s="114"/>
      <c r="M32" s="114"/>
      <c r="N32" s="114"/>
      <c r="O32" s="111"/>
      <c r="P32" s="111"/>
    </row>
    <row r="33" spans="5:16" ht="12.75">
      <c r="E33" s="26" t="s">
        <v>539</v>
      </c>
      <c r="F33" s="26"/>
      <c r="G33" s="31">
        <f>'ardh-shpenz'!F6+'ardh-shpenz'!F7+'ardh-shpenz'!F8</f>
        <v>648791760.0741733</v>
      </c>
      <c r="L33" s="114"/>
      <c r="M33" s="114"/>
      <c r="N33" s="114"/>
      <c r="O33" s="111"/>
      <c r="P33" s="111"/>
    </row>
    <row r="34" spans="5:16" ht="12.75">
      <c r="E34" s="26" t="s">
        <v>540</v>
      </c>
      <c r="F34" s="26"/>
      <c r="G34" s="31">
        <f>G32-G33</f>
        <v>43101028.92582667</v>
      </c>
      <c r="L34" s="114"/>
      <c r="M34" s="114"/>
      <c r="N34" s="114"/>
      <c r="O34" s="111"/>
      <c r="P34" s="111"/>
    </row>
    <row r="35" spans="5:16" ht="12.75">
      <c r="E35" s="26"/>
      <c r="F35" s="26"/>
      <c r="G35" s="31"/>
      <c r="L35" s="114"/>
      <c r="M35" s="114"/>
      <c r="N35" s="114"/>
      <c r="O35" s="111"/>
      <c r="P35" s="111"/>
    </row>
    <row r="36" spans="5:16" ht="12.75">
      <c r="E36" s="26" t="s">
        <v>541</v>
      </c>
      <c r="F36" s="26"/>
      <c r="G36" s="31"/>
      <c r="L36" s="114"/>
      <c r="M36" s="114"/>
      <c r="N36" s="114"/>
      <c r="O36" s="111"/>
      <c r="P36" s="111"/>
    </row>
    <row r="37" spans="5:16" ht="12.75">
      <c r="E37" s="26" t="s">
        <v>542</v>
      </c>
      <c r="F37" s="26"/>
      <c r="G37" s="31"/>
      <c r="H37" s="31">
        <v>-45285062.8</v>
      </c>
      <c r="L37" s="114"/>
      <c r="M37" s="114"/>
      <c r="N37" s="114"/>
      <c r="O37" s="111"/>
      <c r="P37" s="111"/>
    </row>
    <row r="38" spans="5:16" ht="12.75">
      <c r="E38" s="26"/>
      <c r="F38" s="26" t="s">
        <v>543</v>
      </c>
      <c r="G38" s="31"/>
      <c r="H38" s="31">
        <f>143755.09</f>
        <v>143755.09</v>
      </c>
      <c r="L38" s="114"/>
      <c r="M38" s="114"/>
      <c r="N38" s="114"/>
      <c r="O38" s="111"/>
      <c r="P38" s="111"/>
    </row>
    <row r="39" spans="5:16" ht="12.75">
      <c r="E39" s="26"/>
      <c r="F39" s="26" t="s">
        <v>544</v>
      </c>
      <c r="G39" s="31"/>
      <c r="H39" s="31">
        <f>--4349556</f>
        <v>4349556</v>
      </c>
      <c r="L39" s="114"/>
      <c r="M39" s="114"/>
      <c r="N39" s="114"/>
      <c r="O39" s="111"/>
      <c r="P39" s="111"/>
    </row>
    <row r="40" spans="5:16" ht="12.75">
      <c r="E40" s="26"/>
      <c r="F40" s="26" t="s">
        <v>545</v>
      </c>
      <c r="G40" s="31"/>
      <c r="H40" s="31">
        <f>G27</f>
        <v>3976772</v>
      </c>
      <c r="L40" s="114"/>
      <c r="M40" s="114"/>
      <c r="N40" s="114"/>
      <c r="O40" s="111"/>
      <c r="P40" s="111"/>
    </row>
    <row r="41" spans="5:16" ht="12.75">
      <c r="E41" s="26"/>
      <c r="F41" s="26" t="s">
        <v>546</v>
      </c>
      <c r="G41" s="31"/>
      <c r="H41" s="31">
        <v>-6865849</v>
      </c>
      <c r="L41" s="114"/>
      <c r="M41" s="114"/>
      <c r="N41" s="114"/>
      <c r="O41" s="111"/>
      <c r="P41" s="111"/>
    </row>
    <row r="42" spans="5:16" ht="12.75">
      <c r="E42" s="26"/>
      <c r="F42" s="26" t="s">
        <v>547</v>
      </c>
      <c r="G42" s="31"/>
      <c r="H42" s="31">
        <v>579800</v>
      </c>
      <c r="L42" s="114"/>
      <c r="M42" s="114"/>
      <c r="N42" s="114"/>
      <c r="O42" s="111"/>
      <c r="P42" s="111"/>
    </row>
    <row r="43" spans="5:16" ht="12.75">
      <c r="E43" s="26"/>
      <c r="F43" s="26"/>
      <c r="G43" s="31"/>
      <c r="H43" s="31">
        <f>SUM(H37:H42)</f>
        <v>-43101028.70999999</v>
      </c>
      <c r="L43" s="114"/>
      <c r="M43" s="114"/>
      <c r="N43" s="114"/>
      <c r="O43" s="111"/>
      <c r="P43" s="111"/>
    </row>
    <row r="44" spans="5:16" ht="12.75">
      <c r="E44" s="26"/>
      <c r="F44" s="26"/>
      <c r="G44" s="31"/>
      <c r="L44" s="114"/>
      <c r="M44" s="114"/>
      <c r="N44" s="114"/>
      <c r="O44" s="111"/>
      <c r="P44" s="111"/>
    </row>
    <row r="45" spans="5:16" ht="12.75">
      <c r="E45" s="26"/>
      <c r="F45" s="26"/>
      <c r="G45" s="31"/>
      <c r="L45" s="114"/>
      <c r="M45" s="114"/>
      <c r="N45" s="114"/>
      <c r="O45" s="111"/>
      <c r="P45" s="111"/>
    </row>
    <row r="46" spans="5:16" ht="12.75">
      <c r="E46" s="26"/>
      <c r="F46" s="26"/>
      <c r="G46" s="31"/>
      <c r="L46" s="114"/>
      <c r="M46" s="114"/>
      <c r="N46" s="114"/>
      <c r="O46" s="111"/>
      <c r="P46" s="111"/>
    </row>
    <row r="47" spans="5:16" ht="12.75">
      <c r="E47" s="26"/>
      <c r="L47" s="114"/>
      <c r="M47" s="114"/>
      <c r="N47" s="114"/>
      <c r="O47" s="111"/>
      <c r="P47" s="111"/>
    </row>
    <row r="48" spans="12:16" ht="12.75">
      <c r="L48" s="114"/>
      <c r="M48" s="114"/>
      <c r="N48" s="114"/>
      <c r="O48" s="111"/>
      <c r="P48" s="111"/>
    </row>
    <row r="49" spans="12:16" ht="12.75">
      <c r="L49" s="114"/>
      <c r="M49" s="114"/>
      <c r="N49" s="114"/>
      <c r="O49" s="111"/>
      <c r="P49" s="111"/>
    </row>
    <row r="50" spans="5:16" ht="12.75">
      <c r="E50" s="440" t="s">
        <v>275</v>
      </c>
      <c r="F50" s="440"/>
      <c r="G50" s="440"/>
      <c r="L50" s="114"/>
      <c r="M50" s="114"/>
      <c r="N50" s="114"/>
      <c r="O50" s="111"/>
      <c r="P50" s="111"/>
    </row>
    <row r="51" spans="5:16" ht="15.75">
      <c r="E51" s="368"/>
      <c r="F51" s="368" t="s">
        <v>534</v>
      </c>
      <c r="G51" s="368" t="s">
        <v>276</v>
      </c>
      <c r="L51" s="114"/>
      <c r="M51" s="114"/>
      <c r="N51" s="114"/>
      <c r="O51" s="111"/>
      <c r="P51" s="114"/>
    </row>
    <row r="52" spans="5:16" ht="12.75">
      <c r="E52" s="228" t="s">
        <v>207</v>
      </c>
      <c r="F52" s="79">
        <v>17450</v>
      </c>
      <c r="G52" s="79">
        <f>F52*0.2</f>
        <v>3490</v>
      </c>
      <c r="L52" s="114"/>
      <c r="M52" s="114"/>
      <c r="N52" s="114"/>
      <c r="O52" s="114"/>
      <c r="P52" s="114"/>
    </row>
    <row r="53" spans="5:7" ht="12.75">
      <c r="E53" s="228" t="s">
        <v>277</v>
      </c>
      <c r="F53" s="79">
        <v>47421.5</v>
      </c>
      <c r="G53" s="79">
        <f aca="true" t="shared" si="5" ref="G53:G69">F53*0.2</f>
        <v>9484.300000000001</v>
      </c>
    </row>
    <row r="54" spans="5:7" ht="12.75">
      <c r="E54" s="228" t="s">
        <v>278</v>
      </c>
      <c r="F54" s="79">
        <v>31067.7</v>
      </c>
      <c r="G54" s="79">
        <f t="shared" si="5"/>
        <v>6213.540000000001</v>
      </c>
    </row>
    <row r="55" spans="5:13" ht="12.75">
      <c r="E55" s="228" t="s">
        <v>279</v>
      </c>
      <c r="F55" s="79">
        <v>30184.5</v>
      </c>
      <c r="G55" s="79">
        <f t="shared" si="5"/>
        <v>6036.900000000001</v>
      </c>
      <c r="M55" s="31"/>
    </row>
    <row r="56" spans="5:13" ht="12.75">
      <c r="E56" s="228" t="s">
        <v>280</v>
      </c>
      <c r="F56" s="79">
        <v>30184.7</v>
      </c>
      <c r="G56" s="79">
        <f t="shared" si="5"/>
        <v>6036.9400000000005</v>
      </c>
      <c r="M56" s="31"/>
    </row>
    <row r="57" spans="5:13" ht="12.75">
      <c r="E57" s="228" t="s">
        <v>281</v>
      </c>
      <c r="F57" s="79">
        <v>-4757084</v>
      </c>
      <c r="G57" s="79">
        <f t="shared" si="5"/>
        <v>-951416.8</v>
      </c>
      <c r="M57" s="26"/>
    </row>
    <row r="58" spans="5:7" ht="12.75">
      <c r="E58" s="228" t="s">
        <v>282</v>
      </c>
      <c r="F58" s="79">
        <v>75634.1</v>
      </c>
      <c r="G58" s="79">
        <f t="shared" si="5"/>
        <v>15126.820000000002</v>
      </c>
    </row>
    <row r="59" spans="5:7" ht="12.75">
      <c r="E59" s="228" t="s">
        <v>283</v>
      </c>
      <c r="F59" s="79">
        <v>30025.7</v>
      </c>
      <c r="G59" s="79">
        <f t="shared" si="5"/>
        <v>6005.14</v>
      </c>
    </row>
    <row r="60" spans="5:15" ht="12.75">
      <c r="E60" s="228" t="s">
        <v>284</v>
      </c>
      <c r="F60" s="79">
        <v>30324</v>
      </c>
      <c r="G60" s="79">
        <f t="shared" si="5"/>
        <v>6064.8</v>
      </c>
      <c r="K60" s="117" t="s">
        <v>289</v>
      </c>
      <c r="L60" s="117"/>
      <c r="M60" s="117"/>
      <c r="N60" s="117"/>
      <c r="O60" s="117"/>
    </row>
    <row r="61" spans="5:15" ht="13.5" thickBot="1">
      <c r="E61" s="228" t="s">
        <v>285</v>
      </c>
      <c r="F61" s="79">
        <v>30081.5</v>
      </c>
      <c r="G61" s="79">
        <f t="shared" si="5"/>
        <v>6016.3</v>
      </c>
      <c r="K61" s="112"/>
      <c r="L61" s="112"/>
      <c r="M61" s="112"/>
      <c r="N61" s="112"/>
      <c r="O61" s="113"/>
    </row>
    <row r="62" spans="5:15" ht="13.5" thickBot="1">
      <c r="E62" s="228" t="s">
        <v>286</v>
      </c>
      <c r="F62" s="79">
        <v>31201</v>
      </c>
      <c r="G62" s="79">
        <f t="shared" si="5"/>
        <v>6240.200000000001</v>
      </c>
      <c r="K62" s="112" t="s">
        <v>287</v>
      </c>
      <c r="L62" s="112"/>
      <c r="M62" s="112"/>
      <c r="N62" s="112"/>
      <c r="O62" s="104">
        <f>D18+E18+F18</f>
        <v>691892788.5</v>
      </c>
    </row>
    <row r="63" spans="5:15" ht="13.5" thickBot="1">
      <c r="E63" s="228" t="s">
        <v>216</v>
      </c>
      <c r="F63" s="79">
        <v>53953</v>
      </c>
      <c r="G63" s="79">
        <f t="shared" si="5"/>
        <v>10790.6</v>
      </c>
      <c r="K63" s="112" t="s">
        <v>293</v>
      </c>
      <c r="L63" s="112"/>
      <c r="M63" s="112"/>
      <c r="N63" s="112"/>
      <c r="O63" s="104">
        <f>-M56</f>
        <v>0</v>
      </c>
    </row>
    <row r="64" spans="5:15" ht="12.75">
      <c r="E64" s="117" t="s">
        <v>0</v>
      </c>
      <c r="F64" s="367">
        <f>SUM(F52:F63)</f>
        <v>-4349556.3</v>
      </c>
      <c r="G64" s="367">
        <f t="shared" si="5"/>
        <v>-869911.26</v>
      </c>
      <c r="K64" t="s">
        <v>292</v>
      </c>
      <c r="O64" s="104">
        <v>5430955</v>
      </c>
    </row>
    <row r="65" spans="7:15" ht="12.75">
      <c r="G65">
        <f t="shared" si="5"/>
        <v>0</v>
      </c>
      <c r="K65" t="s">
        <v>291</v>
      </c>
      <c r="O65" s="104">
        <v>-16409</v>
      </c>
    </row>
    <row r="66" spans="7:15" ht="13.5" thickBot="1">
      <c r="G66">
        <f t="shared" si="5"/>
        <v>0</v>
      </c>
      <c r="K66" s="112" t="s">
        <v>288</v>
      </c>
      <c r="L66" s="112"/>
      <c r="M66" s="112"/>
      <c r="N66" s="112"/>
      <c r="O66" s="104">
        <f>-F64</f>
        <v>4349556.3</v>
      </c>
    </row>
    <row r="67" spans="7:15" ht="12.75">
      <c r="G67">
        <f t="shared" si="5"/>
        <v>0</v>
      </c>
      <c r="K67" s="77" t="s">
        <v>290</v>
      </c>
      <c r="L67" s="77"/>
      <c r="M67" s="77"/>
      <c r="N67" s="114"/>
      <c r="O67" s="104">
        <f>-165204383</f>
        <v>-165204383</v>
      </c>
    </row>
    <row r="68" spans="7:15" ht="12.75">
      <c r="G68">
        <f t="shared" si="5"/>
        <v>0</v>
      </c>
      <c r="K68" s="115" t="s">
        <v>297</v>
      </c>
      <c r="L68" s="115"/>
      <c r="M68" s="115"/>
      <c r="N68" s="116"/>
      <c r="O68" s="104">
        <f>SUM(O61:O67)</f>
        <v>536452507.79999995</v>
      </c>
    </row>
    <row r="69" spans="7:15" ht="12.75">
      <c r="G69">
        <f t="shared" si="5"/>
        <v>0</v>
      </c>
      <c r="O69" s="100"/>
    </row>
    <row r="70" ht="12.75">
      <c r="O70" s="104"/>
    </row>
    <row r="71" spans="11:15" ht="12.75">
      <c r="K71" s="98" t="s">
        <v>294</v>
      </c>
      <c r="L71" s="98"/>
      <c r="M71" s="98"/>
      <c r="N71" s="98"/>
      <c r="O71" s="118">
        <f>822781</f>
        <v>822781</v>
      </c>
    </row>
    <row r="72" ht="12.75">
      <c r="O72" s="100"/>
    </row>
    <row r="73" ht="12.75">
      <c r="O73" s="26">
        <f>O68+O71</f>
        <v>537275288.8</v>
      </c>
    </row>
    <row r="74" spans="2:8" ht="13.5" thickBot="1">
      <c r="B74" s="343" t="s">
        <v>486</v>
      </c>
      <c r="C74" s="344"/>
      <c r="D74" s="344"/>
      <c r="E74" s="344"/>
      <c r="F74" s="345" t="s">
        <v>487</v>
      </c>
      <c r="G74" s="344"/>
      <c r="H74" s="346"/>
    </row>
    <row r="75" spans="2:8" ht="12.75">
      <c r="B75" s="347"/>
      <c r="C75" s="348"/>
      <c r="D75" s="348"/>
      <c r="E75" s="348"/>
      <c r="F75" s="348"/>
      <c r="G75" s="348"/>
      <c r="H75" s="346"/>
    </row>
    <row r="76" spans="2:8" ht="12.75">
      <c r="B76" s="349" t="s">
        <v>514</v>
      </c>
      <c r="C76" s="350">
        <v>10027</v>
      </c>
      <c r="D76" s="351">
        <v>41306</v>
      </c>
      <c r="E76" s="352" t="s">
        <v>515</v>
      </c>
      <c r="F76" s="353" t="s">
        <v>516</v>
      </c>
      <c r="G76" s="354"/>
      <c r="H76" s="355">
        <v>2233977.9</v>
      </c>
    </row>
    <row r="77" spans="2:8" ht="12.75">
      <c r="B77" s="349" t="s">
        <v>514</v>
      </c>
      <c r="C77" s="350">
        <v>10028</v>
      </c>
      <c r="D77" s="351">
        <v>41306</v>
      </c>
      <c r="E77" s="352" t="s">
        <v>515</v>
      </c>
      <c r="F77" s="353" t="s">
        <v>517</v>
      </c>
      <c r="G77" s="354"/>
      <c r="H77" s="355">
        <v>2233977.9</v>
      </c>
    </row>
    <row r="78" spans="2:8" ht="12.75">
      <c r="B78" s="349" t="s">
        <v>514</v>
      </c>
      <c r="C78" s="350">
        <v>10029</v>
      </c>
      <c r="D78" s="351">
        <v>41306</v>
      </c>
      <c r="E78" s="352" t="s">
        <v>515</v>
      </c>
      <c r="F78" s="353" t="s">
        <v>518</v>
      </c>
      <c r="G78" s="354"/>
      <c r="H78" s="355">
        <v>2233977.9</v>
      </c>
    </row>
    <row r="79" spans="2:8" ht="12.75">
      <c r="B79" s="349" t="s">
        <v>514</v>
      </c>
      <c r="C79" s="350">
        <v>10030</v>
      </c>
      <c r="D79" s="351">
        <v>41306</v>
      </c>
      <c r="E79" s="352" t="s">
        <v>515</v>
      </c>
      <c r="F79" s="353" t="s">
        <v>519</v>
      </c>
      <c r="G79" s="354"/>
      <c r="H79" s="355">
        <v>2233977.9</v>
      </c>
    </row>
    <row r="80" spans="2:8" ht="12.75">
      <c r="B80" s="349" t="s">
        <v>514</v>
      </c>
      <c r="C80" s="350">
        <v>10031</v>
      </c>
      <c r="D80" s="351">
        <v>41306</v>
      </c>
      <c r="E80" s="352" t="s">
        <v>515</v>
      </c>
      <c r="F80" s="353" t="s">
        <v>520</v>
      </c>
      <c r="G80" s="354"/>
      <c r="H80" s="355">
        <v>2151625.7</v>
      </c>
    </row>
    <row r="81" spans="2:8" ht="12.75">
      <c r="B81" s="349" t="s">
        <v>514</v>
      </c>
      <c r="C81" s="350">
        <v>10032</v>
      </c>
      <c r="D81" s="351">
        <v>41306</v>
      </c>
      <c r="E81" s="352" t="s">
        <v>515</v>
      </c>
      <c r="F81" s="353" t="s">
        <v>521</v>
      </c>
      <c r="G81" s="354"/>
      <c r="H81" s="355">
        <v>2206061.9</v>
      </c>
    </row>
    <row r="82" spans="2:8" ht="12.75">
      <c r="B82" s="349" t="s">
        <v>514</v>
      </c>
      <c r="C82" s="350">
        <v>10033</v>
      </c>
      <c r="D82" s="351">
        <v>41306</v>
      </c>
      <c r="E82" s="352" t="s">
        <v>515</v>
      </c>
      <c r="F82" s="353" t="s">
        <v>522</v>
      </c>
      <c r="G82" s="354"/>
      <c r="H82" s="355">
        <v>2151625.7</v>
      </c>
    </row>
    <row r="83" spans="2:8" ht="12.75">
      <c r="B83" s="349" t="s">
        <v>514</v>
      </c>
      <c r="C83" s="350">
        <v>10034</v>
      </c>
      <c r="D83" s="351">
        <v>41306</v>
      </c>
      <c r="E83" s="352" t="s">
        <v>515</v>
      </c>
      <c r="F83" s="353" t="s">
        <v>523</v>
      </c>
      <c r="G83" s="354"/>
      <c r="H83" s="355">
        <v>2113939.1</v>
      </c>
    </row>
    <row r="84" spans="2:8" ht="12.75">
      <c r="B84" s="349" t="s">
        <v>514</v>
      </c>
      <c r="C84" s="350">
        <v>10035</v>
      </c>
      <c r="D84" s="351">
        <v>41306</v>
      </c>
      <c r="E84" s="352" t="s">
        <v>515</v>
      </c>
      <c r="F84" s="353" t="s">
        <v>524</v>
      </c>
      <c r="G84" s="354"/>
      <c r="H84" s="355">
        <v>2206061.9</v>
      </c>
    </row>
    <row r="85" spans="2:8" ht="12.75">
      <c r="B85" s="349" t="s">
        <v>514</v>
      </c>
      <c r="C85" s="350">
        <v>10036</v>
      </c>
      <c r="D85" s="351">
        <v>41306</v>
      </c>
      <c r="E85" s="352" t="s">
        <v>515</v>
      </c>
      <c r="F85" s="353" t="s">
        <v>525</v>
      </c>
      <c r="G85" s="354"/>
      <c r="H85" s="355">
        <v>2072065.1</v>
      </c>
    </row>
    <row r="86" spans="2:8" ht="12.75">
      <c r="B86" s="349" t="s">
        <v>514</v>
      </c>
      <c r="C86" s="350">
        <v>10037</v>
      </c>
      <c r="D86" s="351">
        <v>41306</v>
      </c>
      <c r="E86" s="352" t="s">
        <v>515</v>
      </c>
      <c r="F86" s="353" t="s">
        <v>526</v>
      </c>
      <c r="G86" s="354"/>
      <c r="H86" s="355">
        <v>2113939.1</v>
      </c>
    </row>
    <row r="87" spans="2:8" ht="12.75">
      <c r="B87" s="349" t="s">
        <v>514</v>
      </c>
      <c r="C87" s="350">
        <v>10038</v>
      </c>
      <c r="D87" s="351">
        <v>41306</v>
      </c>
      <c r="E87" s="352" t="s">
        <v>515</v>
      </c>
      <c r="F87" s="353" t="s">
        <v>527</v>
      </c>
      <c r="G87" s="354"/>
      <c r="H87" s="355">
        <v>2113939.1</v>
      </c>
    </row>
    <row r="88" spans="2:8" ht="12.75">
      <c r="B88" s="349" t="s">
        <v>514</v>
      </c>
      <c r="C88" s="350">
        <v>10039</v>
      </c>
      <c r="D88" s="351">
        <v>41306</v>
      </c>
      <c r="E88" s="352" t="s">
        <v>515</v>
      </c>
      <c r="F88" s="353" t="s">
        <v>528</v>
      </c>
      <c r="G88" s="354"/>
      <c r="H88" s="355">
        <v>2113939.1</v>
      </c>
    </row>
    <row r="89" spans="2:8" ht="12.75">
      <c r="B89" s="349" t="s">
        <v>514</v>
      </c>
      <c r="C89" s="350">
        <v>10040</v>
      </c>
      <c r="D89" s="351">
        <v>41306</v>
      </c>
      <c r="E89" s="352" t="s">
        <v>515</v>
      </c>
      <c r="F89" s="353" t="s">
        <v>525</v>
      </c>
      <c r="G89" s="354"/>
      <c r="H89" s="355">
        <v>1599237.85</v>
      </c>
    </row>
    <row r="90" spans="2:8" ht="12.75">
      <c r="B90" s="349" t="s">
        <v>514</v>
      </c>
      <c r="C90" s="350">
        <v>10041</v>
      </c>
      <c r="D90" s="351">
        <v>41306</v>
      </c>
      <c r="E90" s="352" t="s">
        <v>515</v>
      </c>
      <c r="F90" s="353" t="s">
        <v>529</v>
      </c>
      <c r="G90" s="354"/>
      <c r="H90" s="355">
        <v>1668818.48</v>
      </c>
    </row>
    <row r="91" spans="2:8" ht="12.75">
      <c r="B91" s="349" t="s">
        <v>514</v>
      </c>
      <c r="C91" s="350">
        <v>10042</v>
      </c>
      <c r="D91" s="351">
        <v>41306</v>
      </c>
      <c r="E91" s="352" t="s">
        <v>515</v>
      </c>
      <c r="F91" s="353" t="s">
        <v>530</v>
      </c>
      <c r="G91" s="354"/>
      <c r="H91" s="355">
        <v>1501322.48</v>
      </c>
    </row>
    <row r="92" spans="2:8" ht="12.75">
      <c r="B92" s="349" t="s">
        <v>514</v>
      </c>
      <c r="C92" s="356">
        <v>10061</v>
      </c>
      <c r="D92" s="357">
        <v>41330</v>
      </c>
      <c r="E92" s="356" t="s">
        <v>515</v>
      </c>
      <c r="F92" s="353" t="s">
        <v>525</v>
      </c>
      <c r="G92" s="354"/>
      <c r="H92" s="355">
        <v>2774859.1344000003</v>
      </c>
    </row>
    <row r="93" spans="2:8" ht="12.75">
      <c r="B93" s="358"/>
      <c r="C93" s="359"/>
      <c r="D93" s="359"/>
      <c r="E93" s="359"/>
      <c r="F93" s="359"/>
      <c r="G93" s="360" t="s">
        <v>486</v>
      </c>
      <c r="H93" s="346">
        <v>35723346.24440002</v>
      </c>
    </row>
    <row r="94" spans="2:8" ht="12.75">
      <c r="B94" s="358"/>
      <c r="C94" s="359"/>
      <c r="D94" s="359"/>
      <c r="E94" s="359"/>
      <c r="F94" s="359"/>
      <c r="G94" s="359"/>
      <c r="H94" s="346"/>
    </row>
    <row r="95" spans="2:8" ht="12.75">
      <c r="B95" s="361" t="s">
        <v>488</v>
      </c>
      <c r="C95" s="359"/>
      <c r="D95" s="359"/>
      <c r="E95" s="359"/>
      <c r="F95" s="362" t="s">
        <v>489</v>
      </c>
      <c r="G95" s="359"/>
      <c r="H95" s="346"/>
    </row>
    <row r="96" spans="2:8" ht="12.75">
      <c r="B96" s="358"/>
      <c r="C96" s="359"/>
      <c r="D96" s="359"/>
      <c r="E96" s="359"/>
      <c r="F96" s="359"/>
      <c r="G96" s="359"/>
      <c r="H96" s="346"/>
    </row>
    <row r="97" spans="2:8" ht="12.75">
      <c r="B97" s="349" t="s">
        <v>514</v>
      </c>
      <c r="C97" s="350">
        <v>10175</v>
      </c>
      <c r="D97" s="351">
        <v>41408</v>
      </c>
      <c r="E97" s="350" t="s">
        <v>531</v>
      </c>
      <c r="F97" s="353" t="s">
        <v>532</v>
      </c>
      <c r="G97" s="363"/>
      <c r="H97" s="355">
        <v>1459582.4022</v>
      </c>
    </row>
    <row r="98" spans="2:8" ht="12.75">
      <c r="B98" s="349" t="s">
        <v>514</v>
      </c>
      <c r="C98" s="350">
        <v>10176</v>
      </c>
      <c r="D98" s="351">
        <v>41408</v>
      </c>
      <c r="E98" s="350" t="s">
        <v>531</v>
      </c>
      <c r="F98" s="353" t="s">
        <v>532</v>
      </c>
      <c r="G98" s="363"/>
      <c r="H98" s="355">
        <v>1710893.9978</v>
      </c>
    </row>
    <row r="99" spans="2:8" ht="12.75">
      <c r="B99" s="349" t="s">
        <v>514</v>
      </c>
      <c r="C99" s="350">
        <v>10177</v>
      </c>
      <c r="D99" s="351">
        <v>41408</v>
      </c>
      <c r="E99" s="350" t="s">
        <v>531</v>
      </c>
      <c r="F99" s="353" t="s">
        <v>532</v>
      </c>
      <c r="G99" s="363"/>
      <c r="H99" s="355">
        <v>2042266.4522</v>
      </c>
    </row>
    <row r="100" spans="2:8" ht="12.75">
      <c r="B100" s="349" t="s">
        <v>514</v>
      </c>
      <c r="C100" s="350">
        <v>10178</v>
      </c>
      <c r="D100" s="351">
        <v>41408</v>
      </c>
      <c r="E100" s="350" t="s">
        <v>531</v>
      </c>
      <c r="F100" s="353" t="s">
        <v>532</v>
      </c>
      <c r="G100" s="363"/>
      <c r="H100" s="355">
        <v>2042266.4522</v>
      </c>
    </row>
    <row r="101" spans="2:8" ht="12.75">
      <c r="B101" s="349" t="s">
        <v>514</v>
      </c>
      <c r="C101" s="350">
        <v>10179</v>
      </c>
      <c r="D101" s="351">
        <v>41408</v>
      </c>
      <c r="E101" s="350" t="s">
        <v>531</v>
      </c>
      <c r="F101" s="353" t="s">
        <v>532</v>
      </c>
      <c r="G101" s="363"/>
      <c r="H101" s="355">
        <v>2306707.2521999995</v>
      </c>
    </row>
    <row r="102" spans="2:8" ht="13.5" thickBot="1">
      <c r="B102" s="364"/>
      <c r="C102" s="365"/>
      <c r="D102" s="365"/>
      <c r="E102" s="365"/>
      <c r="F102" s="365"/>
      <c r="G102" s="366" t="s">
        <v>488</v>
      </c>
      <c r="H102" s="355">
        <v>9561716.556599999</v>
      </c>
    </row>
    <row r="103" spans="2:8" ht="12.75">
      <c r="B103" s="344"/>
      <c r="C103" s="344"/>
      <c r="D103" s="344"/>
      <c r="E103" s="344"/>
      <c r="F103" s="344"/>
      <c r="G103" s="344"/>
      <c r="H103" s="346"/>
    </row>
    <row r="104" spans="2:8" ht="12.75">
      <c r="B104" s="344"/>
      <c r="C104" s="344"/>
      <c r="D104" s="344"/>
      <c r="E104" s="344"/>
      <c r="F104" s="344"/>
      <c r="G104" s="344"/>
      <c r="H104" s="346">
        <v>45285062.80100002</v>
      </c>
    </row>
  </sheetData>
  <sheetProtection/>
  <mergeCells count="1">
    <mergeCell ref="E50:G50"/>
  </mergeCells>
  <printOptions/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3" sqref="I4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2" width="9.140625" style="114" customWidth="1"/>
    <col min="3" max="3" width="9.140625" style="339" customWidth="1"/>
    <col min="4" max="16384" width="9.140625" style="114" customWidth="1"/>
  </cols>
  <sheetData/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B19">
      <selection activeCell="D24" sqref="D24"/>
    </sheetView>
  </sheetViews>
  <sheetFormatPr defaultColWidth="9.140625" defaultRowHeight="24.75" customHeight="1"/>
  <cols>
    <col min="1" max="1" width="13.57421875" style="51" hidden="1" customWidth="1"/>
    <col min="2" max="2" width="0.13671875" style="51" customWidth="1"/>
    <col min="3" max="3" width="52.57421875" style="51" customWidth="1"/>
    <col min="4" max="4" width="9.8515625" style="50" bestFit="1" customWidth="1"/>
    <col min="5" max="5" width="0.13671875" style="50" customWidth="1"/>
    <col min="6" max="6" width="17.00390625" style="151" bestFit="1" customWidth="1"/>
    <col min="7" max="7" width="0.2890625" style="50" customWidth="1"/>
    <col min="8" max="8" width="26.140625" style="50" hidden="1" customWidth="1"/>
    <col min="9" max="9" width="20.7109375" style="86" bestFit="1" customWidth="1"/>
    <col min="10" max="10" width="0.13671875" style="50" customWidth="1"/>
    <col min="11" max="16384" width="9.140625" style="51" customWidth="1"/>
  </cols>
  <sheetData>
    <row r="1" spans="1:3" ht="24.75" customHeight="1">
      <c r="A1" s="52" t="s">
        <v>60</v>
      </c>
      <c r="B1" s="49"/>
      <c r="C1" s="49" t="s">
        <v>232</v>
      </c>
    </row>
    <row r="2" spans="1:10" ht="24.75" customHeight="1">
      <c r="A2" s="63" t="s">
        <v>205</v>
      </c>
      <c r="C2" s="395" t="s">
        <v>555</v>
      </c>
      <c r="D2" s="395"/>
      <c r="E2" s="395"/>
      <c r="F2" s="395"/>
      <c r="G2" s="395"/>
      <c r="H2" s="395"/>
      <c r="I2" s="395"/>
      <c r="J2" s="395"/>
    </row>
    <row r="3" spans="1:10" ht="24.75" customHeight="1">
      <c r="A3" s="63" t="s">
        <v>143</v>
      </c>
      <c r="C3" s="52"/>
      <c r="D3" s="93"/>
      <c r="E3" s="93"/>
      <c r="F3" s="336"/>
      <c r="G3" s="93"/>
      <c r="H3" s="93"/>
      <c r="I3" s="94"/>
      <c r="J3" s="93"/>
    </row>
    <row r="4" spans="4:10" ht="24.75" customHeight="1" thickBot="1">
      <c r="D4" s="50" t="s">
        <v>53</v>
      </c>
      <c r="E4" s="64" t="s">
        <v>548</v>
      </c>
      <c r="F4" s="369" t="s">
        <v>485</v>
      </c>
      <c r="G4" s="64" t="s">
        <v>298</v>
      </c>
      <c r="H4" s="64" t="s">
        <v>229</v>
      </c>
      <c r="I4" s="87" t="s">
        <v>246</v>
      </c>
      <c r="J4" s="64" t="s">
        <v>204</v>
      </c>
    </row>
    <row r="5" ht="24.75" customHeight="1" thickTop="1"/>
    <row r="6" spans="1:10" ht="24.75" customHeight="1">
      <c r="A6" s="49"/>
      <c r="B6" s="81" t="s">
        <v>130</v>
      </c>
      <c r="C6" s="49" t="s">
        <v>191</v>
      </c>
      <c r="D6" s="50" t="s">
        <v>72</v>
      </c>
      <c r="E6" s="151">
        <f>F6/140.27</f>
        <v>4309606.291877877</v>
      </c>
      <c r="F6" s="151">
        <v>604508474.5617099</v>
      </c>
      <c r="G6" s="151">
        <v>4530420.879252067</v>
      </c>
      <c r="H6" s="85" t="e">
        <v>#REF!</v>
      </c>
      <c r="I6" s="86">
        <v>629955023.26</v>
      </c>
      <c r="J6" s="65">
        <v>1126953880</v>
      </c>
    </row>
    <row r="7" spans="1:10" ht="24.75" customHeight="1">
      <c r="A7" s="49"/>
      <c r="B7" s="52" t="s">
        <v>74</v>
      </c>
      <c r="C7" s="49" t="s">
        <v>227</v>
      </c>
      <c r="D7" s="50" t="s">
        <v>307</v>
      </c>
      <c r="E7" s="151">
        <f aca="true" t="shared" si="0" ref="E7:E14">F7/140.27</f>
        <v>4133.457760034219</v>
      </c>
      <c r="F7" s="151">
        <v>579800.12</v>
      </c>
      <c r="G7" s="151">
        <v>5917.562028047464</v>
      </c>
      <c r="H7" s="85" t="e">
        <v>#REF!</v>
      </c>
      <c r="I7" s="86">
        <v>822837</v>
      </c>
      <c r="J7" s="65">
        <v>4101438</v>
      </c>
    </row>
    <row r="8" spans="1:10" ht="24.75" customHeight="1">
      <c r="A8" s="49"/>
      <c r="B8" s="81" t="s">
        <v>131</v>
      </c>
      <c r="C8" s="49" t="s">
        <v>192</v>
      </c>
      <c r="D8" s="50" t="s">
        <v>73</v>
      </c>
      <c r="E8" s="151">
        <f t="shared" si="0"/>
        <v>311566.87383234827</v>
      </c>
      <c r="F8" s="151">
        <v>43703485.3924635</v>
      </c>
      <c r="G8" s="151">
        <v>289373.8046026609</v>
      </c>
      <c r="H8" s="85" t="e">
        <v>#REF!</v>
      </c>
      <c r="I8" s="86">
        <v>40237427.53</v>
      </c>
      <c r="J8" s="65">
        <v>60036216</v>
      </c>
    </row>
    <row r="9" spans="1:10" ht="24.75" customHeight="1">
      <c r="A9" s="49"/>
      <c r="B9" s="81" t="s">
        <v>132</v>
      </c>
      <c r="C9" s="80" t="s">
        <v>193</v>
      </c>
      <c r="E9" s="151">
        <f t="shared" si="0"/>
        <v>0</v>
      </c>
      <c r="F9" s="151">
        <v>0</v>
      </c>
      <c r="G9" s="151">
        <v>0</v>
      </c>
      <c r="H9" s="85" t="e">
        <v>#REF!</v>
      </c>
      <c r="I9" s="86">
        <v>0</v>
      </c>
      <c r="J9" s="65" t="e">
        <f>#REF!/137.8</f>
        <v>#REF!</v>
      </c>
    </row>
    <row r="10" spans="1:10" ht="24.75" customHeight="1">
      <c r="A10" s="49"/>
      <c r="B10" s="67" t="s">
        <v>29</v>
      </c>
      <c r="C10" s="80" t="s">
        <v>29</v>
      </c>
      <c r="E10" s="151">
        <f t="shared" si="0"/>
        <v>0</v>
      </c>
      <c r="F10" s="151">
        <v>0</v>
      </c>
      <c r="G10" s="151">
        <v>0</v>
      </c>
      <c r="H10" s="85" t="e">
        <v>#REF!</v>
      </c>
      <c r="I10" s="86">
        <v>0</v>
      </c>
      <c r="J10" s="65" t="e">
        <f>#REF!/137.8</f>
        <v>#REF!</v>
      </c>
    </row>
    <row r="11" spans="1:10" ht="24.75" customHeight="1">
      <c r="A11" s="49"/>
      <c r="B11" s="81" t="s">
        <v>133</v>
      </c>
      <c r="C11" s="49" t="s">
        <v>194</v>
      </c>
      <c r="D11" s="50">
        <v>9</v>
      </c>
      <c r="E11" s="151">
        <f t="shared" si="0"/>
        <v>-3574635.480442004</v>
      </c>
      <c r="F11" s="151">
        <v>-501414118.8415999</v>
      </c>
      <c r="G11" s="151">
        <v>-3803708.016972312</v>
      </c>
      <c r="H11" s="85" t="e">
        <v>#REF!</v>
      </c>
      <c r="I11" s="86">
        <v>-528905599.76</v>
      </c>
      <c r="J11" s="65" t="e">
        <f>#REF!/137.8</f>
        <v>#REF!</v>
      </c>
    </row>
    <row r="12" spans="1:10" ht="24.75" customHeight="1">
      <c r="A12" s="49"/>
      <c r="B12" s="81" t="s">
        <v>134</v>
      </c>
      <c r="C12" s="49" t="s">
        <v>195</v>
      </c>
      <c r="D12" s="50">
        <v>10</v>
      </c>
      <c r="E12" s="151">
        <f t="shared" si="0"/>
        <v>-611024.2401554144</v>
      </c>
      <c r="F12" s="151">
        <v>-85708370.16659999</v>
      </c>
      <c r="G12" s="151">
        <v>-460134.12513484346</v>
      </c>
      <c r="H12" s="85" t="e">
        <v>#REF!</v>
      </c>
      <c r="I12" s="86">
        <v>-63981650.09999999</v>
      </c>
      <c r="J12" s="65" t="e">
        <f>#REF!/137.8</f>
        <v>#REF!</v>
      </c>
    </row>
    <row r="13" spans="1:10" ht="24.75" customHeight="1">
      <c r="A13" s="49"/>
      <c r="B13" s="81" t="s">
        <v>135</v>
      </c>
      <c r="C13" s="49" t="s">
        <v>196</v>
      </c>
      <c r="D13" s="50">
        <v>11</v>
      </c>
      <c r="E13" s="151">
        <f t="shared" si="0"/>
        <v>-159207.2503029871</v>
      </c>
      <c r="F13" s="151">
        <v>-22332001</v>
      </c>
      <c r="G13" s="151">
        <v>-216641.91154261056</v>
      </c>
      <c r="H13" s="85" t="e">
        <v>#REF!</v>
      </c>
      <c r="I13" s="86">
        <v>-30124057.8</v>
      </c>
      <c r="J13" s="65" t="e">
        <f>#REF!/137.8</f>
        <v>#REF!</v>
      </c>
    </row>
    <row r="14" spans="1:10" ht="24.75" customHeight="1">
      <c r="A14" s="49"/>
      <c r="B14" s="81" t="s">
        <v>136</v>
      </c>
      <c r="C14" s="49" t="s">
        <v>197</v>
      </c>
      <c r="E14" s="151">
        <f t="shared" si="0"/>
        <v>-76378.18492906536</v>
      </c>
      <c r="F14" s="151">
        <v>-10713568</v>
      </c>
      <c r="G14" s="151">
        <v>-122964.25530384752</v>
      </c>
      <c r="H14" s="85" t="e">
        <v>#REF!</v>
      </c>
      <c r="I14" s="86">
        <v>-17098179.7</v>
      </c>
      <c r="J14" s="65" t="e">
        <f>#REF!/137.8</f>
        <v>#REF!</v>
      </c>
    </row>
    <row r="15" spans="1:10" s="49" customFormat="1" ht="24.75" customHeight="1" thickBot="1">
      <c r="A15" s="393" t="s">
        <v>137</v>
      </c>
      <c r="B15" s="394"/>
      <c r="D15" s="68"/>
      <c r="E15" s="152">
        <f>F15/140.27</f>
        <v>204061.4676407889</v>
      </c>
      <c r="F15" s="152">
        <v>28623702.06597346</v>
      </c>
      <c r="G15" s="152">
        <v>222263.936929162</v>
      </c>
      <c r="H15" s="88" t="e">
        <v>#REF!</v>
      </c>
      <c r="I15" s="69">
        <v>30905800.42999998</v>
      </c>
      <c r="J15" s="69" t="e">
        <f>SUM(J6:J14)</f>
        <v>#REF!</v>
      </c>
    </row>
    <row r="16" spans="2:10" s="49" customFormat="1" ht="24.75" customHeight="1" thickTop="1">
      <c r="B16" s="70"/>
      <c r="C16" s="70"/>
      <c r="D16" s="68"/>
      <c r="E16" s="68"/>
      <c r="F16" s="151"/>
      <c r="G16" s="151">
        <v>0</v>
      </c>
      <c r="H16" s="85" t="e">
        <v>#REF!</v>
      </c>
      <c r="I16" s="86"/>
      <c r="J16" s="65" t="e">
        <f>#REF!/137.8</f>
        <v>#REF!</v>
      </c>
    </row>
    <row r="17" spans="4:10" s="49" customFormat="1" ht="24.75" customHeight="1">
      <c r="D17" s="68"/>
      <c r="E17" s="68"/>
      <c r="F17" s="151"/>
      <c r="G17" s="151">
        <v>0</v>
      </c>
      <c r="H17" s="85" t="e">
        <v>#REF!</v>
      </c>
      <c r="I17" s="86"/>
      <c r="J17" s="65" t="e">
        <f>#REF!/137.8</f>
        <v>#REF!</v>
      </c>
    </row>
    <row r="18" spans="2:10" ht="24.75" customHeight="1">
      <c r="B18" s="72" t="s">
        <v>139</v>
      </c>
      <c r="C18" s="67" t="s">
        <v>198</v>
      </c>
      <c r="F18" s="151">
        <v>0</v>
      </c>
      <c r="G18" s="151">
        <v>0</v>
      </c>
      <c r="H18" s="85" t="e">
        <v>#REF!</v>
      </c>
      <c r="J18" s="65" t="e">
        <f>#REF!/137.8</f>
        <v>#REF!</v>
      </c>
    </row>
    <row r="19" spans="2:10" ht="24.75" customHeight="1">
      <c r="B19" s="73" t="s">
        <v>138</v>
      </c>
      <c r="C19" s="67" t="s">
        <v>199</v>
      </c>
      <c r="F19" s="151">
        <v>0</v>
      </c>
      <c r="G19" s="151">
        <v>0</v>
      </c>
      <c r="H19" s="85" t="e">
        <v>#REF!</v>
      </c>
      <c r="J19" s="65" t="e">
        <f>#REF!/137.8</f>
        <v>#REF!</v>
      </c>
    </row>
    <row r="20" spans="2:10" ht="24.75" customHeight="1">
      <c r="B20" s="72" t="s">
        <v>140</v>
      </c>
      <c r="C20" s="51" t="s">
        <v>200</v>
      </c>
      <c r="D20" s="50">
        <v>12</v>
      </c>
      <c r="E20" s="151">
        <f>F20/140.27</f>
        <v>-151065.81229058243</v>
      </c>
      <c r="F20" s="151">
        <v>-21190001.49</v>
      </c>
      <c r="G20" s="151">
        <v>-206841.99323984174</v>
      </c>
      <c r="H20" s="85" t="e">
        <v>#REF!</v>
      </c>
      <c r="I20" s="86">
        <v>-28761379.159999996</v>
      </c>
      <c r="J20" s="65" t="e">
        <f>#REF!/137.8</f>
        <v>#REF!</v>
      </c>
    </row>
    <row r="21" spans="5:10" ht="24.75" customHeight="1">
      <c r="E21" s="151"/>
      <c r="G21" s="151">
        <v>0</v>
      </c>
      <c r="H21" s="85" t="e">
        <v>#REF!</v>
      </c>
      <c r="I21" s="86">
        <v>0</v>
      </c>
      <c r="J21" s="65" t="e">
        <f>#REF!/137.8</f>
        <v>#REF!</v>
      </c>
    </row>
    <row r="22" spans="2:10" s="49" customFormat="1" ht="36" customHeight="1" thickBot="1">
      <c r="B22" s="83"/>
      <c r="C22" s="74" t="s">
        <v>201</v>
      </c>
      <c r="D22" s="75"/>
      <c r="E22" s="152">
        <f>F22/140.27</f>
        <v>52995.65535020647</v>
      </c>
      <c r="F22" s="152">
        <v>7433700.575973462</v>
      </c>
      <c r="G22" s="152">
        <v>15421.943689320276</v>
      </c>
      <c r="H22" s="88" t="e">
        <v>#REF!</v>
      </c>
      <c r="I22" s="69">
        <v>2144421.2699999847</v>
      </c>
      <c r="J22" s="69" t="e">
        <f>SUM(J15:J21)</f>
        <v>#REF!</v>
      </c>
    </row>
    <row r="23" spans="2:10" s="49" customFormat="1" ht="24.75" customHeight="1" thickTop="1">
      <c r="B23" s="70"/>
      <c r="C23" s="70"/>
      <c r="D23" s="75"/>
      <c r="E23" s="151"/>
      <c r="F23" s="151"/>
      <c r="G23" s="151">
        <v>0</v>
      </c>
      <c r="H23" s="85" t="e">
        <v>#REF!</v>
      </c>
      <c r="I23" s="86">
        <v>0</v>
      </c>
      <c r="J23" s="65" t="e">
        <f>#REF!/137.8</f>
        <v>#REF!</v>
      </c>
    </row>
    <row r="24" spans="2:10" s="49" customFormat="1" ht="33.75" customHeight="1">
      <c r="B24" s="82" t="s">
        <v>141</v>
      </c>
      <c r="C24" s="70" t="s">
        <v>202</v>
      </c>
      <c r="D24" s="75"/>
      <c r="E24" s="151">
        <f>F24/140.27</f>
        <v>-12822.13588080131</v>
      </c>
      <c r="F24" s="151">
        <v>-1798561</v>
      </c>
      <c r="G24" s="151">
        <v>-3323.1787126932754</v>
      </c>
      <c r="H24" s="85" t="e">
        <v>#REF!</v>
      </c>
      <c r="I24" s="86">
        <v>-462088</v>
      </c>
      <c r="J24" s="65" t="e">
        <f>#REF!/137.8</f>
        <v>#REF!</v>
      </c>
    </row>
    <row r="25" spans="2:10" s="49" customFormat="1" ht="24.75" customHeight="1">
      <c r="B25" s="70"/>
      <c r="C25" s="70"/>
      <c r="D25" s="75"/>
      <c r="E25" s="151"/>
      <c r="F25" s="151"/>
      <c r="G25" s="151">
        <v>0</v>
      </c>
      <c r="H25" s="85" t="e">
        <v>#REF!</v>
      </c>
      <c r="I25" s="86">
        <v>0</v>
      </c>
      <c r="J25" s="65" t="e">
        <f>#REF!/137.8</f>
        <v>#REF!</v>
      </c>
    </row>
    <row r="26" spans="2:10" s="49" customFormat="1" ht="24.75" customHeight="1" thickBot="1">
      <c r="B26" s="84" t="s">
        <v>142</v>
      </c>
      <c r="C26" s="74" t="s">
        <v>203</v>
      </c>
      <c r="D26" s="68">
        <v>13</v>
      </c>
      <c r="E26" s="152">
        <f>F26/140.27</f>
        <v>40173.51946940516</v>
      </c>
      <c r="F26" s="152">
        <v>5635139.575973462</v>
      </c>
      <c r="G26" s="152">
        <v>12098.764976627</v>
      </c>
      <c r="H26" s="88" t="e">
        <v>#REF!</v>
      </c>
      <c r="I26" s="69">
        <v>1682333.2699999847</v>
      </c>
      <c r="J26" s="69" t="e">
        <f>SUM(J22:J25)</f>
        <v>#REF!</v>
      </c>
    </row>
    <row r="27" ht="24.75" customHeight="1" thickTop="1">
      <c r="J27" s="65"/>
    </row>
    <row r="28" spans="3:10" ht="24.75" customHeight="1">
      <c r="C28" s="51" t="s">
        <v>234</v>
      </c>
      <c r="E28" s="62" t="s">
        <v>308</v>
      </c>
      <c r="H28" s="50" t="s">
        <v>235</v>
      </c>
      <c r="I28" s="62"/>
      <c r="J28" s="62"/>
    </row>
    <row r="29" spans="3:10" ht="24.75" customHeight="1">
      <c r="C29" s="51" t="s">
        <v>236</v>
      </c>
      <c r="E29" s="62" t="s">
        <v>237</v>
      </c>
      <c r="H29" s="50" t="s">
        <v>237</v>
      </c>
      <c r="I29" s="62"/>
      <c r="J29" s="62"/>
    </row>
  </sheetData>
  <sheetProtection/>
  <mergeCells count="2">
    <mergeCell ref="A15:B15"/>
    <mergeCell ref="C2:J2"/>
  </mergeCells>
  <printOptions/>
  <pageMargins left="0.5" right="0.25" top="1" bottom="1" header="0.5" footer="0.5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25">
      <selection activeCell="B46" sqref="B46"/>
    </sheetView>
  </sheetViews>
  <sheetFormatPr defaultColWidth="9.140625" defaultRowHeight="12.75"/>
  <cols>
    <col min="1" max="1" width="5.8515625" style="1" customWidth="1"/>
    <col min="2" max="2" width="55.28125" style="1" customWidth="1"/>
    <col min="3" max="3" width="18.28125" style="377" customWidth="1"/>
    <col min="4" max="4" width="11.421875" style="1" customWidth="1"/>
    <col min="5" max="5" width="3.7109375" style="13" customWidth="1"/>
    <col min="6" max="6" width="9.140625" style="1" customWidth="1"/>
    <col min="7" max="7" width="9.57421875" style="1" bestFit="1" customWidth="1"/>
    <col min="8" max="16384" width="9.140625" style="1" customWidth="1"/>
  </cols>
  <sheetData>
    <row r="1" spans="1:5" s="2" customFormat="1" ht="15.75">
      <c r="A1" s="27" t="s">
        <v>61</v>
      </c>
      <c r="B1" s="30"/>
      <c r="C1" s="370"/>
      <c r="E1" s="12"/>
    </row>
    <row r="2" spans="1:5" s="2" customFormat="1" ht="15">
      <c r="A2" s="29" t="s">
        <v>11</v>
      </c>
      <c r="C2" s="15"/>
      <c r="E2" s="12"/>
    </row>
    <row r="3" spans="1:5" s="2" customFormat="1" ht="12.75">
      <c r="A3" s="9" t="s">
        <v>579</v>
      </c>
      <c r="C3" s="15"/>
      <c r="E3" s="12"/>
    </row>
    <row r="4" spans="1:5" s="2" customFormat="1" ht="16.5">
      <c r="A4" s="28" t="s">
        <v>51</v>
      </c>
      <c r="C4" s="15"/>
      <c r="D4" s="6"/>
      <c r="E4" s="12"/>
    </row>
    <row r="5" spans="2:5" s="2" customFormat="1" ht="13.5" thickBot="1">
      <c r="B5" s="6"/>
      <c r="C5" s="371" t="s">
        <v>557</v>
      </c>
      <c r="D5" s="206" t="s">
        <v>296</v>
      </c>
      <c r="E5" s="12"/>
    </row>
    <row r="6" spans="1:5" s="2" customFormat="1" ht="13.5" thickTop="1">
      <c r="A6" s="3" t="s">
        <v>12</v>
      </c>
      <c r="C6" s="15"/>
      <c r="D6" s="6"/>
      <c r="E6" s="12"/>
    </row>
    <row r="7" spans="2:5" s="2" customFormat="1" ht="12.75">
      <c r="B7" s="2" t="s">
        <v>13</v>
      </c>
      <c r="C7" s="15">
        <v>7433700.575973462</v>
      </c>
      <c r="D7" s="22">
        <v>2144421.2699999847</v>
      </c>
      <c r="E7" s="12"/>
    </row>
    <row r="8" spans="2:5" s="2" customFormat="1" ht="12.75">
      <c r="B8" s="2" t="s">
        <v>14</v>
      </c>
      <c r="C8" s="15"/>
      <c r="D8" s="6"/>
      <c r="E8" s="12"/>
    </row>
    <row r="9" spans="2:5" s="2" customFormat="1" ht="12.75">
      <c r="B9" s="2" t="s">
        <v>15</v>
      </c>
      <c r="C9" s="15">
        <v>10713568</v>
      </c>
      <c r="D9" s="22">
        <v>17098179.7</v>
      </c>
      <c r="E9" s="12"/>
    </row>
    <row r="10" spans="2:5" s="2" customFormat="1" ht="12.75">
      <c r="B10" s="2" t="s">
        <v>76</v>
      </c>
      <c r="C10" s="15"/>
      <c r="D10" s="6"/>
      <c r="E10" s="12"/>
    </row>
    <row r="11" spans="2:5" s="2" customFormat="1" ht="12.75">
      <c r="B11" s="2" t="s">
        <v>16</v>
      </c>
      <c r="C11" s="15"/>
      <c r="D11" s="6"/>
      <c r="E11" s="12"/>
    </row>
    <row r="12" spans="2:5" s="2" customFormat="1" ht="12.75">
      <c r="B12" s="2" t="s">
        <v>17</v>
      </c>
      <c r="C12" s="15"/>
      <c r="D12" s="6"/>
      <c r="E12" s="12"/>
    </row>
    <row r="13" spans="2:5" s="2" customFormat="1" ht="12.75">
      <c r="B13" s="6"/>
      <c r="C13" s="22"/>
      <c r="D13" s="6"/>
      <c r="E13" s="12"/>
    </row>
    <row r="14" spans="2:5" s="2" customFormat="1" ht="25.5">
      <c r="B14" s="4" t="s">
        <v>30</v>
      </c>
      <c r="C14" s="372">
        <v>-25346636.588371225</v>
      </c>
      <c r="D14" s="207">
        <v>-15128720.889999978</v>
      </c>
      <c r="E14" s="11"/>
    </row>
    <row r="15" spans="3:5" s="2" customFormat="1" ht="12.75">
      <c r="C15" s="15"/>
      <c r="E15" s="11"/>
    </row>
    <row r="16" spans="2:5" s="2" customFormat="1" ht="12.75">
      <c r="B16" s="2" t="s">
        <v>18</v>
      </c>
      <c r="C16" s="15">
        <v>90691471.9070001</v>
      </c>
      <c r="D16" s="15">
        <v>-19390915.359999955</v>
      </c>
      <c r="E16" s="11"/>
    </row>
    <row r="17" spans="2:8" s="2" customFormat="1" ht="12.75">
      <c r="B17" s="2" t="s">
        <v>54</v>
      </c>
      <c r="C17" s="15">
        <v>-69020264.77448934</v>
      </c>
      <c r="D17" s="15">
        <v>7626925.030000031</v>
      </c>
      <c r="E17" s="11"/>
      <c r="G17" s="10"/>
      <c r="H17" s="18"/>
    </row>
    <row r="18" spans="2:5" s="2" customFormat="1" ht="12.75">
      <c r="B18" s="3" t="s">
        <v>19</v>
      </c>
      <c r="C18" s="373">
        <v>14471839.120112985</v>
      </c>
      <c r="D18" s="59">
        <v>-7650110.249999918</v>
      </c>
      <c r="E18" s="11"/>
    </row>
    <row r="19" spans="2:5" s="2" customFormat="1" ht="12.75" customHeight="1">
      <c r="B19" s="2" t="s">
        <v>2</v>
      </c>
      <c r="C19" s="15"/>
      <c r="E19" s="11"/>
    </row>
    <row r="20" spans="2:7" s="2" customFormat="1" ht="12.75" customHeight="1">
      <c r="B20" s="2" t="s">
        <v>3</v>
      </c>
      <c r="C20" s="15">
        <v>-2379627</v>
      </c>
      <c r="D20" s="15">
        <v>-4034615</v>
      </c>
      <c r="E20" s="11"/>
      <c r="G20" s="10"/>
    </row>
    <row r="21" spans="3:5" s="2" customFormat="1" ht="12.75">
      <c r="C21" s="15"/>
      <c r="E21" s="11"/>
    </row>
    <row r="22" spans="1:5" s="2" customFormat="1" ht="12.75">
      <c r="A22" s="7" t="s">
        <v>4</v>
      </c>
      <c r="C22" s="374">
        <v>12092212.120112985</v>
      </c>
      <c r="D22" s="58">
        <v>-11684725.249999918</v>
      </c>
      <c r="E22" s="12">
        <f>E18+E19+E20</f>
        <v>0</v>
      </c>
    </row>
    <row r="23" spans="1:5" s="2" customFormat="1" ht="12.75">
      <c r="A23" s="7"/>
      <c r="C23" s="15"/>
      <c r="E23" s="11"/>
    </row>
    <row r="24" spans="2:5" s="2" customFormat="1" ht="12.75">
      <c r="B24" s="2" t="s">
        <v>20</v>
      </c>
      <c r="C24" s="15"/>
      <c r="E24" s="11"/>
    </row>
    <row r="25" spans="2:5" s="2" customFormat="1" ht="12.75">
      <c r="B25" s="2" t="s">
        <v>44</v>
      </c>
      <c r="C25" s="15">
        <v>20903223.759719014</v>
      </c>
      <c r="D25" s="10">
        <v>-1347764.7500000112</v>
      </c>
      <c r="E25" s="11"/>
    </row>
    <row r="26" spans="2:5" s="2" customFormat="1" ht="12.75">
      <c r="B26" s="2" t="s">
        <v>21</v>
      </c>
      <c r="C26" s="15"/>
      <c r="E26" s="11"/>
    </row>
    <row r="27" spans="2:5" s="2" customFormat="1" ht="12.75" customHeight="1">
      <c r="B27" s="2" t="s">
        <v>5</v>
      </c>
      <c r="C27" s="15"/>
      <c r="E27" s="11"/>
    </row>
    <row r="28" spans="2:5" s="2" customFormat="1" ht="12.75" customHeight="1">
      <c r="B28" s="2" t="s">
        <v>6</v>
      </c>
      <c r="C28" s="15"/>
      <c r="E28" s="11"/>
    </row>
    <row r="29" spans="2:5" s="2" customFormat="1" ht="12.75">
      <c r="B29" s="6"/>
      <c r="C29" s="22"/>
      <c r="D29" s="6"/>
      <c r="E29" s="11"/>
    </row>
    <row r="30" spans="2:5" s="2" customFormat="1" ht="12.75">
      <c r="B30" s="8" t="s">
        <v>31</v>
      </c>
      <c r="C30" s="375">
        <v>20903223.759719014</v>
      </c>
      <c r="D30" s="60">
        <v>-1347764.7500000112</v>
      </c>
      <c r="E30" s="11"/>
    </row>
    <row r="31" spans="2:5" s="2" customFormat="1" ht="12.75">
      <c r="B31" s="6"/>
      <c r="C31" s="22"/>
      <c r="D31" s="6"/>
      <c r="E31" s="11"/>
    </row>
    <row r="32" spans="2:5" s="2" customFormat="1" ht="12.75">
      <c r="B32" s="2" t="s">
        <v>33</v>
      </c>
      <c r="C32" s="15"/>
      <c r="E32" s="11"/>
    </row>
    <row r="33" spans="2:5" s="2" customFormat="1" ht="12.75">
      <c r="B33" s="2" t="s">
        <v>7</v>
      </c>
      <c r="C33" s="15"/>
      <c r="E33" s="11"/>
    </row>
    <row r="34" spans="2:5" s="2" customFormat="1" ht="12.75">
      <c r="B34" s="2" t="s">
        <v>22</v>
      </c>
      <c r="C34" s="15">
        <v>-28314473.574699968</v>
      </c>
      <c r="D34" s="15">
        <v>-836568.9199999869</v>
      </c>
      <c r="E34" s="11"/>
    </row>
    <row r="35" spans="2:5" s="2" customFormat="1" ht="12.75">
      <c r="B35" s="2" t="s">
        <v>8</v>
      </c>
      <c r="C35" s="15"/>
      <c r="E35" s="11"/>
    </row>
    <row r="36" spans="2:5" s="2" customFormat="1" ht="12.75" customHeight="1">
      <c r="B36" s="2" t="s">
        <v>23</v>
      </c>
      <c r="C36" s="15"/>
      <c r="E36" s="11"/>
    </row>
    <row r="37" spans="2:5" s="2" customFormat="1" ht="12.75">
      <c r="B37" s="6" t="s">
        <v>75</v>
      </c>
      <c r="C37" s="22"/>
      <c r="D37" s="6"/>
      <c r="E37" s="11"/>
    </row>
    <row r="38" spans="2:5" s="2" customFormat="1" ht="12.75">
      <c r="B38" s="8" t="s">
        <v>55</v>
      </c>
      <c r="C38" s="375">
        <v>-28314473.574699968</v>
      </c>
      <c r="D38" s="60">
        <v>-836568.9199999869</v>
      </c>
      <c r="E38" s="11"/>
    </row>
    <row r="39" spans="2:5" s="2" customFormat="1" ht="12.75">
      <c r="B39" s="6"/>
      <c r="C39" s="22"/>
      <c r="D39" s="6"/>
      <c r="E39" s="11"/>
    </row>
    <row r="40" spans="2:5" s="2" customFormat="1" ht="12.75">
      <c r="B40" s="7" t="s">
        <v>9</v>
      </c>
      <c r="C40" s="376">
        <v>4680962.305132031</v>
      </c>
      <c r="D40" s="16">
        <v>-13869058.919999916</v>
      </c>
      <c r="E40" s="11"/>
    </row>
    <row r="41" spans="3:6" s="2" customFormat="1" ht="12.75">
      <c r="C41" s="15"/>
      <c r="E41" s="11"/>
      <c r="F41" s="10"/>
    </row>
    <row r="42" spans="2:6" s="2" customFormat="1" ht="12.75">
      <c r="B42" s="7" t="s">
        <v>32</v>
      </c>
      <c r="C42" s="338">
        <v>7563229</v>
      </c>
      <c r="D42" s="10">
        <v>21432291</v>
      </c>
      <c r="E42" s="12"/>
      <c r="F42" s="10"/>
    </row>
    <row r="43" spans="2:6" s="2" customFormat="1" ht="12.75">
      <c r="B43" s="7" t="s">
        <v>10</v>
      </c>
      <c r="C43" s="338">
        <v>12244190.575389069</v>
      </c>
      <c r="D43" s="10">
        <v>7563229</v>
      </c>
      <c r="E43" s="12"/>
      <c r="F43" s="10"/>
    </row>
    <row r="44" spans="3:6" s="2" customFormat="1" ht="12.75">
      <c r="C44" s="15"/>
      <c r="E44" s="12"/>
      <c r="F44" s="10"/>
    </row>
    <row r="45" spans="3:5" s="2" customFormat="1" ht="12.75">
      <c r="C45" s="15"/>
      <c r="D45" s="10"/>
      <c r="E45" s="12"/>
    </row>
    <row r="47" spans="2:5" ht="15.75">
      <c r="B47" s="389" t="s">
        <v>234</v>
      </c>
      <c r="C47" s="390"/>
      <c r="D47" s="391" t="s">
        <v>308</v>
      </c>
      <c r="E47" s="390"/>
    </row>
    <row r="48" spans="2:5" ht="15.75">
      <c r="B48" s="389" t="s">
        <v>236</v>
      </c>
      <c r="C48" s="390"/>
      <c r="D48" s="391" t="s">
        <v>237</v>
      </c>
      <c r="E48" s="390"/>
    </row>
  </sheetData>
  <sheetProtection/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6">
      <selection activeCell="K22" sqref="K22"/>
    </sheetView>
  </sheetViews>
  <sheetFormatPr defaultColWidth="12.57421875" defaultRowHeight="12.75"/>
  <cols>
    <col min="1" max="1" width="18.57421875" style="1" customWidth="1"/>
    <col min="2" max="2" width="14.00390625" style="14" customWidth="1"/>
    <col min="3" max="3" width="6.140625" style="14" customWidth="1"/>
    <col min="4" max="4" width="12.57421875" style="14" customWidth="1"/>
    <col min="5" max="5" width="6.57421875" style="14" customWidth="1"/>
    <col min="6" max="6" width="12.57421875" style="14" customWidth="1"/>
    <col min="7" max="7" width="7.57421875" style="14" customWidth="1"/>
    <col min="8" max="8" width="12.140625" style="14" customWidth="1"/>
    <col min="9" max="9" width="12.57421875" style="14" customWidth="1"/>
    <col min="10" max="16384" width="12.57421875" style="1" customWidth="1"/>
  </cols>
  <sheetData>
    <row r="1" spans="1:2" ht="15.75">
      <c r="A1" s="27" t="s">
        <v>61</v>
      </c>
      <c r="B1" s="30"/>
    </row>
    <row r="2" ht="16.5">
      <c r="A2" s="28" t="s">
        <v>580</v>
      </c>
    </row>
    <row r="3" spans="1:2" ht="16.5">
      <c r="A3" s="28" t="s">
        <v>51</v>
      </c>
      <c r="B3" s="61"/>
    </row>
    <row r="4" spans="2:9" s="2" customFormat="1" ht="12.75">
      <c r="B4" s="17"/>
      <c r="C4" s="17"/>
      <c r="D4" s="17"/>
      <c r="E4" s="17"/>
      <c r="F4" s="17"/>
      <c r="G4" s="17"/>
      <c r="H4" s="17"/>
      <c r="I4" s="18"/>
    </row>
    <row r="5" spans="1:9" s="2" customFormat="1" ht="38.25">
      <c r="A5" s="6"/>
      <c r="B5" s="19" t="s">
        <v>240</v>
      </c>
      <c r="C5" s="19"/>
      <c r="D5" s="19" t="s">
        <v>241</v>
      </c>
      <c r="E5" s="19"/>
      <c r="F5" s="19" t="s">
        <v>242</v>
      </c>
      <c r="G5" s="19"/>
      <c r="H5" s="19" t="s">
        <v>243</v>
      </c>
      <c r="I5" s="18"/>
    </row>
    <row r="6" spans="1:9" s="2" customFormat="1" ht="25.5">
      <c r="A6" s="5" t="s">
        <v>490</v>
      </c>
      <c r="B6" s="20"/>
      <c r="C6" s="21"/>
      <c r="D6" s="20"/>
      <c r="E6" s="21"/>
      <c r="F6" s="20" t="s">
        <v>244</v>
      </c>
      <c r="G6" s="21"/>
      <c r="H6" s="20"/>
      <c r="I6" s="18"/>
    </row>
    <row r="7" spans="1:9" s="2" customFormat="1" ht="12.75">
      <c r="A7" s="5"/>
      <c r="B7" s="21">
        <v>22012000</v>
      </c>
      <c r="C7" s="21"/>
      <c r="D7" s="21">
        <v>20000</v>
      </c>
      <c r="E7" s="21"/>
      <c r="F7" s="21">
        <v>136858097</v>
      </c>
      <c r="G7" s="21"/>
      <c r="H7" s="20">
        <f aca="true" t="shared" si="0" ref="H7:H12">B7+D7+F7</f>
        <v>158890097</v>
      </c>
      <c r="I7" s="18"/>
    </row>
    <row r="8" spans="1:9" s="2" customFormat="1" ht="25.5">
      <c r="A8" s="6" t="s">
        <v>34</v>
      </c>
      <c r="B8" s="22"/>
      <c r="C8" s="22"/>
      <c r="D8" s="22"/>
      <c r="E8" s="22"/>
      <c r="F8" s="21"/>
      <c r="G8" s="21"/>
      <c r="H8" s="20">
        <f t="shared" si="0"/>
        <v>0</v>
      </c>
      <c r="I8" s="18"/>
    </row>
    <row r="9" spans="1:9" s="2" customFormat="1" ht="12.75">
      <c r="A9" s="6" t="s">
        <v>35</v>
      </c>
      <c r="B9" s="21"/>
      <c r="C9" s="21"/>
      <c r="D9" s="21"/>
      <c r="E9" s="21"/>
      <c r="F9" s="21"/>
      <c r="G9" s="21"/>
      <c r="H9" s="20">
        <f t="shared" si="0"/>
        <v>0</v>
      </c>
      <c r="I9" s="18"/>
    </row>
    <row r="10" spans="1:9" s="2" customFormat="1" ht="25.5">
      <c r="A10" s="6" t="s">
        <v>36</v>
      </c>
      <c r="B10" s="22"/>
      <c r="C10" s="22"/>
      <c r="D10" s="22"/>
      <c r="E10" s="22"/>
      <c r="F10" s="21">
        <v>1682332</v>
      </c>
      <c r="G10" s="21"/>
      <c r="H10" s="20">
        <f t="shared" si="0"/>
        <v>1682332</v>
      </c>
      <c r="I10" s="18"/>
    </row>
    <row r="11" spans="1:9" s="2" customFormat="1" ht="12.75">
      <c r="A11" s="6" t="s">
        <v>23</v>
      </c>
      <c r="B11" s="22"/>
      <c r="C11" s="22"/>
      <c r="D11" s="22"/>
      <c r="E11" s="22"/>
      <c r="F11" s="21"/>
      <c r="G11" s="21"/>
      <c r="H11" s="20">
        <f t="shared" si="0"/>
        <v>0</v>
      </c>
      <c r="I11" s="18"/>
    </row>
    <row r="12" spans="1:9" s="2" customFormat="1" ht="25.5">
      <c r="A12" s="6" t="s">
        <v>37</v>
      </c>
      <c r="B12" s="22">
        <v>131133000</v>
      </c>
      <c r="C12" s="22"/>
      <c r="D12" s="21">
        <v>5725098</v>
      </c>
      <c r="E12" s="21"/>
      <c r="F12" s="21">
        <v>-136858098</v>
      </c>
      <c r="G12" s="21"/>
      <c r="H12" s="20">
        <f t="shared" si="0"/>
        <v>0</v>
      </c>
      <c r="I12" s="18"/>
    </row>
    <row r="13" spans="1:9" s="2" customFormat="1" ht="12.75">
      <c r="A13" s="6"/>
      <c r="B13" s="21"/>
      <c r="C13" s="22"/>
      <c r="D13" s="22"/>
      <c r="E13" s="22"/>
      <c r="F13" s="22"/>
      <c r="G13" s="22"/>
      <c r="H13" s="21">
        <f>+F13</f>
        <v>0</v>
      </c>
      <c r="I13" s="18"/>
    </row>
    <row r="14" spans="1:9" s="2" customFormat="1" ht="11.25" customHeight="1">
      <c r="A14" s="6"/>
      <c r="B14" s="22"/>
      <c r="C14" s="22"/>
      <c r="D14" s="22"/>
      <c r="E14" s="22"/>
      <c r="F14" s="22"/>
      <c r="G14" s="22"/>
      <c r="H14" s="22"/>
      <c r="I14" s="18"/>
    </row>
    <row r="15" spans="1:9" s="2" customFormat="1" ht="26.25" thickBot="1">
      <c r="A15" s="5" t="s">
        <v>491</v>
      </c>
      <c r="B15" s="23">
        <f>SUM(B6:B14)</f>
        <v>153145000</v>
      </c>
      <c r="C15" s="21"/>
      <c r="D15" s="23">
        <f>SUM(D6:D14)</f>
        <v>5745098</v>
      </c>
      <c r="E15" s="21"/>
      <c r="F15" s="23">
        <f>SUM(F6:F14)</f>
        <v>1682331</v>
      </c>
      <c r="G15" s="21"/>
      <c r="H15" s="23">
        <f>SUM(H6:H14)</f>
        <v>160572429</v>
      </c>
      <c r="I15" s="18"/>
    </row>
    <row r="16" spans="1:9" s="2" customFormat="1" ht="26.25" thickTop="1">
      <c r="A16" s="6" t="s">
        <v>34</v>
      </c>
      <c r="B16" s="21"/>
      <c r="C16" s="21"/>
      <c r="D16" s="21"/>
      <c r="E16" s="21"/>
      <c r="F16" s="21"/>
      <c r="G16" s="21"/>
      <c r="H16" s="21"/>
      <c r="I16" s="18"/>
    </row>
    <row r="17" spans="1:9" s="2" customFormat="1" ht="12.75">
      <c r="A17" s="6" t="s">
        <v>35</v>
      </c>
      <c r="B17" s="21"/>
      <c r="C17" s="15"/>
      <c r="D17" s="21"/>
      <c r="E17" s="15"/>
      <c r="F17" s="14"/>
      <c r="G17" s="21"/>
      <c r="H17" s="21">
        <f>+F17</f>
        <v>0</v>
      </c>
      <c r="I17" s="18"/>
    </row>
    <row r="18" spans="1:9" s="2" customFormat="1" ht="25.5">
      <c r="A18" s="6" t="s">
        <v>36</v>
      </c>
      <c r="B18" s="21"/>
      <c r="C18" s="22"/>
      <c r="D18" s="21"/>
      <c r="E18" s="22"/>
      <c r="F18" s="14">
        <v>5635139.575973462</v>
      </c>
      <c r="G18" s="14"/>
      <c r="H18" s="14">
        <f>SUM(B18:G18)</f>
        <v>5635139.575973462</v>
      </c>
      <c r="I18" s="18"/>
    </row>
    <row r="19" spans="1:9" s="2" customFormat="1" ht="12.75">
      <c r="A19" s="6" t="s">
        <v>23</v>
      </c>
      <c r="B19" s="21"/>
      <c r="C19" s="22"/>
      <c r="D19" s="21"/>
      <c r="E19" s="22"/>
      <c r="F19" s="21"/>
      <c r="G19" s="22"/>
      <c r="H19" s="21">
        <f>+F19+D19</f>
        <v>0</v>
      </c>
      <c r="I19" s="18"/>
    </row>
    <row r="20" spans="1:9" s="2" customFormat="1" ht="25.5">
      <c r="A20" s="6" t="s">
        <v>37</v>
      </c>
      <c r="B20" s="21">
        <v>1598000</v>
      </c>
      <c r="C20" s="21"/>
      <c r="D20" s="21">
        <v>84332.19</v>
      </c>
      <c r="E20" s="22"/>
      <c r="F20" s="21">
        <v>-1682332.19</v>
      </c>
      <c r="G20" s="22"/>
      <c r="H20" s="21">
        <f>+F20+D20+B20</f>
        <v>0</v>
      </c>
      <c r="I20" s="18"/>
    </row>
    <row r="21" spans="1:9" s="2" customFormat="1" ht="12.75">
      <c r="A21" s="6"/>
      <c r="B21" s="22"/>
      <c r="C21" s="22"/>
      <c r="D21" s="22"/>
      <c r="E21" s="22"/>
      <c r="F21" s="22"/>
      <c r="G21" s="22"/>
      <c r="H21" s="22"/>
      <c r="I21" s="18"/>
    </row>
    <row r="22" spans="1:9" s="2" customFormat="1" ht="26.25" thickBot="1">
      <c r="A22" s="5" t="s">
        <v>492</v>
      </c>
      <c r="B22" s="24">
        <f>SUM(B15:B21)</f>
        <v>154743000</v>
      </c>
      <c r="C22" s="21"/>
      <c r="D22" s="24">
        <f>SUM(D15:D21)</f>
        <v>5829430.19</v>
      </c>
      <c r="E22" s="24"/>
      <c r="F22" s="24">
        <f>SUM(F15:F21)</f>
        <v>5635138.385973463</v>
      </c>
      <c r="G22" s="25"/>
      <c r="H22" s="24">
        <f>B22+D22+F22</f>
        <v>166207568.57597345</v>
      </c>
      <c r="I22" s="18"/>
    </row>
    <row r="23" spans="1:9" s="2" customFormat="1" ht="13.5" thickTop="1">
      <c r="A23" s="6"/>
      <c r="B23" s="19"/>
      <c r="C23" s="19"/>
      <c r="D23" s="19"/>
      <c r="E23" s="19"/>
      <c r="F23" s="19"/>
      <c r="G23" s="19"/>
      <c r="H23" s="19"/>
      <c r="I23" s="18"/>
    </row>
    <row r="26" spans="1:3" ht="12.75">
      <c r="A26" s="1" t="s">
        <v>234</v>
      </c>
      <c r="B26" s="210"/>
      <c r="C26" s="211" t="s">
        <v>308</v>
      </c>
    </row>
    <row r="27" spans="1:3" ht="12.75">
      <c r="A27" s="1" t="s">
        <v>236</v>
      </c>
      <c r="B27" s="210"/>
      <c r="C27" s="211" t="s">
        <v>237</v>
      </c>
    </row>
    <row r="28" spans="1:3" ht="12.75">
      <c r="A28" s="34"/>
      <c r="B28" s="34"/>
      <c r="C28" s="3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3.140625" style="33" customWidth="1"/>
    <col min="2" max="2" width="22.00390625" style="33" customWidth="1"/>
    <col min="3" max="3" width="0.42578125" style="33" customWidth="1"/>
    <col min="4" max="4" width="15.28125" style="33" customWidth="1"/>
    <col min="5" max="5" width="5.421875" style="33" customWidth="1"/>
    <col min="6" max="6" width="11.140625" style="33" customWidth="1"/>
    <col min="7" max="7" width="2.7109375" style="33" customWidth="1"/>
    <col min="8" max="8" width="15.00390625" style="33" customWidth="1"/>
    <col min="9" max="9" width="2.57421875" style="33" customWidth="1"/>
    <col min="10" max="10" width="10.7109375" style="33" customWidth="1"/>
    <col min="11" max="11" width="2.28125" style="33" customWidth="1"/>
    <col min="12" max="12" width="10.140625" style="33" customWidth="1"/>
    <col min="13" max="13" width="12.8515625" style="33" bestFit="1" customWidth="1"/>
    <col min="14" max="15" width="9.140625" style="33" customWidth="1"/>
    <col min="16" max="16" width="15.140625" style="33" customWidth="1"/>
    <col min="17" max="17" width="9.140625" style="33" customWidth="1"/>
    <col min="18" max="18" width="11.28125" style="33" customWidth="1"/>
    <col min="19" max="19" width="9.140625" style="33" customWidth="1"/>
    <col min="20" max="20" width="11.8515625" style="33" customWidth="1"/>
    <col min="21" max="21" width="9.140625" style="33" customWidth="1"/>
    <col min="22" max="22" width="12.00390625" style="33" customWidth="1"/>
    <col min="23" max="23" width="9.140625" style="33" customWidth="1"/>
    <col min="24" max="24" width="13.57421875" style="33" customWidth="1"/>
    <col min="25" max="16384" width="9.140625" style="33" customWidth="1"/>
  </cols>
  <sheetData>
    <row r="1" spans="1:12" ht="19.5" customHeight="1">
      <c r="A1" s="32"/>
      <c r="B1" s="397" t="s">
        <v>233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</row>
    <row r="2" spans="2:12" s="46" customFormat="1" ht="40.5" customHeight="1">
      <c r="B2" s="57"/>
      <c r="C2" s="213"/>
      <c r="D2" s="213" t="s">
        <v>69</v>
      </c>
      <c r="E2" s="212"/>
      <c r="F2" s="212" t="s">
        <v>582</v>
      </c>
      <c r="G2" s="212"/>
      <c r="H2" s="212" t="s">
        <v>68</v>
      </c>
      <c r="I2" s="212"/>
      <c r="J2" s="216" t="s">
        <v>45</v>
      </c>
      <c r="K2" s="216"/>
      <c r="L2" s="212" t="s">
        <v>0</v>
      </c>
    </row>
    <row r="3" spans="2:13" s="34" customFormat="1" ht="19.5" customHeight="1">
      <c r="B3" s="215" t="s">
        <v>46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3" s="34" customFormat="1" ht="19.5" customHeight="1">
      <c r="B4" s="35" t="s">
        <v>493</v>
      </c>
      <c r="C4" s="35"/>
      <c r="D4" s="35">
        <v>25294614</v>
      </c>
      <c r="E4" s="35"/>
      <c r="F4" s="35">
        <v>21924183</v>
      </c>
      <c r="G4" s="35"/>
      <c r="H4" s="35">
        <v>95799171</v>
      </c>
      <c r="I4" s="35"/>
      <c r="J4" s="35">
        <v>21978050</v>
      </c>
      <c r="K4" s="35"/>
      <c r="L4" s="35">
        <f>SUM(D4:K4)</f>
        <v>164996018</v>
      </c>
      <c r="M4" s="36"/>
    </row>
    <row r="5" spans="2:13" s="34" customFormat="1" ht="19.5" customHeight="1">
      <c r="B5" s="35" t="s">
        <v>62</v>
      </c>
      <c r="C5" s="35"/>
      <c r="D5" s="35"/>
      <c r="E5" s="35"/>
      <c r="F5" s="35"/>
      <c r="G5" s="35"/>
      <c r="H5" s="35"/>
      <c r="I5" s="35"/>
      <c r="J5" s="35"/>
      <c r="K5" s="35"/>
      <c r="L5" s="35">
        <f>SUM(D5:K5)</f>
        <v>0</v>
      </c>
      <c r="M5" s="36"/>
    </row>
    <row r="6" spans="2:24" s="34" customFormat="1" ht="19.5" customHeight="1">
      <c r="B6" s="35" t="s">
        <v>47</v>
      </c>
      <c r="C6" s="35"/>
      <c r="D6" s="35"/>
      <c r="E6" s="35"/>
      <c r="F6" s="35">
        <f>418044+962271</f>
        <v>1380315</v>
      </c>
      <c r="G6" s="35"/>
      <c r="H6" s="35">
        <f>4016401</f>
        <v>4016401</v>
      </c>
      <c r="I6" s="35"/>
      <c r="J6" s="35">
        <f>992583+353314</f>
        <v>1345897</v>
      </c>
      <c r="K6" s="35"/>
      <c r="L6" s="35">
        <f>SUM(D6:K6)</f>
        <v>6742613</v>
      </c>
      <c r="M6" s="36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2:24" s="34" customFormat="1" ht="19.5" customHeight="1">
      <c r="B7" s="35" t="s">
        <v>48</v>
      </c>
      <c r="C7" s="35"/>
      <c r="D7" s="35"/>
      <c r="E7" s="35"/>
      <c r="F7" s="35">
        <v>-207001</v>
      </c>
      <c r="G7" s="35"/>
      <c r="H7" s="35">
        <f>-(2146285+30463450+26963485)</f>
        <v>-59573220</v>
      </c>
      <c r="I7" s="35"/>
      <c r="J7" s="35"/>
      <c r="K7" s="35"/>
      <c r="L7" s="35">
        <f>SUM(D7:K7)</f>
        <v>-59780221</v>
      </c>
      <c r="M7" s="36"/>
      <c r="N7" s="120"/>
      <c r="O7" s="121"/>
      <c r="P7" s="122"/>
      <c r="Q7" s="123"/>
      <c r="R7" s="122"/>
      <c r="S7" s="123"/>
      <c r="T7" s="122"/>
      <c r="U7" s="123"/>
      <c r="V7" s="124"/>
      <c r="W7" s="125"/>
      <c r="X7" s="122"/>
    </row>
    <row r="8" spans="1:24" s="34" customFormat="1" ht="19.5" customHeight="1" thickBot="1">
      <c r="A8" s="32"/>
      <c r="B8" s="35" t="s">
        <v>494</v>
      </c>
      <c r="C8" s="35"/>
      <c r="D8" s="38">
        <f>SUM(D4:D7)</f>
        <v>25294614</v>
      </c>
      <c r="E8" s="35"/>
      <c r="F8" s="38">
        <f>SUM(F4:F7)</f>
        <v>23097497</v>
      </c>
      <c r="G8" s="35"/>
      <c r="H8" s="38">
        <f>SUM(H3:H7)</f>
        <v>40242352</v>
      </c>
      <c r="I8" s="35"/>
      <c r="J8" s="37">
        <f>SUM(J4:J7)</f>
        <v>23323947</v>
      </c>
      <c r="K8" s="35"/>
      <c r="L8" s="37">
        <f>SUM(L4:L7)</f>
        <v>111958410</v>
      </c>
      <c r="M8" s="36"/>
      <c r="N8" s="126"/>
      <c r="O8" s="127"/>
      <c r="P8" s="127"/>
      <c r="Q8" s="127"/>
      <c r="R8" s="127"/>
      <c r="S8" s="127"/>
      <c r="T8" s="127"/>
      <c r="U8" s="127"/>
      <c r="V8" s="127"/>
      <c r="W8" s="127"/>
      <c r="X8" s="127"/>
    </row>
    <row r="9" spans="2:24" s="34" customFormat="1" ht="19.5" customHeight="1" thickTop="1"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6"/>
      <c r="N9" s="128"/>
      <c r="O9" s="127"/>
      <c r="P9" s="129"/>
      <c r="Q9" s="127"/>
      <c r="R9" s="130"/>
      <c r="S9" s="127"/>
      <c r="T9" s="130"/>
      <c r="U9" s="127"/>
      <c r="V9" s="130"/>
      <c r="W9" s="127"/>
      <c r="X9" s="130"/>
    </row>
    <row r="10" spans="2:24" s="34" customFormat="1" ht="19.5" customHeight="1">
      <c r="B10" s="214" t="s">
        <v>49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N10" s="396"/>
      <c r="O10" s="396"/>
      <c r="P10" s="143"/>
      <c r="Q10" s="127"/>
      <c r="R10" s="127"/>
      <c r="S10" s="127"/>
      <c r="T10" s="127"/>
      <c r="U10" s="127"/>
      <c r="V10" s="127"/>
      <c r="W10" s="127"/>
      <c r="X10" s="131"/>
    </row>
    <row r="11" spans="2:24" s="34" customFormat="1" ht="19.5" customHeight="1">
      <c r="B11" s="35" t="s">
        <v>581</v>
      </c>
      <c r="C11" s="39"/>
      <c r="D11" s="35">
        <v>7525403</v>
      </c>
      <c r="E11" s="39"/>
      <c r="F11" s="39">
        <v>15396755</v>
      </c>
      <c r="G11" s="39"/>
      <c r="H11" s="35">
        <v>46617636</v>
      </c>
      <c r="I11" s="39"/>
      <c r="J11" s="40">
        <v>15782347</v>
      </c>
      <c r="K11" s="40"/>
      <c r="L11" s="40">
        <f>SUM(D11:K11)</f>
        <v>85322141</v>
      </c>
      <c r="N11" s="128"/>
      <c r="O11" s="127"/>
      <c r="P11" s="144"/>
      <c r="Q11" s="127"/>
      <c r="R11" s="129"/>
      <c r="S11" s="127"/>
      <c r="T11" s="129"/>
      <c r="U11" s="127"/>
      <c r="V11" s="129"/>
      <c r="W11" s="127"/>
      <c r="X11" s="129"/>
    </row>
    <row r="12" spans="2:24" s="34" customFormat="1" ht="19.5" customHeight="1">
      <c r="B12" s="35" t="s">
        <v>62</v>
      </c>
      <c r="C12" s="39"/>
      <c r="D12" s="35"/>
      <c r="E12" s="39"/>
      <c r="F12" s="39"/>
      <c r="G12" s="39"/>
      <c r="H12" s="35"/>
      <c r="I12" s="39"/>
      <c r="J12" s="40"/>
      <c r="K12" s="40"/>
      <c r="L12" s="40">
        <f>SUM(C12:J12)</f>
        <v>0</v>
      </c>
      <c r="N12" s="128"/>
      <c r="O12" s="131"/>
      <c r="P12" s="145"/>
      <c r="Q12" s="127"/>
      <c r="R12" s="132"/>
      <c r="S12" s="127"/>
      <c r="T12" s="133"/>
      <c r="U12" s="127"/>
      <c r="V12" s="127"/>
      <c r="W12" s="127"/>
      <c r="X12" s="134"/>
    </row>
    <row r="13" spans="2:24" s="34" customFormat="1" ht="19.5" customHeight="1">
      <c r="B13" s="35" t="s">
        <v>50</v>
      </c>
      <c r="C13" s="39"/>
      <c r="D13" s="35">
        <f>1022622+25945+4762+211402</f>
        <v>1264731</v>
      </c>
      <c r="E13" s="39"/>
      <c r="F13" s="35">
        <f>1302782+137712</f>
        <v>1440494</v>
      </c>
      <c r="G13" s="39"/>
      <c r="H13" s="35">
        <f>1819113+1991693+2603787</f>
        <v>6414593</v>
      </c>
      <c r="I13" s="39"/>
      <c r="J13" s="40">
        <f>902065+691686</f>
        <v>1593751</v>
      </c>
      <c r="K13" s="40"/>
      <c r="L13" s="40">
        <f>SUM(C13:J13)</f>
        <v>10713569</v>
      </c>
      <c r="N13" s="128"/>
      <c r="O13" s="135"/>
      <c r="P13" s="143"/>
      <c r="Q13" s="136"/>
      <c r="R13" s="130"/>
      <c r="S13" s="136"/>
      <c r="T13" s="130"/>
      <c r="U13" s="136"/>
      <c r="V13" s="130"/>
      <c r="W13" s="136"/>
      <c r="X13" s="130"/>
    </row>
    <row r="14" spans="2:24" s="34" customFormat="1" ht="19.5" customHeight="1">
      <c r="B14" s="35" t="s">
        <v>48</v>
      </c>
      <c r="C14" s="39"/>
      <c r="D14" s="35"/>
      <c r="E14" s="39"/>
      <c r="F14" s="35">
        <v>-39388</v>
      </c>
      <c r="G14" s="39"/>
      <c r="H14" s="40">
        <f>-1039756-16711769-14343473</f>
        <v>-32094998</v>
      </c>
      <c r="I14" s="39"/>
      <c r="J14" s="40"/>
      <c r="K14" s="40"/>
      <c r="L14" s="40">
        <f>SUM(C14:J14)</f>
        <v>-32134386</v>
      </c>
      <c r="N14" s="128"/>
      <c r="O14" s="127"/>
      <c r="P14" s="146"/>
      <c r="Q14" s="127"/>
      <c r="R14" s="127"/>
      <c r="S14" s="127"/>
      <c r="T14" s="127"/>
      <c r="U14" s="127"/>
      <c r="V14" s="127"/>
      <c r="W14" s="127"/>
      <c r="X14" s="127"/>
    </row>
    <row r="15" spans="2:24" s="34" customFormat="1" ht="19.5" customHeight="1" thickBot="1">
      <c r="B15" s="35" t="s">
        <v>496</v>
      </c>
      <c r="C15" s="35"/>
      <c r="D15" s="38">
        <f>SUM(D11:D14)</f>
        <v>8790134</v>
      </c>
      <c r="E15" s="35"/>
      <c r="F15" s="38">
        <f>SUM(F11:F14)</f>
        <v>16797861</v>
      </c>
      <c r="G15" s="35"/>
      <c r="H15" s="38">
        <f>SUM(H11:H14)</f>
        <v>20937231</v>
      </c>
      <c r="I15" s="35"/>
      <c r="J15" s="47">
        <f>+J11+J13+J12+J14</f>
        <v>17376098</v>
      </c>
      <c r="K15" s="48"/>
      <c r="L15" s="47">
        <f>SUM(L11:L14)</f>
        <v>63901324</v>
      </c>
      <c r="M15" s="41"/>
      <c r="N15" s="126"/>
      <c r="O15" s="127"/>
      <c r="P15" s="143"/>
      <c r="Q15" s="127"/>
      <c r="R15" s="127"/>
      <c r="S15" s="127"/>
      <c r="T15" s="127"/>
      <c r="U15" s="127"/>
      <c r="V15" s="127"/>
      <c r="W15" s="127"/>
      <c r="X15" s="127"/>
    </row>
    <row r="16" spans="2:24" s="34" customFormat="1" ht="19.5" customHeight="1" thickTop="1">
      <c r="B16" s="35"/>
      <c r="C16" s="39"/>
      <c r="D16" s="35"/>
      <c r="E16" s="39"/>
      <c r="F16" s="39"/>
      <c r="G16" s="39"/>
      <c r="H16" s="39"/>
      <c r="I16" s="39"/>
      <c r="J16" s="40"/>
      <c r="K16" s="40"/>
      <c r="L16" s="40"/>
      <c r="N16" s="128"/>
      <c r="O16" s="127"/>
      <c r="P16" s="147"/>
      <c r="Q16" s="127"/>
      <c r="R16" s="129"/>
      <c r="S16" s="127"/>
      <c r="T16" s="137"/>
      <c r="U16" s="127"/>
      <c r="V16" s="138"/>
      <c r="W16" s="127"/>
      <c r="X16" s="138"/>
    </row>
    <row r="17" spans="2:24" s="34" customFormat="1" ht="19.5" customHeight="1">
      <c r="B17" s="35" t="s">
        <v>495</v>
      </c>
      <c r="C17" s="35">
        <f aca="true" t="shared" si="0" ref="C17:L17">+C4-C11</f>
        <v>0</v>
      </c>
      <c r="D17" s="35">
        <f t="shared" si="0"/>
        <v>17769211</v>
      </c>
      <c r="E17" s="35">
        <f t="shared" si="0"/>
        <v>0</v>
      </c>
      <c r="F17" s="35">
        <f t="shared" si="0"/>
        <v>6527428</v>
      </c>
      <c r="G17" s="35">
        <f t="shared" si="0"/>
        <v>0</v>
      </c>
      <c r="H17" s="35">
        <f t="shared" si="0"/>
        <v>49181535</v>
      </c>
      <c r="I17" s="35">
        <f t="shared" si="0"/>
        <v>0</v>
      </c>
      <c r="J17" s="35">
        <f t="shared" si="0"/>
        <v>6195703</v>
      </c>
      <c r="K17" s="35">
        <f t="shared" si="0"/>
        <v>0</v>
      </c>
      <c r="L17" s="35">
        <f t="shared" si="0"/>
        <v>79673877</v>
      </c>
      <c r="M17" s="36"/>
      <c r="N17" s="396"/>
      <c r="O17" s="396"/>
      <c r="P17" s="148"/>
      <c r="Q17" s="127"/>
      <c r="R17" s="127"/>
      <c r="S17" s="127"/>
      <c r="T17" s="127"/>
      <c r="U17" s="127"/>
      <c r="V17" s="127"/>
      <c r="W17" s="127"/>
      <c r="X17" s="127"/>
    </row>
    <row r="18" spans="2:24" s="34" customFormat="1" ht="19.5" customHeight="1" thickBot="1">
      <c r="B18" s="35" t="s">
        <v>497</v>
      </c>
      <c r="C18" s="37"/>
      <c r="D18" s="37">
        <f>+D8-D15</f>
        <v>16504480</v>
      </c>
      <c r="E18" s="37"/>
      <c r="F18" s="37">
        <f>+F8-F15</f>
        <v>6299636</v>
      </c>
      <c r="G18" s="37"/>
      <c r="H18" s="37">
        <f>+H8-H15</f>
        <v>19305121</v>
      </c>
      <c r="I18" s="35"/>
      <c r="J18" s="47">
        <f>+J8-J15</f>
        <v>5947849</v>
      </c>
      <c r="K18" s="48"/>
      <c r="L18" s="47">
        <f>+L8-L15</f>
        <v>48057086</v>
      </c>
      <c r="M18" s="36"/>
      <c r="N18" s="128"/>
      <c r="O18" s="127"/>
      <c r="P18" s="149"/>
      <c r="Q18" s="127"/>
      <c r="R18" s="129"/>
      <c r="S18" s="127"/>
      <c r="T18" s="129"/>
      <c r="U18" s="127"/>
      <c r="V18" s="138"/>
      <c r="W18" s="127"/>
      <c r="X18" s="138"/>
    </row>
    <row r="19" spans="14:24" s="34" customFormat="1" ht="15.75" thickTop="1">
      <c r="N19" s="128"/>
      <c r="O19" s="131"/>
      <c r="P19" s="147"/>
      <c r="Q19" s="127"/>
      <c r="R19" s="131"/>
      <c r="S19" s="127"/>
      <c r="T19" s="138"/>
      <c r="U19" s="127"/>
      <c r="V19" s="127"/>
      <c r="W19" s="127"/>
      <c r="X19" s="138"/>
    </row>
    <row r="20" spans="10:24" s="34" customFormat="1" ht="15.75" thickBot="1">
      <c r="J20" s="41"/>
      <c r="N20" s="128"/>
      <c r="O20" s="139"/>
      <c r="P20" s="97"/>
      <c r="Q20" s="127"/>
      <c r="R20" s="129"/>
      <c r="S20" s="127"/>
      <c r="T20" s="129"/>
      <c r="U20" s="127"/>
      <c r="V20" s="140"/>
      <c r="W20" s="127"/>
      <c r="X20" s="140"/>
    </row>
    <row r="21" spans="2:24" s="34" customFormat="1" ht="15" thickBot="1">
      <c r="B21" s="1" t="s">
        <v>234</v>
      </c>
      <c r="C21" s="210"/>
      <c r="D21" s="211" t="s">
        <v>308</v>
      </c>
      <c r="E21" s="32"/>
      <c r="F21" s="32"/>
      <c r="L21" s="36"/>
      <c r="M21" s="42"/>
      <c r="N21" s="127"/>
      <c r="O21" s="127"/>
      <c r="P21" s="150"/>
      <c r="Q21" s="127"/>
      <c r="R21" s="127"/>
      <c r="S21" s="127"/>
      <c r="T21" s="127"/>
      <c r="U21" s="127"/>
      <c r="V21" s="127"/>
      <c r="W21" s="127"/>
      <c r="X21" s="127"/>
    </row>
    <row r="22" spans="2:24" s="34" customFormat="1" ht="12.75" customHeight="1" thickTop="1">
      <c r="B22" s="1" t="s">
        <v>236</v>
      </c>
      <c r="C22" s="210"/>
      <c r="D22" s="211" t="s">
        <v>237</v>
      </c>
      <c r="E22" s="32"/>
      <c r="F22" s="32"/>
      <c r="N22" s="136"/>
      <c r="O22" s="135"/>
      <c r="P22" s="130"/>
      <c r="Q22" s="130"/>
      <c r="R22" s="130"/>
      <c r="S22" s="130"/>
      <c r="T22" s="130"/>
      <c r="U22" s="130"/>
      <c r="V22" s="130"/>
      <c r="W22" s="130"/>
      <c r="X22" s="130"/>
    </row>
    <row r="23" spans="10:24" s="34" customFormat="1" ht="12.75" customHeight="1">
      <c r="J23" s="41"/>
      <c r="N23" s="136"/>
      <c r="O23" s="135"/>
      <c r="P23" s="130"/>
      <c r="Q23" s="130"/>
      <c r="R23" s="130"/>
      <c r="S23" s="130"/>
      <c r="T23" s="130"/>
      <c r="U23" s="130"/>
      <c r="V23" s="130"/>
      <c r="W23" s="130"/>
      <c r="X23" s="130"/>
    </row>
    <row r="24" spans="14:24" s="34" customFormat="1" ht="16.5">
      <c r="N24" s="141"/>
      <c r="O24" s="114"/>
      <c r="P24" s="114"/>
      <c r="Q24" s="114"/>
      <c r="R24" s="114"/>
      <c r="S24" s="114"/>
      <c r="T24" s="114"/>
      <c r="U24" s="114"/>
      <c r="V24" s="114"/>
      <c r="W24" s="114"/>
      <c r="X24" s="114"/>
    </row>
    <row r="25" spans="1:13" s="34" customFormat="1" ht="12">
      <c r="A25" s="43"/>
      <c r="M25" s="42"/>
    </row>
    <row r="26" spans="1:24" s="34" customFormat="1" ht="15.75">
      <c r="A26" s="43"/>
      <c r="P26" s="119"/>
      <c r="X26" s="142"/>
    </row>
    <row r="27" s="34" customFormat="1" ht="12"/>
    <row r="28" s="34" customFormat="1" ht="12"/>
    <row r="29" s="34" customFormat="1" ht="12"/>
    <row r="30" s="34" customFormat="1" ht="12.75" customHeight="1"/>
    <row r="31" s="34" customFormat="1" ht="12.75" customHeight="1"/>
    <row r="32" s="34" customFormat="1" ht="12">
      <c r="B32" s="44"/>
    </row>
    <row r="33" s="34" customFormat="1" ht="12">
      <c r="B33" s="45"/>
    </row>
    <row r="34" s="34" customFormat="1" ht="12">
      <c r="B34" s="44"/>
    </row>
    <row r="35" s="34" customFormat="1" ht="12"/>
    <row r="36" s="34" customFormat="1" ht="12"/>
    <row r="37" s="34" customFormat="1" ht="12"/>
    <row r="38" s="34" customFormat="1" ht="12"/>
    <row r="39" s="34" customFormat="1" ht="12.75" customHeight="1"/>
    <row r="40" s="34" customFormat="1" ht="12">
      <c r="B40" s="44"/>
    </row>
    <row r="41" s="34" customFormat="1" ht="12">
      <c r="B41" s="45"/>
    </row>
    <row r="42" s="34" customFormat="1" ht="12">
      <c r="B42" s="44"/>
    </row>
    <row r="43" s="34" customFormat="1" ht="12">
      <c r="B43" s="43"/>
    </row>
    <row r="44" s="34" customFormat="1" ht="12">
      <c r="B44" s="43"/>
    </row>
    <row r="45" s="34" customFormat="1" ht="12">
      <c r="B45" s="43"/>
    </row>
    <row r="46" s="34" customFormat="1" ht="12"/>
    <row r="47" s="34" customFormat="1" ht="12"/>
    <row r="48" s="34" customFormat="1" ht="12"/>
  </sheetData>
  <sheetProtection/>
  <mergeCells count="3">
    <mergeCell ref="N10:O10"/>
    <mergeCell ref="N17:O17"/>
    <mergeCell ref="B1:L1"/>
  </mergeCells>
  <printOptions/>
  <pageMargins left="0.24" right="0.4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31">
      <selection activeCell="J44" sqref="J44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1.57421875" style="0" customWidth="1"/>
    <col min="5" max="5" width="13.7109375" style="0" customWidth="1"/>
    <col min="6" max="6" width="12.00390625" style="0" customWidth="1"/>
    <col min="7" max="7" width="13.421875" style="0" customWidth="1"/>
    <col min="9" max="10" width="10.140625" style="0" bestFit="1" customWidth="1"/>
    <col min="13" max="13" width="12.28125" style="0" customWidth="1"/>
  </cols>
  <sheetData>
    <row r="1" ht="15">
      <c r="B1" s="217" t="s">
        <v>309</v>
      </c>
    </row>
    <row r="2" ht="12.75">
      <c r="B2" s="218" t="s">
        <v>310</v>
      </c>
    </row>
    <row r="3" ht="12.75">
      <c r="B3" s="218"/>
    </row>
    <row r="4" spans="2:7" ht="15.75">
      <c r="B4" s="400" t="s">
        <v>551</v>
      </c>
      <c r="C4" s="400"/>
      <c r="D4" s="400"/>
      <c r="E4" s="400"/>
      <c r="F4" s="400"/>
      <c r="G4" s="400"/>
    </row>
    <row r="6" spans="1:7" ht="12.75">
      <c r="A6" s="401" t="s">
        <v>311</v>
      </c>
      <c r="B6" s="403" t="s">
        <v>312</v>
      </c>
      <c r="C6" s="401" t="s">
        <v>313</v>
      </c>
      <c r="D6" s="219" t="s">
        <v>314</v>
      </c>
      <c r="E6" s="401" t="s">
        <v>315</v>
      </c>
      <c r="F6" s="401" t="s">
        <v>48</v>
      </c>
      <c r="G6" s="219" t="s">
        <v>314</v>
      </c>
    </row>
    <row r="7" spans="1:9" ht="12.75">
      <c r="A7" s="402"/>
      <c r="B7" s="404"/>
      <c r="C7" s="402"/>
      <c r="D7" s="220">
        <v>41275</v>
      </c>
      <c r="E7" s="402"/>
      <c r="F7" s="402"/>
      <c r="G7" s="220">
        <v>41639</v>
      </c>
      <c r="H7" s="114"/>
      <c r="I7" s="114"/>
    </row>
    <row r="8" spans="1:9" ht="12.75">
      <c r="A8" s="221">
        <v>1</v>
      </c>
      <c r="B8" s="222" t="s">
        <v>316</v>
      </c>
      <c r="C8" s="221"/>
      <c r="D8" s="223"/>
      <c r="E8" s="224"/>
      <c r="F8" s="223"/>
      <c r="G8" s="223">
        <f aca="true" t="shared" si="0" ref="G8:G16">D8+E8-F8</f>
        <v>0</v>
      </c>
      <c r="H8" s="114"/>
      <c r="I8" s="114"/>
    </row>
    <row r="9" spans="1:9" ht="12.75">
      <c r="A9" s="221">
        <v>2</v>
      </c>
      <c r="B9" s="222" t="s">
        <v>317</v>
      </c>
      <c r="C9" s="221"/>
      <c r="D9" s="223">
        <v>25294614</v>
      </c>
      <c r="E9" s="225"/>
      <c r="F9" s="223"/>
      <c r="G9" s="223">
        <f t="shared" si="0"/>
        <v>25294614</v>
      </c>
      <c r="H9" s="378"/>
      <c r="I9" s="111"/>
    </row>
    <row r="10" spans="1:9" ht="12.75">
      <c r="A10" s="221">
        <v>3</v>
      </c>
      <c r="B10" s="226" t="s">
        <v>318</v>
      </c>
      <c r="C10" s="221"/>
      <c r="D10" s="223">
        <v>21924183</v>
      </c>
      <c r="E10" s="379">
        <v>1380315</v>
      </c>
      <c r="F10" s="223">
        <v>207001</v>
      </c>
      <c r="G10" s="223">
        <f t="shared" si="0"/>
        <v>23097497</v>
      </c>
      <c r="H10" s="378"/>
      <c r="I10" s="111"/>
    </row>
    <row r="11" spans="1:9" ht="12.75">
      <c r="A11" s="221">
        <v>4</v>
      </c>
      <c r="B11" s="226" t="s">
        <v>319</v>
      </c>
      <c r="C11" s="221"/>
      <c r="D11" s="223">
        <v>95799171</v>
      </c>
      <c r="E11" s="227">
        <v>4016401</v>
      </c>
      <c r="F11" s="223">
        <v>59573220</v>
      </c>
      <c r="G11" s="223">
        <f t="shared" si="0"/>
        <v>40242352</v>
      </c>
      <c r="H11" s="378"/>
      <c r="I11" s="111"/>
    </row>
    <row r="12" spans="1:9" ht="12.75">
      <c r="A12" s="221">
        <v>5</v>
      </c>
      <c r="B12" s="226" t="s">
        <v>320</v>
      </c>
      <c r="C12" s="221"/>
      <c r="D12" s="223">
        <v>12427821</v>
      </c>
      <c r="E12" s="105">
        <v>992583</v>
      </c>
      <c r="F12" s="223"/>
      <c r="G12" s="223">
        <f t="shared" si="0"/>
        <v>13420404</v>
      </c>
      <c r="H12" s="378"/>
      <c r="I12" s="111"/>
    </row>
    <row r="13" spans="1:9" ht="12.75">
      <c r="A13" s="221">
        <v>1</v>
      </c>
      <c r="B13" s="226" t="s">
        <v>321</v>
      </c>
      <c r="C13" s="221"/>
      <c r="D13" s="223">
        <v>9550230</v>
      </c>
      <c r="E13" s="105">
        <f>308869.62+44444</f>
        <v>353313.62</v>
      </c>
      <c r="F13" s="223"/>
      <c r="G13" s="223">
        <f t="shared" si="0"/>
        <v>9903543.62</v>
      </c>
      <c r="H13" s="378"/>
      <c r="I13" s="111"/>
    </row>
    <row r="14" spans="1:9" ht="12.75">
      <c r="A14" s="221">
        <v>2</v>
      </c>
      <c r="B14" s="228"/>
      <c r="C14" s="221"/>
      <c r="D14" s="223"/>
      <c r="E14" s="225"/>
      <c r="F14" s="223"/>
      <c r="G14" s="223">
        <f t="shared" si="0"/>
        <v>0</v>
      </c>
      <c r="H14" s="114"/>
      <c r="I14" s="114"/>
    </row>
    <row r="15" spans="1:9" ht="12.75">
      <c r="A15" s="221">
        <v>3</v>
      </c>
      <c r="B15" s="228"/>
      <c r="C15" s="221"/>
      <c r="D15" s="223"/>
      <c r="E15" s="224"/>
      <c r="F15" s="223"/>
      <c r="G15" s="223">
        <f t="shared" si="0"/>
        <v>0</v>
      </c>
      <c r="H15" s="114"/>
      <c r="I15" s="114"/>
    </row>
    <row r="16" spans="1:9" ht="13.5" thickBot="1">
      <c r="A16" s="229">
        <v>4</v>
      </c>
      <c r="B16" s="230"/>
      <c r="C16" s="229"/>
      <c r="D16" s="231"/>
      <c r="E16" s="231"/>
      <c r="F16" s="231"/>
      <c r="G16" s="231">
        <f t="shared" si="0"/>
        <v>0</v>
      </c>
      <c r="H16" s="114"/>
      <c r="I16" s="114"/>
    </row>
    <row r="17" spans="1:9" ht="13.5" thickBot="1">
      <c r="A17" s="232"/>
      <c r="B17" s="233" t="s">
        <v>322</v>
      </c>
      <c r="C17" s="234"/>
      <c r="D17" s="235">
        <f>SUM(D8:D16)</f>
        <v>164996019</v>
      </c>
      <c r="E17" s="235">
        <f>SUM(E8:E16)</f>
        <v>6742612.62</v>
      </c>
      <c r="F17" s="235">
        <f>SUM(F8:F16)</f>
        <v>59780221</v>
      </c>
      <c r="G17" s="236">
        <f>SUM(G8:G16)</f>
        <v>111958410.62</v>
      </c>
      <c r="I17" s="240"/>
    </row>
    <row r="20" spans="2:9" ht="15.75">
      <c r="B20" s="400" t="s">
        <v>553</v>
      </c>
      <c r="C20" s="400"/>
      <c r="D20" s="400"/>
      <c r="E20" s="400"/>
      <c r="F20" s="400"/>
      <c r="G20" s="400"/>
      <c r="I20" s="240"/>
    </row>
    <row r="22" spans="1:7" ht="12.75">
      <c r="A22" s="401" t="s">
        <v>311</v>
      </c>
      <c r="B22" s="403" t="s">
        <v>312</v>
      </c>
      <c r="C22" s="401" t="s">
        <v>313</v>
      </c>
      <c r="D22" s="219" t="s">
        <v>314</v>
      </c>
      <c r="E22" s="401" t="s">
        <v>315</v>
      </c>
      <c r="F22" s="401" t="s">
        <v>48</v>
      </c>
      <c r="G22" s="219" t="s">
        <v>314</v>
      </c>
    </row>
    <row r="23" spans="1:7" ht="12.75">
      <c r="A23" s="402"/>
      <c r="B23" s="404"/>
      <c r="C23" s="402"/>
      <c r="D23" s="220">
        <v>41275</v>
      </c>
      <c r="E23" s="402"/>
      <c r="F23" s="402"/>
      <c r="G23" s="220">
        <v>41639</v>
      </c>
    </row>
    <row r="24" spans="1:7" ht="12.75">
      <c r="A24" s="221">
        <v>1</v>
      </c>
      <c r="B24" s="222" t="s">
        <v>316</v>
      </c>
      <c r="C24" s="221"/>
      <c r="D24" s="223">
        <v>0</v>
      </c>
      <c r="E24" s="223">
        <v>0</v>
      </c>
      <c r="F24" s="223"/>
      <c r="G24" s="223">
        <f>D24+E24-F24</f>
        <v>0</v>
      </c>
    </row>
    <row r="25" spans="1:7" ht="12.75">
      <c r="A25" s="221">
        <v>2</v>
      </c>
      <c r="B25" s="222" t="s">
        <v>317</v>
      </c>
      <c r="C25" s="221"/>
      <c r="D25" s="223">
        <v>7525403</v>
      </c>
      <c r="E25" s="223">
        <v>1264731</v>
      </c>
      <c r="F25" s="223"/>
      <c r="G25" s="223">
        <f aca="true" t="shared" si="1" ref="G25:G32">D25+E25-F25</f>
        <v>8790134</v>
      </c>
    </row>
    <row r="26" spans="1:9" ht="12.75">
      <c r="A26" s="221">
        <v>3</v>
      </c>
      <c r="B26" s="226" t="s">
        <v>323</v>
      </c>
      <c r="C26" s="221"/>
      <c r="D26" s="223">
        <v>15396755</v>
      </c>
      <c r="E26" s="237">
        <v>1440494</v>
      </c>
      <c r="F26" s="223">
        <v>39388</v>
      </c>
      <c r="G26" s="223">
        <f t="shared" si="1"/>
        <v>16797861</v>
      </c>
      <c r="I26" s="240"/>
    </row>
    <row r="27" spans="1:7" ht="12.75">
      <c r="A27" s="221">
        <v>4</v>
      </c>
      <c r="B27" s="226" t="s">
        <v>319</v>
      </c>
      <c r="C27" s="221"/>
      <c r="D27" s="223">
        <v>46617636</v>
      </c>
      <c r="E27" s="223">
        <v>6414593</v>
      </c>
      <c r="F27" s="223">
        <v>32094998</v>
      </c>
      <c r="G27" s="223">
        <f t="shared" si="1"/>
        <v>20937231</v>
      </c>
    </row>
    <row r="28" spans="1:7" ht="12.75">
      <c r="A28" s="221">
        <v>5</v>
      </c>
      <c r="B28" s="226" t="s">
        <v>320</v>
      </c>
      <c r="C28" s="221"/>
      <c r="D28" s="223">
        <v>9440377</v>
      </c>
      <c r="E28" s="105">
        <v>902065</v>
      </c>
      <c r="F28" s="223"/>
      <c r="G28" s="223">
        <f t="shared" si="1"/>
        <v>10342442</v>
      </c>
    </row>
    <row r="29" spans="1:7" ht="12.75">
      <c r="A29" s="221">
        <v>1</v>
      </c>
      <c r="B29" s="226" t="s">
        <v>321</v>
      </c>
      <c r="C29" s="221"/>
      <c r="D29" s="223">
        <v>6341969</v>
      </c>
      <c r="E29" s="223">
        <v>691686</v>
      </c>
      <c r="F29" s="223"/>
      <c r="G29" s="223">
        <f t="shared" si="1"/>
        <v>7033655</v>
      </c>
    </row>
    <row r="30" spans="1:7" ht="12.75">
      <c r="A30" s="221">
        <v>2</v>
      </c>
      <c r="B30" s="228"/>
      <c r="C30" s="221"/>
      <c r="D30" s="223"/>
      <c r="E30" s="223"/>
      <c r="F30" s="223"/>
      <c r="G30" s="223">
        <f t="shared" si="1"/>
        <v>0</v>
      </c>
    </row>
    <row r="31" spans="1:7" ht="12.75">
      <c r="A31" s="221">
        <v>3</v>
      </c>
      <c r="B31" s="228"/>
      <c r="C31" s="221"/>
      <c r="D31" s="223"/>
      <c r="E31" s="223"/>
      <c r="F31" s="223"/>
      <c r="G31" s="223">
        <f t="shared" si="1"/>
        <v>0</v>
      </c>
    </row>
    <row r="32" spans="1:7" ht="13.5" thickBot="1">
      <c r="A32" s="229">
        <v>4</v>
      </c>
      <c r="B32" s="230"/>
      <c r="C32" s="229"/>
      <c r="D32" s="231"/>
      <c r="E32" s="231"/>
      <c r="F32" s="231"/>
      <c r="G32" s="223">
        <f t="shared" si="1"/>
        <v>0</v>
      </c>
    </row>
    <row r="33" spans="1:10" ht="13.5" thickBot="1">
      <c r="A33" s="232"/>
      <c r="B33" s="233" t="s">
        <v>322</v>
      </c>
      <c r="C33" s="234"/>
      <c r="D33" s="235">
        <f>SUM(D24:D32)</f>
        <v>85322140</v>
      </c>
      <c r="E33" s="235">
        <f>SUM(E24:E32)</f>
        <v>10713569</v>
      </c>
      <c r="F33" s="235">
        <f>SUM(F24:F32)</f>
        <v>32134386</v>
      </c>
      <c r="G33" s="236">
        <f>SUM(G24:G32)</f>
        <v>63901323</v>
      </c>
      <c r="H33" s="238"/>
      <c r="I33" s="240"/>
      <c r="J33" s="240"/>
    </row>
    <row r="34" ht="12.75">
      <c r="G34" s="238"/>
    </row>
    <row r="36" spans="2:7" ht="15.75">
      <c r="B36" s="400" t="s">
        <v>552</v>
      </c>
      <c r="C36" s="400"/>
      <c r="D36" s="400"/>
      <c r="E36" s="400"/>
      <c r="F36" s="400"/>
      <c r="G36" s="400"/>
    </row>
    <row r="38" spans="1:7" ht="12.75">
      <c r="A38" s="401" t="s">
        <v>311</v>
      </c>
      <c r="B38" s="403" t="s">
        <v>312</v>
      </c>
      <c r="C38" s="401" t="s">
        <v>313</v>
      </c>
      <c r="D38" s="219" t="s">
        <v>314</v>
      </c>
      <c r="E38" s="401" t="s">
        <v>315</v>
      </c>
      <c r="F38" s="401" t="s">
        <v>48</v>
      </c>
      <c r="G38" s="219" t="s">
        <v>314</v>
      </c>
    </row>
    <row r="39" spans="1:7" ht="12.75">
      <c r="A39" s="402"/>
      <c r="B39" s="404"/>
      <c r="C39" s="402"/>
      <c r="D39" s="220">
        <v>41275</v>
      </c>
      <c r="E39" s="402"/>
      <c r="F39" s="402"/>
      <c r="G39" s="220">
        <v>41639</v>
      </c>
    </row>
    <row r="40" spans="1:7" ht="12.75">
      <c r="A40" s="221">
        <v>1</v>
      </c>
      <c r="B40" s="222" t="s">
        <v>316</v>
      </c>
      <c r="C40" s="221"/>
      <c r="D40" s="223">
        <f>D8-D24</f>
        <v>0</v>
      </c>
      <c r="E40" s="223">
        <f>E8-E24</f>
        <v>0</v>
      </c>
      <c r="F40" s="223">
        <f>F8-F24</f>
        <v>0</v>
      </c>
      <c r="G40" s="223">
        <f aca="true" t="shared" si="2" ref="G40:G48">D40+E40-F40</f>
        <v>0</v>
      </c>
    </row>
    <row r="41" spans="1:14" ht="12.75">
      <c r="A41" s="221">
        <v>2</v>
      </c>
      <c r="B41" s="226" t="s">
        <v>317</v>
      </c>
      <c r="C41" s="221"/>
      <c r="D41" s="223">
        <f aca="true" t="shared" si="3" ref="D41:F49">D9-D25</f>
        <v>17769211</v>
      </c>
      <c r="E41" s="223">
        <f t="shared" si="3"/>
        <v>-1264731</v>
      </c>
      <c r="F41" s="223">
        <f t="shared" si="3"/>
        <v>0</v>
      </c>
      <c r="G41" s="223">
        <f t="shared" si="2"/>
        <v>16504480</v>
      </c>
      <c r="M41" s="114"/>
      <c r="N41" s="114"/>
    </row>
    <row r="42" spans="1:14" ht="12.75">
      <c r="A42" s="221">
        <v>3</v>
      </c>
      <c r="B42" s="226" t="s">
        <v>323</v>
      </c>
      <c r="C42" s="221"/>
      <c r="D42" s="223">
        <f t="shared" si="3"/>
        <v>6527428</v>
      </c>
      <c r="E42" s="223">
        <f t="shared" si="3"/>
        <v>-60179</v>
      </c>
      <c r="F42" s="223">
        <f t="shared" si="3"/>
        <v>167613</v>
      </c>
      <c r="G42" s="223">
        <f t="shared" si="2"/>
        <v>6299636</v>
      </c>
      <c r="M42" s="114"/>
      <c r="N42" s="114"/>
    </row>
    <row r="43" spans="1:14" ht="12.75">
      <c r="A43" s="221">
        <v>4</v>
      </c>
      <c r="B43" s="226" t="s">
        <v>319</v>
      </c>
      <c r="C43" s="221"/>
      <c r="D43" s="223">
        <f t="shared" si="3"/>
        <v>49181535</v>
      </c>
      <c r="E43" s="223">
        <f t="shared" si="3"/>
        <v>-2398192</v>
      </c>
      <c r="F43" s="223">
        <f t="shared" si="3"/>
        <v>27478222</v>
      </c>
      <c r="G43" s="223">
        <f t="shared" si="2"/>
        <v>19305121</v>
      </c>
      <c r="M43" s="114"/>
      <c r="N43" s="114"/>
    </row>
    <row r="44" spans="1:14" ht="12.75">
      <c r="A44" s="221">
        <v>5</v>
      </c>
      <c r="B44" s="226" t="s">
        <v>320</v>
      </c>
      <c r="C44" s="221"/>
      <c r="D44" s="223">
        <f t="shared" si="3"/>
        <v>2987444</v>
      </c>
      <c r="E44" s="223">
        <f t="shared" si="3"/>
        <v>90518</v>
      </c>
      <c r="F44" s="223">
        <f t="shared" si="3"/>
        <v>0</v>
      </c>
      <c r="G44" s="223">
        <f t="shared" si="2"/>
        <v>3077962</v>
      </c>
      <c r="M44" s="114"/>
      <c r="N44" s="114"/>
    </row>
    <row r="45" spans="1:14" ht="12.75">
      <c r="A45" s="221">
        <v>1</v>
      </c>
      <c r="B45" s="226" t="s">
        <v>321</v>
      </c>
      <c r="C45" s="221"/>
      <c r="D45" s="223">
        <f t="shared" si="3"/>
        <v>3208261</v>
      </c>
      <c r="E45" s="223">
        <f t="shared" si="3"/>
        <v>-338372.38</v>
      </c>
      <c r="F45" s="223">
        <f t="shared" si="3"/>
        <v>0</v>
      </c>
      <c r="G45" s="223">
        <f t="shared" si="2"/>
        <v>2869888.62</v>
      </c>
      <c r="M45" s="114"/>
      <c r="N45" s="114"/>
    </row>
    <row r="46" spans="1:14" ht="12.75">
      <c r="A46" s="221">
        <v>2</v>
      </c>
      <c r="B46" s="226"/>
      <c r="C46" s="221"/>
      <c r="D46" s="223">
        <f t="shared" si="3"/>
        <v>0</v>
      </c>
      <c r="E46" s="223">
        <f t="shared" si="3"/>
        <v>0</v>
      </c>
      <c r="F46" s="223">
        <f t="shared" si="3"/>
        <v>0</v>
      </c>
      <c r="G46" s="223">
        <f t="shared" si="2"/>
        <v>0</v>
      </c>
      <c r="M46" s="114"/>
      <c r="N46" s="114"/>
    </row>
    <row r="47" spans="1:14" ht="12.75">
      <c r="A47" s="221">
        <v>3</v>
      </c>
      <c r="B47" s="228"/>
      <c r="C47" s="221"/>
      <c r="D47" s="223">
        <f t="shared" si="3"/>
        <v>0</v>
      </c>
      <c r="E47" s="223">
        <f t="shared" si="3"/>
        <v>0</v>
      </c>
      <c r="F47" s="223">
        <f t="shared" si="3"/>
        <v>0</v>
      </c>
      <c r="G47" s="223">
        <f t="shared" si="2"/>
        <v>0</v>
      </c>
      <c r="M47" s="114"/>
      <c r="N47" s="114"/>
    </row>
    <row r="48" spans="1:14" ht="13.5" thickBot="1">
      <c r="A48" s="229">
        <v>4</v>
      </c>
      <c r="B48" s="230"/>
      <c r="C48" s="229"/>
      <c r="D48" s="223">
        <f t="shared" si="3"/>
        <v>0</v>
      </c>
      <c r="E48" s="223">
        <f t="shared" si="3"/>
        <v>0</v>
      </c>
      <c r="F48" s="223">
        <f t="shared" si="3"/>
        <v>0</v>
      </c>
      <c r="G48" s="231">
        <f t="shared" si="2"/>
        <v>0</v>
      </c>
      <c r="M48" s="114"/>
      <c r="N48" s="114"/>
    </row>
    <row r="49" spans="1:14" ht="13.5" thickBot="1">
      <c r="A49" s="232"/>
      <c r="B49" s="233" t="s">
        <v>322</v>
      </c>
      <c r="C49" s="234"/>
      <c r="D49" s="223">
        <f t="shared" si="3"/>
        <v>79673879</v>
      </c>
      <c r="E49" s="223">
        <f t="shared" si="3"/>
        <v>-3970956.38</v>
      </c>
      <c r="F49" s="223">
        <f>F17-F33</f>
        <v>27645835</v>
      </c>
      <c r="G49" s="236">
        <f>SUM(G40:G48)</f>
        <v>48057087.62</v>
      </c>
      <c r="I49" s="238"/>
      <c r="J49" s="240"/>
      <c r="M49" s="341"/>
      <c r="N49" s="114"/>
    </row>
    <row r="50" spans="6:10" s="114" customFormat="1" ht="12.75">
      <c r="F50" s="111"/>
      <c r="G50" s="239"/>
      <c r="J50" s="111"/>
    </row>
    <row r="51" spans="4:14" ht="12.75">
      <c r="D51" s="240"/>
      <c r="G51" s="240"/>
      <c r="I51" s="238"/>
      <c r="M51" s="114"/>
      <c r="N51" s="114"/>
    </row>
    <row r="52" spans="4:14" ht="12.75">
      <c r="D52" s="240"/>
      <c r="G52" s="240"/>
      <c r="I52" s="240"/>
      <c r="M52" s="114"/>
      <c r="N52" s="114"/>
    </row>
    <row r="53" spans="5:14" ht="15.75">
      <c r="E53" s="398" t="s">
        <v>324</v>
      </c>
      <c r="F53" s="398"/>
      <c r="G53" s="398"/>
      <c r="M53" s="114"/>
      <c r="N53" s="114"/>
    </row>
    <row r="54" spans="5:7" ht="12.75">
      <c r="E54" s="399"/>
      <c r="F54" s="399"/>
      <c r="G54" s="399"/>
    </row>
  </sheetData>
  <sheetProtection/>
  <mergeCells count="20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E53:G53"/>
    <mergeCell ref="E54:G54"/>
    <mergeCell ref="B36:G36"/>
    <mergeCell ref="A38:A39"/>
    <mergeCell ref="B38:B39"/>
    <mergeCell ref="C38:C39"/>
    <mergeCell ref="E38:E39"/>
    <mergeCell ref="F38:F3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3"/>
  <sheetViews>
    <sheetView zoomScalePageLayoutView="0" workbookViewId="0" topLeftCell="A85">
      <selection activeCell="L105" sqref="L105"/>
    </sheetView>
  </sheetViews>
  <sheetFormatPr defaultColWidth="9.140625" defaultRowHeight="12.75"/>
  <cols>
    <col min="1" max="1" width="2.8515625" style="0" customWidth="1"/>
    <col min="3" max="3" width="11.28125" style="0" customWidth="1"/>
    <col min="4" max="4" width="14.7109375" style="0" customWidth="1"/>
    <col min="5" max="5" width="10.421875" style="0" customWidth="1"/>
    <col min="6" max="6" width="1.28515625" style="0" hidden="1" customWidth="1"/>
    <col min="7" max="7" width="16.57421875" style="0" customWidth="1"/>
    <col min="8" max="8" width="10.00390625" style="0" customWidth="1"/>
    <col min="9" max="9" width="12.421875" style="242" customWidth="1"/>
    <col min="10" max="10" width="10.7109375" style="242" customWidth="1"/>
    <col min="11" max="11" width="4.7109375" style="0" customWidth="1"/>
    <col min="12" max="12" width="14.8515625" style="0" customWidth="1"/>
    <col min="14" max="14" width="53.421875" style="0" customWidth="1"/>
  </cols>
  <sheetData>
    <row r="1" spans="1:8" ht="12.75">
      <c r="A1" s="146"/>
      <c r="B1" s="218" t="s">
        <v>325</v>
      </c>
      <c r="C1" s="241"/>
      <c r="D1" s="241"/>
      <c r="E1" s="146"/>
      <c r="F1" s="146"/>
      <c r="G1" s="146"/>
      <c r="H1" s="146"/>
    </row>
    <row r="2" spans="1:8" ht="12.75">
      <c r="A2" s="146"/>
      <c r="B2" s="218" t="s">
        <v>326</v>
      </c>
      <c r="C2" s="241"/>
      <c r="D2" s="241"/>
      <c r="E2" s="146"/>
      <c r="F2" s="146"/>
      <c r="G2" s="146"/>
      <c r="H2" s="146"/>
    </row>
    <row r="3" spans="1:9" ht="12.75">
      <c r="A3" s="146"/>
      <c r="B3" s="98"/>
      <c r="C3" s="146"/>
      <c r="D3" s="146"/>
      <c r="E3" s="146"/>
      <c r="F3" s="146"/>
      <c r="G3" s="146"/>
      <c r="H3" s="146"/>
      <c r="I3" s="242" t="s">
        <v>327</v>
      </c>
    </row>
    <row r="4" spans="1:8" ht="12.75">
      <c r="A4" s="146"/>
      <c r="B4" s="98"/>
      <c r="C4" s="146"/>
      <c r="D4" s="146"/>
      <c r="E4" s="146"/>
      <c r="F4" s="146"/>
      <c r="G4" s="146"/>
      <c r="H4" s="146"/>
    </row>
    <row r="5" spans="1:14" ht="12.75">
      <c r="A5" s="243"/>
      <c r="B5" s="243"/>
      <c r="C5" s="243"/>
      <c r="D5" s="243"/>
      <c r="E5" s="243"/>
      <c r="F5" s="243"/>
      <c r="G5" s="243"/>
      <c r="H5" s="243"/>
      <c r="I5" s="244"/>
      <c r="J5" s="245" t="s">
        <v>328</v>
      </c>
      <c r="K5" s="114"/>
      <c r="L5" s="114"/>
      <c r="M5" s="114"/>
      <c r="N5" s="114"/>
    </row>
    <row r="6" spans="1:14" ht="15.75" customHeight="1">
      <c r="A6" s="418" t="s">
        <v>329</v>
      </c>
      <c r="B6" s="419"/>
      <c r="C6" s="419"/>
      <c r="D6" s="419"/>
      <c r="E6" s="419"/>
      <c r="F6" s="419"/>
      <c r="G6" s="419"/>
      <c r="H6" s="419"/>
      <c r="I6" s="419"/>
      <c r="J6" s="420"/>
      <c r="K6" s="381"/>
      <c r="L6" s="381"/>
      <c r="M6" s="381"/>
      <c r="N6" s="381"/>
    </row>
    <row r="7" spans="1:10" ht="26.25" customHeight="1" thickBot="1">
      <c r="A7" s="246"/>
      <c r="B7" s="436" t="s">
        <v>330</v>
      </c>
      <c r="C7" s="436"/>
      <c r="D7" s="436"/>
      <c r="E7" s="436"/>
      <c r="F7" s="437"/>
      <c r="G7" s="247" t="s">
        <v>331</v>
      </c>
      <c r="H7" s="247" t="s">
        <v>332</v>
      </c>
      <c r="I7" s="248" t="s">
        <v>554</v>
      </c>
      <c r="J7" s="248" t="s">
        <v>333</v>
      </c>
    </row>
    <row r="8" spans="1:10" ht="16.5" customHeight="1">
      <c r="A8" s="249">
        <v>1</v>
      </c>
      <c r="B8" s="438" t="s">
        <v>334</v>
      </c>
      <c r="C8" s="439"/>
      <c r="D8" s="439"/>
      <c r="E8" s="439"/>
      <c r="F8" s="439"/>
      <c r="G8" s="251">
        <v>70</v>
      </c>
      <c r="H8" s="251">
        <v>11100</v>
      </c>
      <c r="I8" s="252"/>
      <c r="J8" s="253"/>
    </row>
    <row r="9" spans="1:10" ht="16.5" customHeight="1">
      <c r="A9" s="254" t="s">
        <v>335</v>
      </c>
      <c r="B9" s="426" t="s">
        <v>336</v>
      </c>
      <c r="C9" s="426"/>
      <c r="D9" s="426"/>
      <c r="E9" s="426"/>
      <c r="F9" s="427"/>
      <c r="G9" s="255" t="s">
        <v>337</v>
      </c>
      <c r="H9" s="255">
        <v>11101</v>
      </c>
      <c r="I9" s="256"/>
      <c r="J9" s="257"/>
    </row>
    <row r="10" spans="1:10" ht="16.5" customHeight="1">
      <c r="A10" s="258" t="s">
        <v>338</v>
      </c>
      <c r="B10" s="426" t="s">
        <v>339</v>
      </c>
      <c r="C10" s="426"/>
      <c r="D10" s="426"/>
      <c r="E10" s="426"/>
      <c r="F10" s="427"/>
      <c r="G10" s="255">
        <v>704</v>
      </c>
      <c r="H10" s="255">
        <v>11102</v>
      </c>
      <c r="I10" s="256">
        <v>8375.4</v>
      </c>
      <c r="J10" s="256">
        <f>9151</f>
        <v>9151</v>
      </c>
    </row>
    <row r="11" spans="1:10" ht="16.5" customHeight="1">
      <c r="A11" s="258" t="s">
        <v>340</v>
      </c>
      <c r="B11" s="426" t="s">
        <v>341</v>
      </c>
      <c r="C11" s="426"/>
      <c r="D11" s="426"/>
      <c r="E11" s="426"/>
      <c r="F11" s="427"/>
      <c r="G11" s="259">
        <v>705</v>
      </c>
      <c r="H11" s="255">
        <v>11103</v>
      </c>
      <c r="I11" s="256">
        <v>596133</v>
      </c>
      <c r="J11" s="256">
        <f>629955-J10</f>
        <v>620804</v>
      </c>
    </row>
    <row r="12" spans="1:10" ht="16.5" customHeight="1">
      <c r="A12" s="260">
        <v>2</v>
      </c>
      <c r="B12" s="414" t="s">
        <v>342</v>
      </c>
      <c r="C12" s="414"/>
      <c r="D12" s="414"/>
      <c r="E12" s="414"/>
      <c r="F12" s="415"/>
      <c r="G12" s="261">
        <v>708</v>
      </c>
      <c r="H12" s="262">
        <v>11104</v>
      </c>
      <c r="I12" s="256"/>
      <c r="J12" s="256"/>
    </row>
    <row r="13" spans="1:10" ht="16.5" customHeight="1">
      <c r="A13" s="263" t="s">
        <v>335</v>
      </c>
      <c r="B13" s="426" t="s">
        <v>343</v>
      </c>
      <c r="C13" s="426"/>
      <c r="D13" s="426"/>
      <c r="E13" s="426"/>
      <c r="F13" s="427"/>
      <c r="G13" s="255">
        <v>7081</v>
      </c>
      <c r="H13" s="264">
        <v>111041</v>
      </c>
      <c r="I13" s="256">
        <v>14207.6</v>
      </c>
      <c r="J13" s="256">
        <v>37016.8</v>
      </c>
    </row>
    <row r="14" spans="1:10" ht="16.5" customHeight="1">
      <c r="A14" s="263" t="s">
        <v>344</v>
      </c>
      <c r="B14" s="426" t="s">
        <v>345</v>
      </c>
      <c r="C14" s="426"/>
      <c r="D14" s="426"/>
      <c r="E14" s="426"/>
      <c r="F14" s="427"/>
      <c r="G14" s="255">
        <v>7082</v>
      </c>
      <c r="H14" s="264">
        <v>111042</v>
      </c>
      <c r="I14" s="256"/>
      <c r="J14" s="256"/>
    </row>
    <row r="15" spans="1:10" ht="16.5" customHeight="1">
      <c r="A15" s="263" t="s">
        <v>346</v>
      </c>
      <c r="B15" s="426" t="s">
        <v>347</v>
      </c>
      <c r="C15" s="426"/>
      <c r="D15" s="426"/>
      <c r="E15" s="426"/>
      <c r="F15" s="427"/>
      <c r="G15" s="255">
        <v>7083</v>
      </c>
      <c r="H15" s="264">
        <v>111043</v>
      </c>
      <c r="I15" s="256"/>
      <c r="J15" s="256"/>
    </row>
    <row r="16" spans="1:10" ht="29.25" customHeight="1">
      <c r="A16" s="265">
        <v>3</v>
      </c>
      <c r="B16" s="414" t="s">
        <v>348</v>
      </c>
      <c r="C16" s="414"/>
      <c r="D16" s="414"/>
      <c r="E16" s="414"/>
      <c r="F16" s="415"/>
      <c r="G16" s="261">
        <v>71</v>
      </c>
      <c r="H16" s="262">
        <v>11201</v>
      </c>
      <c r="I16" s="256"/>
      <c r="J16" s="256"/>
    </row>
    <row r="17" spans="1:10" ht="16.5" customHeight="1">
      <c r="A17" s="266"/>
      <c r="B17" s="434" t="s">
        <v>349</v>
      </c>
      <c r="C17" s="434"/>
      <c r="D17" s="434"/>
      <c r="E17" s="434"/>
      <c r="F17" s="435"/>
      <c r="G17" s="267"/>
      <c r="H17" s="255">
        <v>112011</v>
      </c>
      <c r="I17" s="256"/>
      <c r="J17" s="256"/>
    </row>
    <row r="18" spans="1:10" ht="16.5" customHeight="1">
      <c r="A18" s="266"/>
      <c r="B18" s="434" t="s">
        <v>350</v>
      </c>
      <c r="C18" s="434"/>
      <c r="D18" s="434"/>
      <c r="E18" s="434"/>
      <c r="F18" s="435"/>
      <c r="G18" s="267"/>
      <c r="H18" s="255">
        <v>112012</v>
      </c>
      <c r="I18" s="256"/>
      <c r="J18" s="256"/>
    </row>
    <row r="19" spans="1:10" ht="16.5" customHeight="1">
      <c r="A19" s="268">
        <v>4</v>
      </c>
      <c r="B19" s="414" t="s">
        <v>351</v>
      </c>
      <c r="C19" s="414"/>
      <c r="D19" s="414"/>
      <c r="E19" s="414"/>
      <c r="F19" s="415"/>
      <c r="G19" s="269">
        <v>72</v>
      </c>
      <c r="H19" s="270">
        <v>11300</v>
      </c>
      <c r="I19" s="256"/>
      <c r="J19" s="256"/>
    </row>
    <row r="20" spans="1:10" ht="16.5" customHeight="1">
      <c r="A20" s="258"/>
      <c r="B20" s="416" t="s">
        <v>352</v>
      </c>
      <c r="C20" s="417"/>
      <c r="D20" s="417"/>
      <c r="E20" s="417"/>
      <c r="F20" s="417"/>
      <c r="G20" s="53"/>
      <c r="H20" s="271">
        <v>11301</v>
      </c>
      <c r="I20" s="256"/>
      <c r="J20" s="256"/>
    </row>
    <row r="21" spans="1:10" ht="16.5" customHeight="1">
      <c r="A21" s="273"/>
      <c r="B21" s="274" t="s">
        <v>353</v>
      </c>
      <c r="C21" s="274"/>
      <c r="D21" s="274"/>
      <c r="E21" s="274"/>
      <c r="F21" s="274"/>
      <c r="G21" s="275"/>
      <c r="H21" s="271"/>
      <c r="I21" s="256"/>
      <c r="J21" s="256"/>
    </row>
    <row r="22" spans="1:10" ht="16.5" customHeight="1">
      <c r="A22" s="276">
        <v>5</v>
      </c>
      <c r="B22" s="429" t="s">
        <v>354</v>
      </c>
      <c r="C22" s="430"/>
      <c r="D22" s="430"/>
      <c r="E22" s="430"/>
      <c r="F22" s="430"/>
      <c r="G22" s="277">
        <v>73</v>
      </c>
      <c r="H22" s="277">
        <v>11400</v>
      </c>
      <c r="I22" s="256"/>
      <c r="J22" s="256"/>
    </row>
    <row r="23" spans="1:10" ht="16.5" customHeight="1">
      <c r="A23" s="278">
        <v>6</v>
      </c>
      <c r="B23" s="431" t="s">
        <v>355</v>
      </c>
      <c r="C23" s="432"/>
      <c r="D23" s="432"/>
      <c r="E23" s="432"/>
      <c r="F23" s="432"/>
      <c r="G23" s="277">
        <v>75</v>
      </c>
      <c r="H23" s="279">
        <v>11500</v>
      </c>
      <c r="I23" s="256">
        <f>1107.98+579.8</f>
        <v>1687.78</v>
      </c>
      <c r="J23" s="256">
        <f>290.4+1180.3+822.8</f>
        <v>2293.5</v>
      </c>
    </row>
    <row r="24" spans="1:10" ht="16.5" customHeight="1">
      <c r="A24" s="276">
        <v>7</v>
      </c>
      <c r="B24" s="414" t="s">
        <v>356</v>
      </c>
      <c r="C24" s="414"/>
      <c r="D24" s="414"/>
      <c r="E24" s="414"/>
      <c r="F24" s="415"/>
      <c r="G24" s="261">
        <v>77</v>
      </c>
      <c r="H24" s="261">
        <v>11600</v>
      </c>
      <c r="I24" s="256">
        <v>28387.9</v>
      </c>
      <c r="J24" s="256">
        <f>1750</f>
        <v>1750</v>
      </c>
    </row>
    <row r="25" spans="1:10" ht="16.5" customHeight="1" thickBot="1">
      <c r="A25" s="280" t="s">
        <v>357</v>
      </c>
      <c r="B25" s="433" t="s">
        <v>358</v>
      </c>
      <c r="C25" s="433"/>
      <c r="D25" s="433"/>
      <c r="E25" s="433"/>
      <c r="F25" s="433"/>
      <c r="G25" s="281"/>
      <c r="H25" s="281">
        <v>11800</v>
      </c>
      <c r="I25" s="282">
        <f>SUM(I10:I24)</f>
        <v>648791.68</v>
      </c>
      <c r="J25" s="382">
        <f>SUM(J9:J24)</f>
        <v>671015.3</v>
      </c>
    </row>
    <row r="26" spans="1:10" ht="16.5" customHeight="1">
      <c r="A26" s="283"/>
      <c r="B26" s="284"/>
      <c r="C26" s="284"/>
      <c r="D26" s="284"/>
      <c r="E26" s="284"/>
      <c r="F26" s="284"/>
      <c r="G26" s="284"/>
      <c r="H26" s="284"/>
      <c r="I26" s="285"/>
      <c r="J26" s="285"/>
    </row>
    <row r="27" spans="1:10" ht="16.5" customHeight="1">
      <c r="A27" s="283"/>
      <c r="B27" s="284"/>
      <c r="C27" s="284"/>
      <c r="D27" s="284"/>
      <c r="E27" s="284"/>
      <c r="F27" s="284"/>
      <c r="G27" s="284"/>
      <c r="H27" s="284"/>
      <c r="I27" s="285"/>
      <c r="J27" s="285"/>
    </row>
    <row r="28" spans="1:10" ht="16.5" customHeight="1">
      <c r="A28" s="283"/>
      <c r="B28" s="284"/>
      <c r="C28" s="284"/>
      <c r="D28" s="284"/>
      <c r="E28" s="284"/>
      <c r="F28" s="284"/>
      <c r="G28" s="284"/>
      <c r="H28" s="284"/>
      <c r="I28" s="285"/>
      <c r="J28" s="285"/>
    </row>
    <row r="29" spans="1:10" ht="16.5" customHeight="1">
      <c r="A29" s="283"/>
      <c r="B29" s="284"/>
      <c r="C29" s="284"/>
      <c r="D29" s="284"/>
      <c r="E29" s="284"/>
      <c r="F29" s="284"/>
      <c r="G29" s="284"/>
      <c r="H29" s="284"/>
      <c r="I29" s="285" t="s">
        <v>324</v>
      </c>
      <c r="J29" s="285"/>
    </row>
    <row r="30" spans="1:10" ht="16.5" customHeight="1">
      <c r="A30" s="283"/>
      <c r="B30" s="284"/>
      <c r="C30" s="284"/>
      <c r="D30" s="284"/>
      <c r="E30" s="284"/>
      <c r="F30" s="284"/>
      <c r="G30" s="284"/>
      <c r="H30" s="284"/>
      <c r="I30" s="285"/>
      <c r="J30" s="285"/>
    </row>
    <row r="31" spans="1:10" ht="16.5" customHeight="1">
      <c r="A31" s="283"/>
      <c r="B31" s="284"/>
      <c r="C31" s="284"/>
      <c r="D31" s="284"/>
      <c r="E31" s="284"/>
      <c r="F31" s="284"/>
      <c r="G31" s="284"/>
      <c r="H31" s="284"/>
      <c r="I31" s="285"/>
      <c r="J31" s="285"/>
    </row>
    <row r="32" spans="1:10" ht="16.5" customHeight="1">
      <c r="A32" s="283"/>
      <c r="B32" s="284"/>
      <c r="C32" s="284"/>
      <c r="D32" s="284"/>
      <c r="E32" s="284"/>
      <c r="F32" s="284"/>
      <c r="G32" s="284"/>
      <c r="H32" s="284"/>
      <c r="I32" s="285"/>
      <c r="J32" s="285"/>
    </row>
    <row r="33" spans="1:10" ht="16.5" customHeight="1">
      <c r="A33" s="283"/>
      <c r="B33" s="284"/>
      <c r="C33" s="284"/>
      <c r="D33" s="284"/>
      <c r="E33" s="284"/>
      <c r="F33" s="284"/>
      <c r="G33" s="284"/>
      <c r="H33" s="284"/>
      <c r="I33" s="285"/>
      <c r="J33" s="285"/>
    </row>
    <row r="34" spans="1:10" ht="16.5" customHeight="1">
      <c r="A34" s="283"/>
      <c r="B34" s="284"/>
      <c r="C34" s="284"/>
      <c r="D34" s="284"/>
      <c r="E34" s="284"/>
      <c r="F34" s="284"/>
      <c r="G34" s="284"/>
      <c r="H34" s="284"/>
      <c r="I34" s="285"/>
      <c r="J34" s="285"/>
    </row>
    <row r="35" spans="1:10" ht="16.5" customHeight="1">
      <c r="A35" s="283"/>
      <c r="B35" s="284"/>
      <c r="C35" s="284"/>
      <c r="D35" s="284"/>
      <c r="E35" s="284"/>
      <c r="F35" s="284"/>
      <c r="G35" s="284"/>
      <c r="H35" s="284"/>
      <c r="I35" s="285"/>
      <c r="J35" s="285"/>
    </row>
    <row r="36" spans="1:10" ht="16.5" customHeight="1">
      <c r="A36" s="283"/>
      <c r="B36" s="284"/>
      <c r="C36" s="284"/>
      <c r="D36" s="284"/>
      <c r="E36" s="284"/>
      <c r="F36" s="284"/>
      <c r="G36" s="284"/>
      <c r="H36" s="284"/>
      <c r="I36" s="285"/>
      <c r="J36" s="285"/>
    </row>
    <row r="37" spans="1:10" ht="16.5" customHeight="1">
      <c r="A37" s="283"/>
      <c r="B37" s="284"/>
      <c r="C37" s="284"/>
      <c r="D37" s="284"/>
      <c r="E37" s="284"/>
      <c r="F37" s="284"/>
      <c r="G37" s="284"/>
      <c r="H37" s="284"/>
      <c r="I37" s="285"/>
      <c r="J37" s="285"/>
    </row>
    <row r="38" spans="1:10" ht="16.5" customHeight="1">
      <c r="A38" s="283"/>
      <c r="B38" s="284"/>
      <c r="C38" s="284"/>
      <c r="D38" s="284"/>
      <c r="E38" s="284"/>
      <c r="F38" s="284"/>
      <c r="G38" s="284"/>
      <c r="H38" s="284"/>
      <c r="I38" s="285"/>
      <c r="J38" s="285"/>
    </row>
    <row r="39" spans="1:10" ht="16.5" customHeight="1">
      <c r="A39" s="283"/>
      <c r="B39" s="284"/>
      <c r="C39" s="284"/>
      <c r="D39" s="284"/>
      <c r="E39" s="284"/>
      <c r="F39" s="284"/>
      <c r="G39" s="284"/>
      <c r="H39" s="284"/>
      <c r="I39" s="285"/>
      <c r="J39" s="285"/>
    </row>
    <row r="40" spans="1:10" ht="16.5" customHeight="1">
      <c r="A40" s="283"/>
      <c r="B40" s="284"/>
      <c r="C40" s="284"/>
      <c r="D40" s="284"/>
      <c r="E40" s="284"/>
      <c r="F40" s="284"/>
      <c r="G40" s="284"/>
      <c r="H40" s="284"/>
      <c r="I40" s="285"/>
      <c r="J40" s="285"/>
    </row>
    <row r="41" spans="1:10" ht="16.5" customHeight="1">
      <c r="A41" s="283"/>
      <c r="B41" s="284"/>
      <c r="C41" s="284"/>
      <c r="D41" s="284"/>
      <c r="E41" s="284"/>
      <c r="F41" s="284"/>
      <c r="G41" s="284"/>
      <c r="H41" s="284"/>
      <c r="I41" s="285"/>
      <c r="J41" s="285"/>
    </row>
    <row r="42" spans="1:10" ht="16.5" customHeight="1">
      <c r="A42" s="283"/>
      <c r="B42" s="284"/>
      <c r="C42" s="284"/>
      <c r="D42" s="284"/>
      <c r="E42" s="284"/>
      <c r="F42" s="284"/>
      <c r="G42" s="284"/>
      <c r="H42" s="284"/>
      <c r="I42" s="285"/>
      <c r="J42" s="285"/>
    </row>
    <row r="43" spans="1:10" ht="16.5" customHeight="1">
      <c r="A43" s="283"/>
      <c r="B43" s="284"/>
      <c r="C43" s="284"/>
      <c r="D43" s="284"/>
      <c r="E43" s="284"/>
      <c r="F43" s="284"/>
      <c r="G43" s="284"/>
      <c r="H43" s="284"/>
      <c r="I43" s="285"/>
      <c r="J43" s="285"/>
    </row>
    <row r="44" spans="1:10" ht="16.5" customHeight="1">
      <c r="A44" s="283"/>
      <c r="B44" s="284"/>
      <c r="C44" s="284"/>
      <c r="D44" s="284"/>
      <c r="E44" s="284"/>
      <c r="F44" s="284"/>
      <c r="G44" s="284"/>
      <c r="H44" s="284"/>
      <c r="I44" s="285"/>
      <c r="J44" s="285"/>
    </row>
    <row r="45" spans="1:10" ht="16.5" customHeight="1">
      <c r="A45" s="283"/>
      <c r="B45" s="284"/>
      <c r="C45" s="284"/>
      <c r="D45" s="284"/>
      <c r="E45" s="284"/>
      <c r="F45" s="284"/>
      <c r="G45" s="284"/>
      <c r="H45" s="284"/>
      <c r="I45" s="285"/>
      <c r="J45" s="285"/>
    </row>
    <row r="46" spans="1:10" ht="16.5" customHeight="1">
      <c r="A46" s="283"/>
      <c r="B46" s="284"/>
      <c r="C46" s="284"/>
      <c r="D46" s="284"/>
      <c r="E46" s="284"/>
      <c r="F46" s="284"/>
      <c r="G46" s="284"/>
      <c r="H46" s="284"/>
      <c r="I46" s="285"/>
      <c r="J46" s="285"/>
    </row>
    <row r="47" spans="1:10" ht="16.5" customHeight="1">
      <c r="A47" s="283"/>
      <c r="B47" s="284"/>
      <c r="C47" s="284"/>
      <c r="D47" s="284"/>
      <c r="E47" s="284"/>
      <c r="F47" s="284"/>
      <c r="G47" s="284"/>
      <c r="H47" s="284"/>
      <c r="I47" s="285"/>
      <c r="J47" s="285"/>
    </row>
    <row r="48" spans="1:10" ht="16.5" customHeight="1">
      <c r="A48" s="283"/>
      <c r="B48" s="284"/>
      <c r="C48" s="284"/>
      <c r="D48" s="284"/>
      <c r="E48" s="284"/>
      <c r="F48" s="284"/>
      <c r="G48" s="284"/>
      <c r="H48" s="284"/>
      <c r="I48" s="285"/>
      <c r="J48" s="285"/>
    </row>
    <row r="49" spans="1:10" ht="16.5" customHeight="1">
      <c r="A49" s="283"/>
      <c r="B49" s="284"/>
      <c r="C49" s="284"/>
      <c r="D49" s="284"/>
      <c r="E49" s="284"/>
      <c r="F49" s="284"/>
      <c r="G49" s="284"/>
      <c r="H49" s="284"/>
      <c r="I49" s="285"/>
      <c r="J49" s="285"/>
    </row>
    <row r="50" spans="1:10" ht="16.5" customHeight="1">
      <c r="A50" s="283"/>
      <c r="B50" s="284"/>
      <c r="C50" s="284"/>
      <c r="D50" s="284"/>
      <c r="E50" s="284"/>
      <c r="F50" s="284"/>
      <c r="G50" s="284"/>
      <c r="H50" s="284"/>
      <c r="I50" s="285"/>
      <c r="J50" s="285"/>
    </row>
    <row r="51" spans="1:10" ht="16.5" customHeight="1">
      <c r="A51" s="283"/>
      <c r="B51" s="284"/>
      <c r="C51" s="284"/>
      <c r="D51" s="284"/>
      <c r="E51" s="284"/>
      <c r="F51" s="284"/>
      <c r="G51" s="284"/>
      <c r="H51" s="284"/>
      <c r="I51" s="285"/>
      <c r="J51" s="285"/>
    </row>
    <row r="52" spans="1:10" ht="16.5" customHeight="1">
      <c r="A52" s="283"/>
      <c r="B52" s="284"/>
      <c r="C52" s="284"/>
      <c r="D52" s="284"/>
      <c r="E52" s="284"/>
      <c r="F52" s="284"/>
      <c r="G52" s="284"/>
      <c r="H52" s="284"/>
      <c r="I52" s="285"/>
      <c r="J52" s="285"/>
    </row>
    <row r="53" spans="1:10" ht="16.5" customHeight="1">
      <c r="A53" s="283"/>
      <c r="B53" s="284"/>
      <c r="C53" s="284"/>
      <c r="D53" s="284"/>
      <c r="E53" s="284"/>
      <c r="F53" s="284"/>
      <c r="G53" s="284"/>
      <c r="H53" s="284"/>
      <c r="I53" s="285"/>
      <c r="J53" s="285"/>
    </row>
    <row r="54" spans="1:10" ht="16.5" customHeight="1">
      <c r="A54" s="283"/>
      <c r="B54" s="284"/>
      <c r="C54" s="284"/>
      <c r="D54" s="284"/>
      <c r="E54" s="284"/>
      <c r="F54" s="284"/>
      <c r="G54" s="284"/>
      <c r="H54" s="284"/>
      <c r="I54" s="285"/>
      <c r="J54" s="285"/>
    </row>
    <row r="55" spans="1:8" ht="12" customHeight="1">
      <c r="A55" s="146"/>
      <c r="B55" s="218" t="s">
        <v>359</v>
      </c>
      <c r="C55" s="241"/>
      <c r="D55" s="241"/>
      <c r="E55" s="146"/>
      <c r="F55" s="146"/>
      <c r="G55" s="146"/>
      <c r="H55" s="146"/>
    </row>
    <row r="56" spans="1:8" ht="12" customHeight="1">
      <c r="A56" s="146"/>
      <c r="B56" s="218" t="s">
        <v>360</v>
      </c>
      <c r="C56" s="241"/>
      <c r="D56" s="241"/>
      <c r="E56" s="146"/>
      <c r="F56" s="146"/>
      <c r="G56" s="146"/>
      <c r="H56" s="146"/>
    </row>
    <row r="57" spans="1:9" ht="12" customHeight="1">
      <c r="A57" s="146"/>
      <c r="B57" s="98"/>
      <c r="C57" s="146"/>
      <c r="D57" s="146"/>
      <c r="E57" s="146"/>
      <c r="F57" s="146"/>
      <c r="G57" s="146"/>
      <c r="H57" s="146"/>
      <c r="I57" s="242" t="s">
        <v>361</v>
      </c>
    </row>
    <row r="58" spans="1:14" ht="12" customHeight="1">
      <c r="A58" s="243"/>
      <c r="B58" s="243"/>
      <c r="C58" s="243"/>
      <c r="D58" s="243"/>
      <c r="E58" s="243"/>
      <c r="F58" s="243"/>
      <c r="G58" s="243"/>
      <c r="H58" s="243"/>
      <c r="I58" s="244"/>
      <c r="J58" s="245" t="s">
        <v>328</v>
      </c>
      <c r="K58" s="114"/>
      <c r="L58" s="114"/>
      <c r="M58" s="114"/>
      <c r="N58" s="114"/>
    </row>
    <row r="59" spans="1:10" ht="15" customHeight="1">
      <c r="A59" s="418" t="s">
        <v>329</v>
      </c>
      <c r="B59" s="419"/>
      <c r="C59" s="419"/>
      <c r="D59" s="419"/>
      <c r="E59" s="419"/>
      <c r="F59" s="419"/>
      <c r="G59" s="419"/>
      <c r="H59" s="419"/>
      <c r="I59" s="419"/>
      <c r="J59" s="420"/>
    </row>
    <row r="60" spans="1:10" ht="15" customHeight="1" thickBot="1">
      <c r="A60" s="286"/>
      <c r="B60" s="421" t="s">
        <v>362</v>
      </c>
      <c r="C60" s="422"/>
      <c r="D60" s="422"/>
      <c r="E60" s="422"/>
      <c r="F60" s="423"/>
      <c r="G60" s="287" t="s">
        <v>331</v>
      </c>
      <c r="H60" s="287" t="s">
        <v>332</v>
      </c>
      <c r="I60" s="288">
        <v>2013</v>
      </c>
      <c r="J60" s="288" t="s">
        <v>558</v>
      </c>
    </row>
    <row r="61" spans="1:10" ht="15" customHeight="1">
      <c r="A61" s="289">
        <v>1</v>
      </c>
      <c r="B61" s="424" t="s">
        <v>363</v>
      </c>
      <c r="C61" s="425"/>
      <c r="D61" s="425"/>
      <c r="E61" s="425"/>
      <c r="F61" s="425"/>
      <c r="G61" s="290">
        <v>60</v>
      </c>
      <c r="H61" s="290">
        <v>12100</v>
      </c>
      <c r="I61" s="291">
        <f>I62+I63+I64+I65+I66</f>
        <v>501414.1</v>
      </c>
      <c r="J61" s="291">
        <f>J62+J63+J64+J65+J66</f>
        <v>528905.7999999999</v>
      </c>
    </row>
    <row r="62" spans="1:10" ht="15" customHeight="1">
      <c r="A62" s="292" t="s">
        <v>364</v>
      </c>
      <c r="B62" s="405" t="s">
        <v>365</v>
      </c>
      <c r="C62" s="405" t="s">
        <v>366</v>
      </c>
      <c r="D62" s="405"/>
      <c r="E62" s="405"/>
      <c r="F62" s="405"/>
      <c r="G62" s="272" t="s">
        <v>367</v>
      </c>
      <c r="H62" s="272">
        <v>12101</v>
      </c>
      <c r="I62" s="294"/>
      <c r="J62" s="294"/>
    </row>
    <row r="63" spans="1:10" ht="15" customHeight="1">
      <c r="A63" s="292" t="s">
        <v>338</v>
      </c>
      <c r="B63" s="405" t="s">
        <v>368</v>
      </c>
      <c r="C63" s="405" t="s">
        <v>366</v>
      </c>
      <c r="D63" s="405"/>
      <c r="E63" s="405"/>
      <c r="F63" s="405"/>
      <c r="G63" s="272"/>
      <c r="H63" s="250">
        <v>12102</v>
      </c>
      <c r="I63" s="294"/>
      <c r="J63" s="294"/>
    </row>
    <row r="64" spans="1:10" ht="15" customHeight="1">
      <c r="A64" s="292" t="s">
        <v>340</v>
      </c>
      <c r="B64" s="405" t="s">
        <v>369</v>
      </c>
      <c r="C64" s="405" t="s">
        <v>366</v>
      </c>
      <c r="D64" s="405"/>
      <c r="E64" s="405"/>
      <c r="F64" s="405"/>
      <c r="G64" s="272" t="s">
        <v>370</v>
      </c>
      <c r="H64" s="272">
        <v>12103</v>
      </c>
      <c r="I64" s="294">
        <f>501414.1-I65</f>
        <v>432954.19999999995</v>
      </c>
      <c r="J64" s="294">
        <v>541981.6</v>
      </c>
    </row>
    <row r="65" spans="1:10" ht="15" customHeight="1">
      <c r="A65" s="292" t="s">
        <v>371</v>
      </c>
      <c r="B65" s="411" t="s">
        <v>372</v>
      </c>
      <c r="C65" s="405" t="s">
        <v>366</v>
      </c>
      <c r="D65" s="405"/>
      <c r="E65" s="405"/>
      <c r="F65" s="405"/>
      <c r="G65" s="272"/>
      <c r="H65" s="250">
        <v>12104</v>
      </c>
      <c r="I65" s="294">
        <v>68459.9</v>
      </c>
      <c r="J65" s="294">
        <v>-13075.8</v>
      </c>
    </row>
    <row r="66" spans="1:12" ht="15" customHeight="1">
      <c r="A66" s="292" t="s">
        <v>373</v>
      </c>
      <c r="B66" s="405" t="s">
        <v>374</v>
      </c>
      <c r="C66" s="405" t="s">
        <v>366</v>
      </c>
      <c r="D66" s="405"/>
      <c r="E66" s="405"/>
      <c r="F66" s="405"/>
      <c r="G66" s="272" t="s">
        <v>375</v>
      </c>
      <c r="H66" s="250">
        <v>12105</v>
      </c>
      <c r="I66" s="294"/>
      <c r="J66" s="294"/>
      <c r="L66" s="339"/>
    </row>
    <row r="67" spans="1:12" ht="15" customHeight="1">
      <c r="A67" s="295">
        <v>2</v>
      </c>
      <c r="B67" s="409" t="s">
        <v>376</v>
      </c>
      <c r="C67" s="409"/>
      <c r="D67" s="409"/>
      <c r="E67" s="409"/>
      <c r="F67" s="409"/>
      <c r="G67" s="296">
        <v>64</v>
      </c>
      <c r="H67" s="296">
        <v>12200</v>
      </c>
      <c r="I67" s="297">
        <f>I68+I69+I70</f>
        <v>22331.99</v>
      </c>
      <c r="J67" s="297">
        <f>J68+J69+J70</f>
        <v>30124.100000000002</v>
      </c>
      <c r="L67" s="380"/>
    </row>
    <row r="68" spans="1:12" ht="15" customHeight="1">
      <c r="A68" s="298" t="s">
        <v>377</v>
      </c>
      <c r="B68" s="409" t="s">
        <v>378</v>
      </c>
      <c r="C68" s="413"/>
      <c r="D68" s="413"/>
      <c r="E68" s="413"/>
      <c r="F68" s="413"/>
      <c r="G68" s="250">
        <v>641</v>
      </c>
      <c r="H68" s="250">
        <v>12201</v>
      </c>
      <c r="I68" s="294">
        <v>19702.7</v>
      </c>
      <c r="J68" s="294">
        <f>27247.7</f>
        <v>27247.7</v>
      </c>
      <c r="L68" s="428"/>
    </row>
    <row r="69" spans="1:12" ht="15" customHeight="1">
      <c r="A69" s="298" t="s">
        <v>379</v>
      </c>
      <c r="B69" s="413" t="s">
        <v>380</v>
      </c>
      <c r="C69" s="413"/>
      <c r="D69" s="413"/>
      <c r="E69" s="413"/>
      <c r="F69" s="413"/>
      <c r="G69" s="250">
        <v>644</v>
      </c>
      <c r="H69" s="250">
        <v>12202</v>
      </c>
      <c r="I69" s="294">
        <v>2629.29</v>
      </c>
      <c r="J69" s="294">
        <f>2826.4</f>
        <v>2826.4</v>
      </c>
      <c r="L69" s="428"/>
    </row>
    <row r="70" spans="1:12" ht="15" customHeight="1">
      <c r="A70" s="298"/>
      <c r="B70" s="250" t="s">
        <v>381</v>
      </c>
      <c r="C70" s="250" t="s">
        <v>382</v>
      </c>
      <c r="D70" s="250"/>
      <c r="E70" s="250"/>
      <c r="F70" s="250"/>
      <c r="G70" s="250">
        <v>645</v>
      </c>
      <c r="H70" s="250"/>
      <c r="I70" s="294"/>
      <c r="J70" s="294">
        <v>50</v>
      </c>
      <c r="L70" s="383"/>
    </row>
    <row r="71" spans="1:12" ht="23.25" customHeight="1">
      <c r="A71" s="295">
        <v>3</v>
      </c>
      <c r="B71" s="409" t="s">
        <v>383</v>
      </c>
      <c r="C71" s="409"/>
      <c r="D71" s="409"/>
      <c r="E71" s="409"/>
      <c r="F71" s="409"/>
      <c r="G71" s="296">
        <v>68</v>
      </c>
      <c r="H71" s="296">
        <v>12300</v>
      </c>
      <c r="I71" s="299">
        <v>10713.6</v>
      </c>
      <c r="J71" s="299">
        <v>17098.2</v>
      </c>
      <c r="L71" s="428"/>
    </row>
    <row r="72" spans="1:12" ht="15" customHeight="1">
      <c r="A72" s="295">
        <v>4</v>
      </c>
      <c r="B72" s="409" t="s">
        <v>384</v>
      </c>
      <c r="C72" s="409"/>
      <c r="D72" s="409"/>
      <c r="E72" s="409"/>
      <c r="F72" s="409"/>
      <c r="G72" s="296">
        <v>61</v>
      </c>
      <c r="H72" s="296">
        <v>12400</v>
      </c>
      <c r="I72" s="297">
        <f>I73+I74+I75+I76+I77+I78+I79+I80+I81+I82+I83+I84+I85+I86+I87</f>
        <v>84748.14</v>
      </c>
      <c r="J72" s="297">
        <f>J73+J74+J75+J76+J77+J78+J79+J80+J81+J82+J83+J84+J85+J86+J87</f>
        <v>62135.54</v>
      </c>
      <c r="L72" s="428"/>
    </row>
    <row r="73" spans="1:12" ht="15" customHeight="1">
      <c r="A73" s="298" t="s">
        <v>335</v>
      </c>
      <c r="B73" s="407" t="s">
        <v>385</v>
      </c>
      <c r="C73" s="407"/>
      <c r="D73" s="407"/>
      <c r="E73" s="407"/>
      <c r="F73" s="407"/>
      <c r="G73" s="272"/>
      <c r="H73" s="272">
        <v>12401</v>
      </c>
      <c r="I73" s="294"/>
      <c r="J73" s="294"/>
      <c r="L73" s="380"/>
    </row>
    <row r="74" spans="1:12" ht="15" customHeight="1">
      <c r="A74" s="298" t="s">
        <v>344</v>
      </c>
      <c r="B74" s="407" t="s">
        <v>386</v>
      </c>
      <c r="C74" s="407"/>
      <c r="D74" s="407"/>
      <c r="E74" s="407"/>
      <c r="F74" s="407"/>
      <c r="G74" s="300">
        <v>611</v>
      </c>
      <c r="H74" s="272">
        <v>12402</v>
      </c>
      <c r="I74" s="294">
        <f>306.2+998.6+875.5+321.5+135+12+1197.8+120+113.3+70.5+513.6</f>
        <v>4664.000000000001</v>
      </c>
      <c r="J74" s="294">
        <v>9740</v>
      </c>
      <c r="L74" s="383"/>
    </row>
    <row r="75" spans="1:12" ht="23.25" customHeight="1">
      <c r="A75" s="298" t="s">
        <v>346</v>
      </c>
      <c r="B75" s="407" t="s">
        <v>387</v>
      </c>
      <c r="C75" s="407"/>
      <c r="D75" s="407"/>
      <c r="E75" s="407"/>
      <c r="F75" s="407"/>
      <c r="G75" s="272">
        <v>613</v>
      </c>
      <c r="H75" s="272">
        <v>12403</v>
      </c>
      <c r="I75" s="294">
        <v>17490</v>
      </c>
      <c r="J75" s="294">
        <f>19389</f>
        <v>19389</v>
      </c>
      <c r="L75" s="428"/>
    </row>
    <row r="76" spans="1:12" ht="15" customHeight="1">
      <c r="A76" s="298" t="s">
        <v>388</v>
      </c>
      <c r="B76" s="407" t="s">
        <v>389</v>
      </c>
      <c r="C76" s="407"/>
      <c r="D76" s="407"/>
      <c r="E76" s="407"/>
      <c r="F76" s="407"/>
      <c r="G76" s="300">
        <v>615</v>
      </c>
      <c r="H76" s="272">
        <v>12404</v>
      </c>
      <c r="I76" s="301">
        <v>3360.54</v>
      </c>
      <c r="J76" s="301">
        <f>4295.7</f>
        <v>4295.7</v>
      </c>
      <c r="L76" s="428"/>
    </row>
    <row r="77" spans="1:12" ht="15" customHeight="1">
      <c r="A77" s="298" t="s">
        <v>390</v>
      </c>
      <c r="B77" s="407" t="s">
        <v>391</v>
      </c>
      <c r="C77" s="407"/>
      <c r="D77" s="407"/>
      <c r="E77" s="407"/>
      <c r="F77" s="407"/>
      <c r="G77" s="300">
        <v>616</v>
      </c>
      <c r="H77" s="272">
        <v>12405</v>
      </c>
      <c r="I77" s="294">
        <f>2522.3+231.54+19.8</f>
        <v>2773.6400000000003</v>
      </c>
      <c r="J77" s="294">
        <v>2633</v>
      </c>
      <c r="L77" s="384"/>
    </row>
    <row r="78" spans="1:12" ht="15" customHeight="1">
      <c r="A78" s="298" t="s">
        <v>392</v>
      </c>
      <c r="B78" s="407" t="s">
        <v>393</v>
      </c>
      <c r="C78" s="407"/>
      <c r="D78" s="407"/>
      <c r="E78" s="407"/>
      <c r="F78" s="407"/>
      <c r="G78" s="300">
        <v>617</v>
      </c>
      <c r="H78" s="272">
        <v>12406</v>
      </c>
      <c r="I78" s="294"/>
      <c r="J78" s="294"/>
      <c r="L78" s="385"/>
    </row>
    <row r="79" spans="1:12" ht="15" customHeight="1">
      <c r="A79" s="298" t="s">
        <v>394</v>
      </c>
      <c r="B79" s="405" t="s">
        <v>395</v>
      </c>
      <c r="C79" s="405" t="s">
        <v>366</v>
      </c>
      <c r="D79" s="405"/>
      <c r="E79" s="405"/>
      <c r="F79" s="405"/>
      <c r="G79" s="300" t="s">
        <v>559</v>
      </c>
      <c r="H79" s="272">
        <v>12407</v>
      </c>
      <c r="I79" s="294">
        <f>27645.84+8057</f>
        <v>35702.84</v>
      </c>
      <c r="J79" s="294">
        <f>58.1+331.3+298+1352.4</f>
        <v>2039.8000000000002</v>
      </c>
      <c r="L79" s="340"/>
    </row>
    <row r="80" spans="1:12" ht="15" customHeight="1">
      <c r="A80" s="298" t="s">
        <v>396</v>
      </c>
      <c r="B80" s="405" t="s">
        <v>397</v>
      </c>
      <c r="C80" s="405"/>
      <c r="D80" s="405"/>
      <c r="E80" s="405"/>
      <c r="F80" s="405"/>
      <c r="G80" s="300">
        <v>623</v>
      </c>
      <c r="H80" s="272">
        <v>12408</v>
      </c>
      <c r="I80" s="294">
        <v>447.7</v>
      </c>
      <c r="J80" s="294">
        <v>351.14</v>
      </c>
      <c r="L80" s="114"/>
    </row>
    <row r="81" spans="1:12" ht="15" customHeight="1">
      <c r="A81" s="298" t="s">
        <v>398</v>
      </c>
      <c r="B81" s="405" t="s">
        <v>399</v>
      </c>
      <c r="C81" s="405"/>
      <c r="D81" s="405"/>
      <c r="E81" s="405"/>
      <c r="F81" s="405"/>
      <c r="G81" s="300">
        <v>624</v>
      </c>
      <c r="H81" s="272">
        <v>12409</v>
      </c>
      <c r="I81" s="294">
        <v>8265.97</v>
      </c>
      <c r="J81" s="294">
        <v>9255</v>
      </c>
      <c r="L81" s="114"/>
    </row>
    <row r="82" spans="1:12" ht="15" customHeight="1">
      <c r="A82" s="298" t="s">
        <v>400</v>
      </c>
      <c r="B82" s="405" t="s">
        <v>401</v>
      </c>
      <c r="C82" s="405"/>
      <c r="D82" s="405"/>
      <c r="E82" s="405"/>
      <c r="F82" s="405"/>
      <c r="G82" s="300">
        <v>625</v>
      </c>
      <c r="H82" s="272">
        <v>12410</v>
      </c>
      <c r="I82" s="294">
        <f>468.1</f>
        <v>468.1</v>
      </c>
      <c r="J82" s="294">
        <f>1156.5</f>
        <v>1156.5</v>
      </c>
      <c r="L82" s="340"/>
    </row>
    <row r="83" spans="1:10" ht="15" customHeight="1">
      <c r="A83" s="298" t="s">
        <v>402</v>
      </c>
      <c r="B83" s="405" t="s">
        <v>403</v>
      </c>
      <c r="C83" s="405"/>
      <c r="D83" s="405"/>
      <c r="E83" s="405"/>
      <c r="F83" s="405"/>
      <c r="G83" s="300">
        <v>626</v>
      </c>
      <c r="H83" s="272">
        <v>12411</v>
      </c>
      <c r="I83" s="294">
        <v>1200.85</v>
      </c>
      <c r="J83" s="294">
        <f>1586.9</f>
        <v>1586.9</v>
      </c>
    </row>
    <row r="84" spans="1:10" ht="15" customHeight="1">
      <c r="A84" s="302" t="s">
        <v>404</v>
      </c>
      <c r="B84" s="405" t="s">
        <v>405</v>
      </c>
      <c r="C84" s="405"/>
      <c r="D84" s="405"/>
      <c r="E84" s="405"/>
      <c r="F84" s="405"/>
      <c r="G84" s="300">
        <v>627</v>
      </c>
      <c r="H84" s="272">
        <v>12412</v>
      </c>
      <c r="I84" s="294">
        <f>3638.5</f>
        <v>3638.5</v>
      </c>
      <c r="J84" s="294">
        <f>3931.7</f>
        <v>3931.7</v>
      </c>
    </row>
    <row r="85" spans="1:10" ht="11.25" customHeight="1">
      <c r="A85" s="298"/>
      <c r="B85" s="412" t="s">
        <v>406</v>
      </c>
      <c r="C85" s="412"/>
      <c r="D85" s="412"/>
      <c r="E85" s="412"/>
      <c r="F85" s="412"/>
      <c r="G85" s="300">
        <v>6271</v>
      </c>
      <c r="H85" s="300">
        <v>124121</v>
      </c>
      <c r="I85" s="294"/>
      <c r="J85" s="294"/>
    </row>
    <row r="86" spans="1:10" ht="11.25" customHeight="1">
      <c r="A86" s="298"/>
      <c r="B86" s="412" t="s">
        <v>407</v>
      </c>
      <c r="C86" s="412"/>
      <c r="D86" s="412"/>
      <c r="E86" s="412"/>
      <c r="F86" s="412"/>
      <c r="G86" s="300">
        <v>6272</v>
      </c>
      <c r="H86" s="300">
        <v>124122</v>
      </c>
      <c r="I86" s="294"/>
      <c r="J86" s="294"/>
    </row>
    <row r="87" spans="1:10" ht="15" customHeight="1">
      <c r="A87" s="298" t="s">
        <v>408</v>
      </c>
      <c r="B87" s="405" t="s">
        <v>409</v>
      </c>
      <c r="C87" s="405"/>
      <c r="D87" s="405"/>
      <c r="E87" s="405"/>
      <c r="F87" s="405"/>
      <c r="G87" s="300">
        <v>628</v>
      </c>
      <c r="H87" s="300">
        <v>12413</v>
      </c>
      <c r="I87" s="294">
        <f>6736</f>
        <v>6736</v>
      </c>
      <c r="J87" s="294">
        <f>7756.8</f>
        <v>7756.8</v>
      </c>
    </row>
    <row r="88" spans="1:10" ht="15" customHeight="1">
      <c r="A88" s="295">
        <v>5</v>
      </c>
      <c r="B88" s="411" t="s">
        <v>410</v>
      </c>
      <c r="C88" s="405"/>
      <c r="D88" s="405"/>
      <c r="E88" s="405"/>
      <c r="F88" s="405"/>
      <c r="G88" s="293">
        <v>63</v>
      </c>
      <c r="H88" s="293">
        <v>12500</v>
      </c>
      <c r="I88" s="297">
        <f>I89+I90+I91+I92</f>
        <v>960.5</v>
      </c>
      <c r="J88" s="297">
        <f>J89+J90+J91+J92</f>
        <v>1845</v>
      </c>
    </row>
    <row r="89" spans="1:10" ht="11.25" customHeight="1">
      <c r="A89" s="298" t="s">
        <v>335</v>
      </c>
      <c r="B89" s="405" t="s">
        <v>411</v>
      </c>
      <c r="C89" s="405"/>
      <c r="D89" s="405"/>
      <c r="E89" s="405"/>
      <c r="F89" s="405"/>
      <c r="G89" s="300">
        <v>632</v>
      </c>
      <c r="H89" s="300">
        <v>12501</v>
      </c>
      <c r="I89" s="294"/>
      <c r="J89" s="294"/>
    </row>
    <row r="90" spans="1:10" ht="15" customHeight="1">
      <c r="A90" s="298" t="s">
        <v>344</v>
      </c>
      <c r="B90" s="405" t="s">
        <v>412</v>
      </c>
      <c r="C90" s="405"/>
      <c r="D90" s="405"/>
      <c r="E90" s="405"/>
      <c r="F90" s="405"/>
      <c r="G90" s="300">
        <v>633</v>
      </c>
      <c r="H90" s="300">
        <v>12502</v>
      </c>
      <c r="I90" s="294"/>
      <c r="J90" s="294"/>
    </row>
    <row r="91" spans="1:10" ht="15" customHeight="1">
      <c r="A91" s="298" t="s">
        <v>346</v>
      </c>
      <c r="B91" s="405" t="s">
        <v>413</v>
      </c>
      <c r="C91" s="405"/>
      <c r="D91" s="405"/>
      <c r="E91" s="405"/>
      <c r="F91" s="405"/>
      <c r="G91" s="300">
        <v>634</v>
      </c>
      <c r="H91" s="300">
        <v>12503</v>
      </c>
      <c r="I91" s="294">
        <f>219</f>
        <v>219</v>
      </c>
      <c r="J91" s="294">
        <v>622</v>
      </c>
    </row>
    <row r="92" spans="1:10" ht="15" customHeight="1">
      <c r="A92" s="298" t="s">
        <v>388</v>
      </c>
      <c r="B92" s="405" t="s">
        <v>414</v>
      </c>
      <c r="C92" s="405"/>
      <c r="D92" s="405"/>
      <c r="E92" s="405"/>
      <c r="F92" s="405"/>
      <c r="G92" s="300" t="s">
        <v>415</v>
      </c>
      <c r="H92" s="300">
        <v>12504</v>
      </c>
      <c r="I92" s="294">
        <f>80.6+273.3+387.6</f>
        <v>741.5</v>
      </c>
      <c r="J92" s="294">
        <v>1223</v>
      </c>
    </row>
    <row r="93" spans="1:10" ht="15" customHeight="1">
      <c r="A93" s="295" t="s">
        <v>416</v>
      </c>
      <c r="B93" s="409" t="s">
        <v>417</v>
      </c>
      <c r="C93" s="409"/>
      <c r="D93" s="409"/>
      <c r="E93" s="409"/>
      <c r="F93" s="409"/>
      <c r="G93" s="300"/>
      <c r="H93" s="300">
        <v>12600</v>
      </c>
      <c r="I93" s="299">
        <f>I88+I72+I61+I71+I67</f>
        <v>620168.33</v>
      </c>
      <c r="J93" s="299">
        <f>J88+J72+J61+J71+J67</f>
        <v>640108.6399999999</v>
      </c>
    </row>
    <row r="94" spans="1:10" ht="12.75" customHeight="1">
      <c r="A94" s="303"/>
      <c r="B94" s="304" t="s">
        <v>418</v>
      </c>
      <c r="C94" s="305"/>
      <c r="D94" s="305"/>
      <c r="E94" s="305"/>
      <c r="F94" s="305"/>
      <c r="G94" s="305"/>
      <c r="H94" s="305"/>
      <c r="I94" s="306" t="s">
        <v>554</v>
      </c>
      <c r="J94" s="307" t="s">
        <v>333</v>
      </c>
    </row>
    <row r="95" spans="1:10" ht="17.25" customHeight="1">
      <c r="A95" s="308">
        <v>1</v>
      </c>
      <c r="B95" s="410" t="s">
        <v>419</v>
      </c>
      <c r="C95" s="410"/>
      <c r="D95" s="410"/>
      <c r="E95" s="410"/>
      <c r="F95" s="410"/>
      <c r="G95" s="293"/>
      <c r="H95" s="293">
        <v>14000</v>
      </c>
      <c r="I95" s="294">
        <v>20</v>
      </c>
      <c r="J95" s="309">
        <v>23</v>
      </c>
    </row>
    <row r="96" spans="1:10" ht="12.75" customHeight="1">
      <c r="A96" s="308">
        <v>2</v>
      </c>
      <c r="B96" s="410" t="s">
        <v>420</v>
      </c>
      <c r="C96" s="410"/>
      <c r="D96" s="410"/>
      <c r="E96" s="410"/>
      <c r="F96" s="410"/>
      <c r="G96" s="293"/>
      <c r="H96" s="293">
        <v>15000</v>
      </c>
      <c r="I96" s="294"/>
      <c r="J96" s="309"/>
    </row>
    <row r="97" spans="1:10" ht="15" customHeight="1">
      <c r="A97" s="310" t="s">
        <v>335</v>
      </c>
      <c r="B97" s="407" t="s">
        <v>421</v>
      </c>
      <c r="C97" s="407"/>
      <c r="D97" s="407"/>
      <c r="E97" s="407"/>
      <c r="F97" s="407"/>
      <c r="G97" s="293">
        <v>6742.6</v>
      </c>
      <c r="H97" s="300">
        <v>15001</v>
      </c>
      <c r="I97" s="294">
        <v>6742.6</v>
      </c>
      <c r="J97" s="294">
        <v>2700</v>
      </c>
    </row>
    <row r="98" spans="1:10" ht="15" customHeight="1">
      <c r="A98" s="310"/>
      <c r="B98" s="406" t="s">
        <v>422</v>
      </c>
      <c r="C98" s="406"/>
      <c r="D98" s="406"/>
      <c r="E98" s="406"/>
      <c r="F98" s="406"/>
      <c r="G98" s="293">
        <v>6742.6</v>
      </c>
      <c r="H98" s="300">
        <v>150011</v>
      </c>
      <c r="I98" s="294">
        <v>6742.6</v>
      </c>
      <c r="J98" s="309">
        <v>2700</v>
      </c>
    </row>
    <row r="99" spans="1:10" ht="15" customHeight="1">
      <c r="A99" s="311" t="s">
        <v>344</v>
      </c>
      <c r="B99" s="407" t="s">
        <v>423</v>
      </c>
      <c r="C99" s="407"/>
      <c r="D99" s="407"/>
      <c r="E99" s="407"/>
      <c r="F99" s="407"/>
      <c r="G99" s="293">
        <v>59780.2</v>
      </c>
      <c r="H99" s="300">
        <v>15002</v>
      </c>
      <c r="I99" s="294">
        <v>59780.2</v>
      </c>
      <c r="J99" s="294">
        <v>2588</v>
      </c>
    </row>
    <row r="100" spans="1:10" ht="15" customHeight="1" thickBot="1">
      <c r="A100" s="312"/>
      <c r="B100" s="408" t="s">
        <v>424</v>
      </c>
      <c r="C100" s="408"/>
      <c r="D100" s="408"/>
      <c r="E100" s="408"/>
      <c r="F100" s="408"/>
      <c r="G100" s="313">
        <v>59780.2</v>
      </c>
      <c r="H100" s="314">
        <v>150021</v>
      </c>
      <c r="I100" s="315">
        <v>59780.2</v>
      </c>
      <c r="J100" s="316">
        <f>J99</f>
        <v>2588</v>
      </c>
    </row>
    <row r="101" spans="1:10" ht="12" customHeight="1">
      <c r="A101" s="222"/>
      <c r="B101" s="222"/>
      <c r="C101" s="222"/>
      <c r="D101" s="222"/>
      <c r="E101" s="222"/>
      <c r="F101" s="222"/>
      <c r="G101" s="222"/>
      <c r="H101" s="222"/>
      <c r="I101" s="317" t="s">
        <v>324</v>
      </c>
      <c r="J101" s="317"/>
    </row>
    <row r="102" spans="1:10" ht="15">
      <c r="A102" s="146"/>
      <c r="B102" s="146"/>
      <c r="C102" s="146"/>
      <c r="D102" s="146"/>
      <c r="E102" s="146"/>
      <c r="F102" s="146"/>
      <c r="G102" s="146"/>
      <c r="H102" s="146"/>
      <c r="I102" s="318"/>
      <c r="J102" s="318"/>
    </row>
    <row r="103" spans="1:10" ht="15">
      <c r="A103" s="146"/>
      <c r="B103" s="146"/>
      <c r="C103" s="146"/>
      <c r="D103" s="146"/>
      <c r="E103" s="146"/>
      <c r="F103" s="146"/>
      <c r="G103" s="146"/>
      <c r="H103" s="146"/>
      <c r="J103" s="318"/>
    </row>
    <row r="104" spans="1:10" ht="15">
      <c r="A104" s="146"/>
      <c r="B104" s="146"/>
      <c r="C104" s="146"/>
      <c r="D104" s="146"/>
      <c r="E104" s="146"/>
      <c r="F104" s="146"/>
      <c r="G104" s="146"/>
      <c r="H104" s="146"/>
      <c r="J104" s="318"/>
    </row>
    <row r="105" spans="1:10" ht="15">
      <c r="A105" s="146"/>
      <c r="B105" s="146"/>
      <c r="C105" s="146"/>
      <c r="D105" s="146"/>
      <c r="E105" s="146"/>
      <c r="F105" s="146"/>
      <c r="G105" s="146"/>
      <c r="H105" s="146"/>
      <c r="J105" s="318"/>
    </row>
    <row r="106" spans="1:10" ht="15">
      <c r="A106" s="146"/>
      <c r="B106" s="319"/>
      <c r="C106" s="146"/>
      <c r="D106" s="146"/>
      <c r="E106" s="146"/>
      <c r="F106" s="146"/>
      <c r="G106" s="146"/>
      <c r="H106" s="146"/>
      <c r="J106" s="318"/>
    </row>
    <row r="107" spans="1:8" ht="12.75">
      <c r="A107" s="146"/>
      <c r="B107" s="319"/>
      <c r="C107" s="146"/>
      <c r="D107" s="146"/>
      <c r="E107" s="146"/>
      <c r="F107" s="146"/>
      <c r="G107" s="146"/>
      <c r="H107" s="146"/>
    </row>
    <row r="108" spans="1:8" ht="12.75">
      <c r="A108" s="146"/>
      <c r="B108" s="319"/>
      <c r="C108" s="146"/>
      <c r="D108" s="146"/>
      <c r="E108" s="146"/>
      <c r="F108" s="146"/>
      <c r="G108" s="146"/>
      <c r="H108" s="146"/>
    </row>
    <row r="109" spans="1:8" ht="12.75">
      <c r="A109" s="146"/>
      <c r="B109" s="319"/>
      <c r="C109" s="146"/>
      <c r="D109" s="146"/>
      <c r="E109" s="146"/>
      <c r="F109" s="146"/>
      <c r="G109" s="146"/>
      <c r="H109" s="146"/>
    </row>
    <row r="110" spans="1:8" ht="12.75">
      <c r="A110" s="146"/>
      <c r="B110" s="146"/>
      <c r="C110" s="146"/>
      <c r="D110" s="146"/>
      <c r="E110" s="146"/>
      <c r="F110" s="146"/>
      <c r="G110" s="146"/>
      <c r="H110" s="146"/>
    </row>
    <row r="111" spans="1:8" ht="12.75">
      <c r="A111" s="146"/>
      <c r="B111" s="146"/>
      <c r="C111" s="146"/>
      <c r="D111" s="146"/>
      <c r="E111" s="146"/>
      <c r="F111" s="146"/>
      <c r="G111" s="146"/>
      <c r="H111" s="146"/>
    </row>
    <row r="112" spans="1:8" ht="12.75">
      <c r="A112" s="146"/>
      <c r="B112" s="146"/>
      <c r="C112" s="146"/>
      <c r="D112" s="146"/>
      <c r="E112" s="146"/>
      <c r="F112" s="146"/>
      <c r="G112" s="146"/>
      <c r="H112" s="146"/>
    </row>
    <row r="113" spans="1:8" ht="12.75">
      <c r="A113" s="146"/>
      <c r="B113" s="146"/>
      <c r="C113" s="146"/>
      <c r="D113" s="146"/>
      <c r="E113" s="146"/>
      <c r="F113" s="146"/>
      <c r="G113" s="146"/>
      <c r="H113" s="146"/>
    </row>
    <row r="114" spans="1:8" ht="12.75">
      <c r="A114" s="146"/>
      <c r="B114" s="146"/>
      <c r="C114" s="146"/>
      <c r="D114" s="146"/>
      <c r="E114" s="146"/>
      <c r="F114" s="146"/>
      <c r="G114" s="146"/>
      <c r="H114" s="146"/>
    </row>
    <row r="115" spans="1:8" ht="12.75">
      <c r="A115" s="146"/>
      <c r="B115" s="146"/>
      <c r="C115" s="146"/>
      <c r="D115" s="146"/>
      <c r="E115" s="146"/>
      <c r="F115" s="146"/>
      <c r="G115" s="146"/>
      <c r="H115" s="146"/>
    </row>
    <row r="116" spans="1:8" ht="12.75">
      <c r="A116" s="146"/>
      <c r="B116" s="146"/>
      <c r="C116" s="146"/>
      <c r="D116" s="146"/>
      <c r="E116" s="146"/>
      <c r="F116" s="146"/>
      <c r="G116" s="146"/>
      <c r="H116" s="146"/>
    </row>
    <row r="117" spans="1:8" ht="12.75">
      <c r="A117" s="146"/>
      <c r="B117" s="146"/>
      <c r="C117" s="146"/>
      <c r="D117" s="146"/>
      <c r="E117" s="146"/>
      <c r="F117" s="146"/>
      <c r="G117" s="146"/>
      <c r="H117" s="146"/>
    </row>
    <row r="118" spans="1:8" ht="12.75">
      <c r="A118" s="146"/>
      <c r="B118" s="146"/>
      <c r="C118" s="146"/>
      <c r="D118" s="146"/>
      <c r="E118" s="146"/>
      <c r="F118" s="146"/>
      <c r="G118" s="146"/>
      <c r="H118" s="146"/>
    </row>
    <row r="119" spans="1:8" ht="12.75">
      <c r="A119" s="146"/>
      <c r="B119" s="146"/>
      <c r="C119" s="146"/>
      <c r="D119" s="146"/>
      <c r="E119" s="146"/>
      <c r="F119" s="146"/>
      <c r="G119" s="146"/>
      <c r="H119" s="146"/>
    </row>
    <row r="120" spans="1:8" ht="12.75">
      <c r="A120" s="146"/>
      <c r="B120" s="146"/>
      <c r="C120" s="146"/>
      <c r="D120" s="146"/>
      <c r="E120" s="146"/>
      <c r="F120" s="146"/>
      <c r="G120" s="146"/>
      <c r="H120" s="146"/>
    </row>
    <row r="121" spans="1:8" ht="12.75">
      <c r="A121" s="146"/>
      <c r="B121" s="146"/>
      <c r="C121" s="146"/>
      <c r="D121" s="146"/>
      <c r="E121" s="146"/>
      <c r="F121" s="146"/>
      <c r="G121" s="146"/>
      <c r="H121" s="146"/>
    </row>
    <row r="122" spans="1:8" ht="12.75">
      <c r="A122" s="146"/>
      <c r="B122" s="146"/>
      <c r="C122" s="146"/>
      <c r="D122" s="146"/>
      <c r="E122" s="146"/>
      <c r="F122" s="146"/>
      <c r="G122" s="146"/>
      <c r="H122" s="146"/>
    </row>
    <row r="123" spans="1:8" ht="12.75">
      <c r="A123" s="146"/>
      <c r="B123" s="146"/>
      <c r="C123" s="146"/>
      <c r="D123" s="146"/>
      <c r="E123" s="146"/>
      <c r="F123" s="146"/>
      <c r="G123" s="146"/>
      <c r="H123" s="146"/>
    </row>
    <row r="124" spans="1:8" ht="12.75">
      <c r="A124" s="146"/>
      <c r="B124" s="146"/>
      <c r="C124" s="146"/>
      <c r="D124" s="146"/>
      <c r="E124" s="146"/>
      <c r="F124" s="146"/>
      <c r="G124" s="146"/>
      <c r="H124" s="146"/>
    </row>
    <row r="125" spans="1:8" ht="12.75">
      <c r="A125" s="146"/>
      <c r="B125" s="146"/>
      <c r="C125" s="146"/>
      <c r="D125" s="146"/>
      <c r="E125" s="146"/>
      <c r="F125" s="146"/>
      <c r="G125" s="146"/>
      <c r="H125" s="146"/>
    </row>
    <row r="126" spans="1:8" ht="12.75">
      <c r="A126" s="146"/>
      <c r="B126" s="146"/>
      <c r="C126" s="146"/>
      <c r="D126" s="146"/>
      <c r="E126" s="146"/>
      <c r="F126" s="146"/>
      <c r="G126" s="146"/>
      <c r="H126" s="146"/>
    </row>
    <row r="127" spans="1:8" ht="12.75">
      <c r="A127" s="146"/>
      <c r="B127" s="146"/>
      <c r="C127" s="146"/>
      <c r="D127" s="146"/>
      <c r="E127" s="146"/>
      <c r="F127" s="146"/>
      <c r="G127" s="146"/>
      <c r="H127" s="146"/>
    </row>
    <row r="128" spans="1:8" ht="12.75">
      <c r="A128" s="146"/>
      <c r="B128" s="146"/>
      <c r="C128" s="146"/>
      <c r="D128" s="146"/>
      <c r="E128" s="146"/>
      <c r="F128" s="146"/>
      <c r="G128" s="146"/>
      <c r="H128" s="146"/>
    </row>
    <row r="129" spans="1:8" ht="12.75">
      <c r="A129" s="146"/>
      <c r="B129" s="146"/>
      <c r="C129" s="146"/>
      <c r="D129" s="146"/>
      <c r="E129" s="146"/>
      <c r="F129" s="146"/>
      <c r="G129" s="146"/>
      <c r="H129" s="146"/>
    </row>
    <row r="130" spans="1:8" ht="12.75">
      <c r="A130" s="146"/>
      <c r="B130" s="146"/>
      <c r="C130" s="146"/>
      <c r="D130" s="146"/>
      <c r="E130" s="146"/>
      <c r="F130" s="146"/>
      <c r="G130" s="146"/>
      <c r="H130" s="146"/>
    </row>
    <row r="131" spans="1:8" ht="12.75">
      <c r="A131" s="146"/>
      <c r="B131" s="146"/>
      <c r="C131" s="146"/>
      <c r="D131" s="146"/>
      <c r="E131" s="146"/>
      <c r="F131" s="146"/>
      <c r="G131" s="146"/>
      <c r="H131" s="146"/>
    </row>
    <row r="132" spans="1:8" ht="12.75">
      <c r="A132" s="146"/>
      <c r="B132" s="146"/>
      <c r="C132" s="146"/>
      <c r="D132" s="146"/>
      <c r="E132" s="146"/>
      <c r="F132" s="146"/>
      <c r="G132" s="146"/>
      <c r="H132" s="146"/>
    </row>
    <row r="133" spans="1:8" ht="12.75">
      <c r="A133" s="146"/>
      <c r="B133" s="146"/>
      <c r="C133" s="146"/>
      <c r="D133" s="146"/>
      <c r="E133" s="146"/>
      <c r="F133" s="146"/>
      <c r="G133" s="146"/>
      <c r="H133" s="146"/>
    </row>
    <row r="134" spans="1:8" ht="12.75">
      <c r="A134" s="146"/>
      <c r="B134" s="146"/>
      <c r="C134" s="146"/>
      <c r="D134" s="146"/>
      <c r="E134" s="146"/>
      <c r="F134" s="146"/>
      <c r="G134" s="146"/>
      <c r="H134" s="146"/>
    </row>
    <row r="135" spans="1:8" ht="12.75">
      <c r="A135" s="146"/>
      <c r="B135" s="146"/>
      <c r="C135" s="146"/>
      <c r="D135" s="146"/>
      <c r="E135" s="146"/>
      <c r="F135" s="146"/>
      <c r="G135" s="146"/>
      <c r="H135" s="146"/>
    </row>
    <row r="136" spans="1:8" ht="12.75">
      <c r="A136" s="146"/>
      <c r="B136" s="146"/>
      <c r="C136" s="146"/>
      <c r="D136" s="146"/>
      <c r="E136" s="146"/>
      <c r="F136" s="146"/>
      <c r="G136" s="146"/>
      <c r="H136" s="146"/>
    </row>
    <row r="137" spans="1:8" ht="12.75">
      <c r="A137" s="146"/>
      <c r="B137" s="146"/>
      <c r="C137" s="146"/>
      <c r="D137" s="146"/>
      <c r="E137" s="146"/>
      <c r="F137" s="146"/>
      <c r="G137" s="146"/>
      <c r="H137" s="146"/>
    </row>
    <row r="138" spans="1:8" ht="12.75">
      <c r="A138" s="146"/>
      <c r="B138" s="146"/>
      <c r="C138" s="146"/>
      <c r="D138" s="146"/>
      <c r="E138" s="146"/>
      <c r="F138" s="146"/>
      <c r="G138" s="146"/>
      <c r="H138" s="146"/>
    </row>
    <row r="139" spans="1:8" ht="12.75">
      <c r="A139" s="146"/>
      <c r="B139" s="146"/>
      <c r="C139" s="146"/>
      <c r="D139" s="146"/>
      <c r="E139" s="146"/>
      <c r="F139" s="146"/>
      <c r="G139" s="146"/>
      <c r="H139" s="146"/>
    </row>
    <row r="140" spans="1:8" ht="12.75">
      <c r="A140" s="146"/>
      <c r="B140" s="146"/>
      <c r="C140" s="146"/>
      <c r="D140" s="146"/>
      <c r="E140" s="146"/>
      <c r="F140" s="146"/>
      <c r="G140" s="146"/>
      <c r="H140" s="146"/>
    </row>
    <row r="141" spans="1:8" ht="12.75">
      <c r="A141" s="146"/>
      <c r="B141" s="146"/>
      <c r="C141" s="146"/>
      <c r="D141" s="146"/>
      <c r="E141" s="146"/>
      <c r="F141" s="146"/>
      <c r="G141" s="146"/>
      <c r="H141" s="146"/>
    </row>
    <row r="142" spans="1:8" ht="12.75">
      <c r="A142" s="146"/>
      <c r="B142" s="146"/>
      <c r="C142" s="146"/>
      <c r="D142" s="146"/>
      <c r="E142" s="146"/>
      <c r="F142" s="146"/>
      <c r="G142" s="146"/>
      <c r="H142" s="146"/>
    </row>
    <row r="143" spans="1:8" ht="12.75">
      <c r="A143" s="146"/>
      <c r="B143" s="146"/>
      <c r="C143" s="146"/>
      <c r="D143" s="146"/>
      <c r="E143" s="146"/>
      <c r="F143" s="146"/>
      <c r="G143" s="146"/>
      <c r="H143" s="146"/>
    </row>
    <row r="144" spans="1:8" ht="12.75">
      <c r="A144" s="146"/>
      <c r="B144" s="146"/>
      <c r="C144" s="146"/>
      <c r="D144" s="146"/>
      <c r="E144" s="146"/>
      <c r="F144" s="146"/>
      <c r="G144" s="146"/>
      <c r="H144" s="146"/>
    </row>
    <row r="145" spans="1:8" ht="12.75">
      <c r="A145" s="146"/>
      <c r="B145" s="146"/>
      <c r="C145" s="146"/>
      <c r="D145" s="146"/>
      <c r="E145" s="146"/>
      <c r="F145" s="146"/>
      <c r="G145" s="146"/>
      <c r="H145" s="146"/>
    </row>
    <row r="146" spans="1:8" ht="12.75">
      <c r="A146" s="146"/>
      <c r="B146" s="146"/>
      <c r="C146" s="146"/>
      <c r="D146" s="146"/>
      <c r="E146" s="146"/>
      <c r="F146" s="146"/>
      <c r="G146" s="146"/>
      <c r="H146" s="146"/>
    </row>
    <row r="147" spans="1:8" ht="12.75">
      <c r="A147" s="146"/>
      <c r="B147" s="146"/>
      <c r="C147" s="146"/>
      <c r="D147" s="146"/>
      <c r="E147" s="146"/>
      <c r="F147" s="146"/>
      <c r="G147" s="146"/>
      <c r="H147" s="146"/>
    </row>
    <row r="148" spans="1:8" ht="12.75">
      <c r="A148" s="146"/>
      <c r="B148" s="146"/>
      <c r="C148" s="146"/>
      <c r="D148" s="146"/>
      <c r="E148" s="146"/>
      <c r="F148" s="146"/>
      <c r="G148" s="146"/>
      <c r="H148" s="146"/>
    </row>
    <row r="149" spans="1:8" ht="12.75">
      <c r="A149" s="146"/>
      <c r="B149" s="146"/>
      <c r="C149" s="146"/>
      <c r="D149" s="146"/>
      <c r="E149" s="146"/>
      <c r="F149" s="146"/>
      <c r="G149" s="146"/>
      <c r="H149" s="146"/>
    </row>
    <row r="150" spans="1:8" ht="12.75">
      <c r="A150" s="146"/>
      <c r="B150" s="146"/>
      <c r="C150" s="146"/>
      <c r="D150" s="146"/>
      <c r="E150" s="146"/>
      <c r="F150" s="146"/>
      <c r="G150" s="146"/>
      <c r="H150" s="146"/>
    </row>
    <row r="151" spans="1:8" ht="12.75">
      <c r="A151" s="146"/>
      <c r="B151" s="146"/>
      <c r="C151" s="146"/>
      <c r="D151" s="146"/>
      <c r="E151" s="146"/>
      <c r="F151" s="146"/>
      <c r="G151" s="146"/>
      <c r="H151" s="146"/>
    </row>
    <row r="152" spans="1:8" ht="12.75">
      <c r="A152" s="146"/>
      <c r="B152" s="146"/>
      <c r="C152" s="146"/>
      <c r="D152" s="146"/>
      <c r="E152" s="146"/>
      <c r="F152" s="146"/>
      <c r="G152" s="146"/>
      <c r="H152" s="146"/>
    </row>
    <row r="153" spans="1:8" ht="12.75">
      <c r="A153" s="146"/>
      <c r="B153" s="146"/>
      <c r="C153" s="146"/>
      <c r="D153" s="146"/>
      <c r="E153" s="146"/>
      <c r="F153" s="146"/>
      <c r="G153" s="146"/>
      <c r="H153" s="146"/>
    </row>
    <row r="154" spans="1:8" ht="12.75">
      <c r="A154" s="146"/>
      <c r="B154" s="146"/>
      <c r="C154" s="146"/>
      <c r="D154" s="146"/>
      <c r="E154" s="146"/>
      <c r="F154" s="146"/>
      <c r="G154" s="146"/>
      <c r="H154" s="146"/>
    </row>
    <row r="155" spans="1:8" ht="12.75">
      <c r="A155" s="146"/>
      <c r="B155" s="146"/>
      <c r="C155" s="146"/>
      <c r="D155" s="146"/>
      <c r="E155" s="146"/>
      <c r="F155" s="146"/>
      <c r="G155" s="146"/>
      <c r="H155" s="146"/>
    </row>
    <row r="156" spans="1:8" ht="12.75">
      <c r="A156" s="146"/>
      <c r="B156" s="146"/>
      <c r="C156" s="146"/>
      <c r="D156" s="146"/>
      <c r="E156" s="146"/>
      <c r="F156" s="146"/>
      <c r="G156" s="146"/>
      <c r="H156" s="146"/>
    </row>
    <row r="157" spans="1:8" ht="12.75">
      <c r="A157" s="146"/>
      <c r="B157" s="146"/>
      <c r="C157" s="146"/>
      <c r="D157" s="146"/>
      <c r="E157" s="146"/>
      <c r="F157" s="146"/>
      <c r="G157" s="146"/>
      <c r="H157" s="146"/>
    </row>
    <row r="158" spans="1:8" ht="12.75">
      <c r="A158" s="146"/>
      <c r="B158" s="146"/>
      <c r="C158" s="146"/>
      <c r="D158" s="146"/>
      <c r="E158" s="146"/>
      <c r="F158" s="146"/>
      <c r="G158" s="146"/>
      <c r="H158" s="146"/>
    </row>
    <row r="159" spans="1:8" ht="12.75">
      <c r="A159" s="146"/>
      <c r="B159" s="146"/>
      <c r="C159" s="146"/>
      <c r="D159" s="146"/>
      <c r="E159" s="146"/>
      <c r="F159" s="146"/>
      <c r="G159" s="146"/>
      <c r="H159" s="146"/>
    </row>
    <row r="160" spans="1:8" ht="12.75">
      <c r="A160" s="146"/>
      <c r="B160" s="146"/>
      <c r="C160" s="146"/>
      <c r="D160" s="146"/>
      <c r="E160" s="146"/>
      <c r="F160" s="146"/>
      <c r="G160" s="146"/>
      <c r="H160" s="146"/>
    </row>
    <row r="161" spans="1:8" ht="12.75">
      <c r="A161" s="146"/>
      <c r="B161" s="146"/>
      <c r="C161" s="146"/>
      <c r="D161" s="146"/>
      <c r="E161" s="146"/>
      <c r="F161" s="146"/>
      <c r="G161" s="146"/>
      <c r="H161" s="146"/>
    </row>
    <row r="162" spans="1:8" ht="12.75">
      <c r="A162" s="146"/>
      <c r="B162" s="146"/>
      <c r="C162" s="146"/>
      <c r="D162" s="146"/>
      <c r="E162" s="146"/>
      <c r="F162" s="146"/>
      <c r="G162" s="146"/>
      <c r="H162" s="146"/>
    </row>
    <row r="163" spans="1:8" ht="12.75">
      <c r="A163" s="146"/>
      <c r="B163" s="146"/>
      <c r="C163" s="146"/>
      <c r="D163" s="146"/>
      <c r="E163" s="146"/>
      <c r="F163" s="146"/>
      <c r="G163" s="146"/>
      <c r="H163" s="146"/>
    </row>
    <row r="164" spans="1:8" ht="12.75">
      <c r="A164" s="146"/>
      <c r="B164" s="146"/>
      <c r="C164" s="146"/>
      <c r="D164" s="146"/>
      <c r="E164" s="146"/>
      <c r="F164" s="146"/>
      <c r="G164" s="146"/>
      <c r="H164" s="146"/>
    </row>
    <row r="165" spans="1:8" ht="12.75">
      <c r="A165" s="146"/>
      <c r="B165" s="146"/>
      <c r="C165" s="146"/>
      <c r="D165" s="146"/>
      <c r="E165" s="146"/>
      <c r="F165" s="146"/>
      <c r="G165" s="146"/>
      <c r="H165" s="146"/>
    </row>
    <row r="166" spans="1:8" ht="12.75">
      <c r="A166" s="146"/>
      <c r="B166" s="146"/>
      <c r="C166" s="146"/>
      <c r="D166" s="146"/>
      <c r="E166" s="146"/>
      <c r="F166" s="146"/>
      <c r="G166" s="146"/>
      <c r="H166" s="146"/>
    </row>
    <row r="167" spans="1:8" ht="12.75">
      <c r="A167" s="146"/>
      <c r="B167" s="146"/>
      <c r="C167" s="146"/>
      <c r="D167" s="146"/>
      <c r="E167" s="146"/>
      <c r="F167" s="146"/>
      <c r="G167" s="146"/>
      <c r="H167" s="146"/>
    </row>
    <row r="168" spans="1:8" ht="12.75">
      <c r="A168" s="146"/>
      <c r="B168" s="146"/>
      <c r="C168" s="146"/>
      <c r="D168" s="146"/>
      <c r="E168" s="146"/>
      <c r="F168" s="146"/>
      <c r="G168" s="146"/>
      <c r="H168" s="146"/>
    </row>
    <row r="169" spans="1:8" ht="12.75">
      <c r="A169" s="146"/>
      <c r="B169" s="146"/>
      <c r="C169" s="146"/>
      <c r="D169" s="146"/>
      <c r="E169" s="146"/>
      <c r="F169" s="146"/>
      <c r="G169" s="146"/>
      <c r="H169" s="146"/>
    </row>
    <row r="170" spans="1:8" ht="12.75">
      <c r="A170" s="146"/>
      <c r="B170" s="146"/>
      <c r="C170" s="146"/>
      <c r="D170" s="146"/>
      <c r="E170" s="146"/>
      <c r="F170" s="146"/>
      <c r="G170" s="146"/>
      <c r="H170" s="146"/>
    </row>
    <row r="171" spans="1:8" ht="12.75">
      <c r="A171" s="146"/>
      <c r="B171" s="146"/>
      <c r="C171" s="146"/>
      <c r="D171" s="146"/>
      <c r="E171" s="146"/>
      <c r="F171" s="146"/>
      <c r="G171" s="146"/>
      <c r="H171" s="146"/>
    </row>
    <row r="172" spans="1:8" ht="12.75">
      <c r="A172" s="146"/>
      <c r="B172" s="146"/>
      <c r="C172" s="146"/>
      <c r="D172" s="146"/>
      <c r="E172" s="146"/>
      <c r="F172" s="146"/>
      <c r="G172" s="146"/>
      <c r="H172" s="146"/>
    </row>
    <row r="173" spans="1:8" ht="12.75">
      <c r="A173" s="146"/>
      <c r="B173" s="146"/>
      <c r="C173" s="146"/>
      <c r="D173" s="146"/>
      <c r="E173" s="146"/>
      <c r="F173" s="146"/>
      <c r="G173" s="146"/>
      <c r="H173" s="146"/>
    </row>
    <row r="174" spans="1:8" ht="12.75">
      <c r="A174" s="146"/>
      <c r="B174" s="146"/>
      <c r="C174" s="146"/>
      <c r="D174" s="146"/>
      <c r="E174" s="146"/>
      <c r="F174" s="146"/>
      <c r="G174" s="146"/>
      <c r="H174" s="146"/>
    </row>
    <row r="175" spans="1:8" ht="12.75">
      <c r="A175" s="146"/>
      <c r="B175" s="146"/>
      <c r="C175" s="146"/>
      <c r="D175" s="146"/>
      <c r="E175" s="146"/>
      <c r="F175" s="146"/>
      <c r="G175" s="146"/>
      <c r="H175" s="146"/>
    </row>
    <row r="176" spans="1:8" ht="12.75">
      <c r="A176" s="146"/>
      <c r="B176" s="146"/>
      <c r="C176" s="146"/>
      <c r="D176" s="146"/>
      <c r="E176" s="146"/>
      <c r="F176" s="146"/>
      <c r="G176" s="146"/>
      <c r="H176" s="146"/>
    </row>
    <row r="177" spans="1:8" ht="12.75">
      <c r="A177" s="146"/>
      <c r="B177" s="146"/>
      <c r="C177" s="146"/>
      <c r="D177" s="146"/>
      <c r="E177" s="146"/>
      <c r="F177" s="146"/>
      <c r="G177" s="146"/>
      <c r="H177" s="146"/>
    </row>
    <row r="178" spans="1:8" ht="12.75">
      <c r="A178" s="146"/>
      <c r="B178" s="146"/>
      <c r="C178" s="146"/>
      <c r="D178" s="146"/>
      <c r="E178" s="146"/>
      <c r="F178" s="146"/>
      <c r="G178" s="146"/>
      <c r="H178" s="146"/>
    </row>
    <row r="179" spans="1:8" ht="12.75">
      <c r="A179" s="146"/>
      <c r="B179" s="146"/>
      <c r="C179" s="146"/>
      <c r="D179" s="146"/>
      <c r="E179" s="146"/>
      <c r="F179" s="146"/>
      <c r="G179" s="146"/>
      <c r="H179" s="146"/>
    </row>
    <row r="180" spans="1:8" ht="12.75">
      <c r="A180" s="146"/>
      <c r="B180" s="146"/>
      <c r="C180" s="146"/>
      <c r="D180" s="146"/>
      <c r="E180" s="146"/>
      <c r="F180" s="146"/>
      <c r="G180" s="146"/>
      <c r="H180" s="146"/>
    </row>
    <row r="181" spans="1:8" ht="12.75">
      <c r="A181" s="146"/>
      <c r="B181" s="146"/>
      <c r="C181" s="146"/>
      <c r="D181" s="146"/>
      <c r="E181" s="146"/>
      <c r="F181" s="146"/>
      <c r="G181" s="146"/>
      <c r="H181" s="146"/>
    </row>
    <row r="182" spans="1:8" ht="12.75">
      <c r="A182" s="146"/>
      <c r="B182" s="146"/>
      <c r="C182" s="146"/>
      <c r="D182" s="146"/>
      <c r="E182" s="146"/>
      <c r="F182" s="146"/>
      <c r="G182" s="146"/>
      <c r="H182" s="146"/>
    </row>
    <row r="183" spans="1:8" ht="12.75">
      <c r="A183" s="146"/>
      <c r="B183" s="146"/>
      <c r="C183" s="146"/>
      <c r="D183" s="146"/>
      <c r="E183" s="146"/>
      <c r="F183" s="146"/>
      <c r="G183" s="146"/>
      <c r="H183" s="146"/>
    </row>
    <row r="184" spans="1:8" ht="12.75">
      <c r="A184" s="146"/>
      <c r="B184" s="146"/>
      <c r="C184" s="146"/>
      <c r="D184" s="146"/>
      <c r="E184" s="146"/>
      <c r="F184" s="146"/>
      <c r="G184" s="146"/>
      <c r="H184" s="146"/>
    </row>
    <row r="185" spans="1:8" ht="12.75">
      <c r="A185" s="146"/>
      <c r="B185" s="146"/>
      <c r="C185" s="146"/>
      <c r="D185" s="146"/>
      <c r="E185" s="146"/>
      <c r="F185" s="146"/>
      <c r="G185" s="146"/>
      <c r="H185" s="146"/>
    </row>
    <row r="186" spans="1:8" ht="12.75">
      <c r="A186" s="146"/>
      <c r="B186" s="146"/>
      <c r="C186" s="146"/>
      <c r="D186" s="146"/>
      <c r="E186" s="146"/>
      <c r="F186" s="146"/>
      <c r="G186" s="146"/>
      <c r="H186" s="146"/>
    </row>
    <row r="187" spans="1:8" ht="12.75">
      <c r="A187" s="146"/>
      <c r="B187" s="146"/>
      <c r="C187" s="146"/>
      <c r="D187" s="146"/>
      <c r="E187" s="146"/>
      <c r="F187" s="146"/>
      <c r="G187" s="146"/>
      <c r="H187" s="146"/>
    </row>
    <row r="188" spans="1:8" ht="12.75">
      <c r="A188" s="146"/>
      <c r="B188" s="146"/>
      <c r="C188" s="146"/>
      <c r="D188" s="146"/>
      <c r="E188" s="146"/>
      <c r="F188" s="146"/>
      <c r="G188" s="146"/>
      <c r="H188" s="146"/>
    </row>
    <row r="189" spans="1:8" ht="12.75">
      <c r="A189" s="146"/>
      <c r="B189" s="146"/>
      <c r="C189" s="146"/>
      <c r="D189" s="146"/>
      <c r="E189" s="146"/>
      <c r="F189" s="146"/>
      <c r="G189" s="146"/>
      <c r="H189" s="146"/>
    </row>
    <row r="190" spans="1:8" ht="12.75">
      <c r="A190" s="146"/>
      <c r="B190" s="146"/>
      <c r="C190" s="146"/>
      <c r="D190" s="146"/>
      <c r="E190" s="146"/>
      <c r="F190" s="146"/>
      <c r="G190" s="146"/>
      <c r="H190" s="146"/>
    </row>
    <row r="191" spans="1:8" ht="12.75">
      <c r="A191" s="146"/>
      <c r="B191" s="146"/>
      <c r="C191" s="146"/>
      <c r="D191" s="146"/>
      <c r="E191" s="146"/>
      <c r="F191" s="146"/>
      <c r="G191" s="146"/>
      <c r="H191" s="146"/>
    </row>
    <row r="192" spans="1:8" ht="12.75">
      <c r="A192" s="146"/>
      <c r="B192" s="146"/>
      <c r="C192" s="146"/>
      <c r="D192" s="146"/>
      <c r="E192" s="146"/>
      <c r="F192" s="146"/>
      <c r="G192" s="146"/>
      <c r="H192" s="146"/>
    </row>
    <row r="193" spans="1:8" ht="12.75">
      <c r="A193" s="146"/>
      <c r="B193" s="146"/>
      <c r="C193" s="146"/>
      <c r="D193" s="146"/>
      <c r="E193" s="146"/>
      <c r="F193" s="146"/>
      <c r="G193" s="146"/>
      <c r="H193" s="146"/>
    </row>
  </sheetData>
  <sheetProtection/>
  <mergeCells count="62">
    <mergeCell ref="L75:L76"/>
    <mergeCell ref="A6:J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L68:L69"/>
    <mergeCell ref="L71:L72"/>
    <mergeCell ref="B22:F22"/>
    <mergeCell ref="B23:F23"/>
    <mergeCell ref="B24:F24"/>
    <mergeCell ref="B25:F25"/>
    <mergeCell ref="B17:F17"/>
    <mergeCell ref="B18:F18"/>
    <mergeCell ref="B19:F19"/>
    <mergeCell ref="B20:F20"/>
    <mergeCell ref="B63:F63"/>
    <mergeCell ref="B64:F64"/>
    <mergeCell ref="B65:F65"/>
    <mergeCell ref="B66:F66"/>
    <mergeCell ref="A59:J59"/>
    <mergeCell ref="B60:F60"/>
    <mergeCell ref="B61:F61"/>
    <mergeCell ref="B62:F62"/>
    <mergeCell ref="B72:F72"/>
    <mergeCell ref="B73:F73"/>
    <mergeCell ref="B74:F74"/>
    <mergeCell ref="B75:F75"/>
    <mergeCell ref="B67:F67"/>
    <mergeCell ref="B68:F68"/>
    <mergeCell ref="B69:F69"/>
    <mergeCell ref="B71:F71"/>
    <mergeCell ref="B80:F80"/>
    <mergeCell ref="B81:F81"/>
    <mergeCell ref="B82:F82"/>
    <mergeCell ref="B83:F83"/>
    <mergeCell ref="B76:F76"/>
    <mergeCell ref="B77:F77"/>
    <mergeCell ref="B78:F78"/>
    <mergeCell ref="B79:F79"/>
    <mergeCell ref="B88:F88"/>
    <mergeCell ref="B89:F89"/>
    <mergeCell ref="B90:F90"/>
    <mergeCell ref="B91:F91"/>
    <mergeCell ref="B84:F84"/>
    <mergeCell ref="B85:F85"/>
    <mergeCell ref="B86:F86"/>
    <mergeCell ref="B87:F87"/>
    <mergeCell ref="B92:F92"/>
    <mergeCell ref="B98:F98"/>
    <mergeCell ref="B99:F99"/>
    <mergeCell ref="B100:F100"/>
    <mergeCell ref="B93:F93"/>
    <mergeCell ref="B95:F95"/>
    <mergeCell ref="B96:F96"/>
    <mergeCell ref="B97:F9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H1">
      <selection activeCell="M35" sqref="M35"/>
    </sheetView>
  </sheetViews>
  <sheetFormatPr defaultColWidth="9.140625" defaultRowHeight="12.75"/>
  <cols>
    <col min="1" max="1" width="0" style="0" hidden="1" customWidth="1"/>
    <col min="2" max="2" width="32.57421875" style="0" hidden="1" customWidth="1"/>
    <col min="3" max="3" width="17.00390625" style="0" hidden="1" customWidth="1"/>
    <col min="4" max="7" width="0" style="0" hidden="1" customWidth="1"/>
    <col min="8" max="8" width="3.00390625" style="0" bestFit="1" customWidth="1"/>
    <col min="9" max="9" width="10.8515625" style="0" customWidth="1"/>
    <col min="10" max="10" width="33.8515625" style="0" customWidth="1"/>
    <col min="11" max="11" width="26.140625" style="320" customWidth="1"/>
    <col min="13" max="13" width="15.00390625" style="0" bestFit="1" customWidth="1"/>
  </cols>
  <sheetData>
    <row r="1" spans="1:9" ht="12.75">
      <c r="A1" s="98" t="s">
        <v>560</v>
      </c>
      <c r="B1" s="98" t="s">
        <v>561</v>
      </c>
      <c r="C1" s="98" t="s">
        <v>562</v>
      </c>
      <c r="I1" s="218" t="s">
        <v>425</v>
      </c>
    </row>
    <row r="2" spans="2:9" ht="12.75">
      <c r="B2" s="98" t="s">
        <v>430</v>
      </c>
      <c r="C2" s="98" t="s">
        <v>430</v>
      </c>
      <c r="I2" s="218" t="s">
        <v>426</v>
      </c>
    </row>
    <row r="3" spans="2:11" ht="12.75">
      <c r="B3" s="98"/>
      <c r="C3" s="98"/>
      <c r="I3" s="218"/>
      <c r="K3" s="321" t="s">
        <v>427</v>
      </c>
    </row>
    <row r="4" spans="2:3" ht="12.75">
      <c r="B4" s="98"/>
      <c r="C4" s="98"/>
    </row>
    <row r="5" spans="2:11" ht="12.75">
      <c r="B5" s="146" t="s">
        <v>431</v>
      </c>
      <c r="C5" s="146" t="s">
        <v>431</v>
      </c>
      <c r="H5" s="228"/>
      <c r="I5" s="228"/>
      <c r="J5" s="53" t="s">
        <v>428</v>
      </c>
      <c r="K5" s="322" t="s">
        <v>429</v>
      </c>
    </row>
    <row r="6" spans="2:11" ht="12.75">
      <c r="B6" s="146" t="s">
        <v>563</v>
      </c>
      <c r="C6" s="146" t="s">
        <v>563</v>
      </c>
      <c r="H6" s="228">
        <v>1</v>
      </c>
      <c r="I6" s="53" t="s">
        <v>430</v>
      </c>
      <c r="J6" s="323" t="s">
        <v>431</v>
      </c>
      <c r="K6" s="324"/>
    </row>
    <row r="7" spans="2:11" ht="12.75">
      <c r="B7" s="146" t="s">
        <v>564</v>
      </c>
      <c r="C7" s="146" t="s">
        <v>564</v>
      </c>
      <c r="H7" s="228">
        <v>2</v>
      </c>
      <c r="I7" s="53" t="s">
        <v>430</v>
      </c>
      <c r="J7" s="323" t="s">
        <v>432</v>
      </c>
      <c r="K7" s="325"/>
    </row>
    <row r="8" spans="2:11" ht="12.75">
      <c r="B8" s="146" t="s">
        <v>434</v>
      </c>
      <c r="C8" s="146" t="s">
        <v>434</v>
      </c>
      <c r="H8" s="228">
        <v>3</v>
      </c>
      <c r="I8" s="53" t="s">
        <v>430</v>
      </c>
      <c r="J8" s="323" t="s">
        <v>433</v>
      </c>
      <c r="K8" s="325"/>
    </row>
    <row r="9" spans="2:11" ht="12.75">
      <c r="B9" s="146" t="s">
        <v>435</v>
      </c>
      <c r="C9" s="146" t="s">
        <v>435</v>
      </c>
      <c r="H9" s="228">
        <v>4</v>
      </c>
      <c r="I9" s="53" t="s">
        <v>430</v>
      </c>
      <c r="J9" s="323" t="s">
        <v>434</v>
      </c>
      <c r="K9" s="325"/>
    </row>
    <row r="10" spans="2:11" ht="12.75">
      <c r="B10" s="146" t="s">
        <v>436</v>
      </c>
      <c r="C10" s="146" t="s">
        <v>436</v>
      </c>
      <c r="H10" s="228">
        <v>5</v>
      </c>
      <c r="I10" s="53" t="s">
        <v>430</v>
      </c>
      <c r="J10" s="323" t="s">
        <v>435</v>
      </c>
      <c r="K10" s="325"/>
    </row>
    <row r="11" spans="2:11" ht="12.75">
      <c r="B11" s="146" t="s">
        <v>565</v>
      </c>
      <c r="C11" s="146" t="s">
        <v>565</v>
      </c>
      <c r="H11" s="228">
        <v>6</v>
      </c>
      <c r="I11" s="53" t="s">
        <v>430</v>
      </c>
      <c r="J11" s="323" t="s">
        <v>436</v>
      </c>
      <c r="K11" s="325"/>
    </row>
    <row r="12" spans="2:13" ht="12.75">
      <c r="B12" s="146" t="s">
        <v>438</v>
      </c>
      <c r="C12" s="146" t="s">
        <v>438</v>
      </c>
      <c r="H12" s="228">
        <v>7</v>
      </c>
      <c r="I12" s="53" t="s">
        <v>430</v>
      </c>
      <c r="J12" s="323" t="s">
        <v>437</v>
      </c>
      <c r="K12" s="325">
        <f>17720565-739786</f>
        <v>16980779</v>
      </c>
      <c r="M12" s="386"/>
    </row>
    <row r="13" spans="2:11" ht="12.75">
      <c r="B13" s="98" t="s">
        <v>441</v>
      </c>
      <c r="C13" s="98" t="s">
        <v>441</v>
      </c>
      <c r="H13" s="228">
        <v>8</v>
      </c>
      <c r="I13" s="53" t="s">
        <v>430</v>
      </c>
      <c r="J13" s="323" t="s">
        <v>438</v>
      </c>
      <c r="K13" s="325">
        <f>519551803+25116308+50498245+126224+846559+124000+28387876-K12-6070</f>
        <v>607664166</v>
      </c>
    </row>
    <row r="14" spans="2:11" ht="12.75">
      <c r="B14" s="98"/>
      <c r="C14" s="98"/>
      <c r="H14" s="53" t="s">
        <v>439</v>
      </c>
      <c r="I14" s="53"/>
      <c r="J14" s="53" t="s">
        <v>440</v>
      </c>
      <c r="K14" s="322">
        <f>SUM(K6:K13)</f>
        <v>624644945</v>
      </c>
    </row>
    <row r="15" spans="2:11" ht="12.75">
      <c r="B15" s="146" t="s">
        <v>566</v>
      </c>
      <c r="C15" s="146" t="s">
        <v>566</v>
      </c>
      <c r="H15" s="228">
        <v>9</v>
      </c>
      <c r="I15" s="53" t="s">
        <v>441</v>
      </c>
      <c r="J15" s="323" t="s">
        <v>442</v>
      </c>
      <c r="K15" s="325"/>
    </row>
    <row r="16" spans="2:11" ht="12.75">
      <c r="B16" s="146" t="s">
        <v>443</v>
      </c>
      <c r="C16" s="146" t="s">
        <v>443</v>
      </c>
      <c r="H16" s="228">
        <v>10</v>
      </c>
      <c r="I16" s="53" t="s">
        <v>441</v>
      </c>
      <c r="J16" s="323" t="s">
        <v>443</v>
      </c>
      <c r="K16" s="324"/>
    </row>
    <row r="17" spans="2:11" ht="12.75">
      <c r="B17" s="146" t="s">
        <v>444</v>
      </c>
      <c r="C17" s="146" t="s">
        <v>444</v>
      </c>
      <c r="H17" s="228">
        <v>11</v>
      </c>
      <c r="I17" s="53" t="s">
        <v>441</v>
      </c>
      <c r="J17" s="323" t="s">
        <v>444</v>
      </c>
      <c r="K17" s="325"/>
    </row>
    <row r="18" spans="2:11" ht="12.75">
      <c r="B18" s="146"/>
      <c r="C18" s="146"/>
      <c r="H18" s="53" t="s">
        <v>445</v>
      </c>
      <c r="I18" s="53"/>
      <c r="J18" s="53" t="s">
        <v>446</v>
      </c>
      <c r="K18" s="322">
        <f>K15+K16+K17</f>
        <v>0</v>
      </c>
    </row>
    <row r="19" spans="2:11" ht="12.75">
      <c r="B19" s="98" t="s">
        <v>447</v>
      </c>
      <c r="C19" s="98" t="s">
        <v>447</v>
      </c>
      <c r="H19" s="228">
        <v>12</v>
      </c>
      <c r="I19" s="53" t="s">
        <v>447</v>
      </c>
      <c r="J19" s="323" t="s">
        <v>448</v>
      </c>
      <c r="K19" s="325">
        <f aca="true" t="shared" si="0" ref="K19:K27">SUM(K18)</f>
        <v>0</v>
      </c>
    </row>
    <row r="20" spans="2:11" ht="12.75">
      <c r="B20" s="146" t="s">
        <v>565</v>
      </c>
      <c r="C20" s="146" t="s">
        <v>565</v>
      </c>
      <c r="H20" s="228">
        <v>13</v>
      </c>
      <c r="I20" s="53" t="s">
        <v>447</v>
      </c>
      <c r="J20" s="53" t="s">
        <v>449</v>
      </c>
      <c r="K20" s="325">
        <f t="shared" si="0"/>
        <v>0</v>
      </c>
    </row>
    <row r="21" spans="2:11" ht="12.75">
      <c r="B21" s="146" t="s">
        <v>567</v>
      </c>
      <c r="C21" s="146" t="s">
        <v>567</v>
      </c>
      <c r="H21" s="228">
        <v>14</v>
      </c>
      <c r="I21" s="53" t="s">
        <v>447</v>
      </c>
      <c r="J21" s="323" t="s">
        <v>450</v>
      </c>
      <c r="K21" s="325">
        <f>SUM(K20)</f>
        <v>0</v>
      </c>
    </row>
    <row r="22" spans="2:11" ht="12.75">
      <c r="B22" s="146" t="s">
        <v>450</v>
      </c>
      <c r="C22" s="146" t="s">
        <v>450</v>
      </c>
      <c r="H22" s="228">
        <v>15</v>
      </c>
      <c r="I22" s="53" t="s">
        <v>447</v>
      </c>
      <c r="J22" s="323" t="s">
        <v>451</v>
      </c>
      <c r="K22" s="325">
        <f t="shared" si="0"/>
        <v>0</v>
      </c>
    </row>
    <row r="23" spans="2:11" ht="12.75">
      <c r="B23" s="146" t="s">
        <v>451</v>
      </c>
      <c r="C23" s="146" t="s">
        <v>451</v>
      </c>
      <c r="H23" s="228">
        <v>16</v>
      </c>
      <c r="I23" s="53" t="s">
        <v>447</v>
      </c>
      <c r="J23" s="323" t="s">
        <v>452</v>
      </c>
      <c r="K23" s="325">
        <f t="shared" si="0"/>
        <v>0</v>
      </c>
    </row>
    <row r="24" spans="2:11" ht="12.75">
      <c r="B24" s="146" t="s">
        <v>568</v>
      </c>
      <c r="C24" s="146" t="s">
        <v>568</v>
      </c>
      <c r="H24" s="228">
        <v>17</v>
      </c>
      <c r="I24" s="53" t="s">
        <v>447</v>
      </c>
      <c r="J24" s="323" t="s">
        <v>453</v>
      </c>
      <c r="K24" s="325">
        <f t="shared" si="0"/>
        <v>0</v>
      </c>
    </row>
    <row r="25" spans="2:11" ht="12.75">
      <c r="B25" s="146" t="s">
        <v>453</v>
      </c>
      <c r="C25" s="146" t="s">
        <v>453</v>
      </c>
      <c r="H25" s="228">
        <v>18</v>
      </c>
      <c r="I25" s="53" t="s">
        <v>447</v>
      </c>
      <c r="J25" s="323" t="s">
        <v>454</v>
      </c>
      <c r="K25" s="325">
        <f t="shared" si="0"/>
        <v>0</v>
      </c>
    </row>
    <row r="26" spans="2:11" ht="12.75">
      <c r="B26" s="146" t="s">
        <v>569</v>
      </c>
      <c r="C26" s="146" t="s">
        <v>569</v>
      </c>
      <c r="H26" s="228">
        <v>19</v>
      </c>
      <c r="I26" s="53" t="s">
        <v>447</v>
      </c>
      <c r="J26" s="323" t="s">
        <v>455</v>
      </c>
      <c r="K26" s="325">
        <f t="shared" si="0"/>
        <v>0</v>
      </c>
    </row>
    <row r="27" spans="2:11" ht="12.75">
      <c r="B27" s="146"/>
      <c r="C27" s="146"/>
      <c r="H27" s="53" t="s">
        <v>456</v>
      </c>
      <c r="I27" s="53"/>
      <c r="J27" s="53" t="s">
        <v>457</v>
      </c>
      <c r="K27" s="322">
        <f t="shared" si="0"/>
        <v>0</v>
      </c>
    </row>
    <row r="28" spans="2:11" ht="12.75">
      <c r="B28" s="146" t="s">
        <v>455</v>
      </c>
      <c r="C28" s="146" t="s">
        <v>455</v>
      </c>
      <c r="H28" s="228">
        <v>20</v>
      </c>
      <c r="I28" s="53" t="s">
        <v>458</v>
      </c>
      <c r="J28" s="323" t="s">
        <v>459</v>
      </c>
      <c r="K28" s="325"/>
    </row>
    <row r="29" spans="2:11" ht="12.75">
      <c r="B29" s="98" t="s">
        <v>458</v>
      </c>
      <c r="C29" s="98" t="s">
        <v>458</v>
      </c>
      <c r="H29" s="228">
        <v>21</v>
      </c>
      <c r="I29" s="53" t="s">
        <v>458</v>
      </c>
      <c r="J29" s="323" t="s">
        <v>460</v>
      </c>
      <c r="K29" s="324"/>
    </row>
    <row r="30" spans="2:11" ht="12.75">
      <c r="B30" s="146" t="s">
        <v>570</v>
      </c>
      <c r="C30" s="146" t="s">
        <v>570</v>
      </c>
      <c r="H30" s="228">
        <v>22</v>
      </c>
      <c r="I30" s="53" t="s">
        <v>458</v>
      </c>
      <c r="J30" s="323" t="s">
        <v>461</v>
      </c>
      <c r="K30" s="324"/>
    </row>
    <row r="31" spans="2:11" ht="12.75">
      <c r="B31" s="146" t="s">
        <v>460</v>
      </c>
      <c r="C31" s="146" t="s">
        <v>460</v>
      </c>
      <c r="H31" s="228">
        <v>23</v>
      </c>
      <c r="I31" s="53" t="s">
        <v>458</v>
      </c>
      <c r="J31" s="323" t="s">
        <v>462</v>
      </c>
      <c r="K31" s="325"/>
    </row>
    <row r="32" spans="2:11" ht="12.75">
      <c r="B32" s="146"/>
      <c r="C32" s="146"/>
      <c r="H32" s="53" t="s">
        <v>463</v>
      </c>
      <c r="I32" s="53"/>
      <c r="J32" s="53" t="s">
        <v>464</v>
      </c>
      <c r="K32" s="325">
        <f>K28+K29+K30+K31</f>
        <v>0</v>
      </c>
    </row>
    <row r="33" spans="2:11" ht="12.75">
      <c r="B33" s="146" t="s">
        <v>461</v>
      </c>
      <c r="C33" s="146" t="s">
        <v>461</v>
      </c>
      <c r="H33" s="228">
        <v>24</v>
      </c>
      <c r="I33" s="53" t="s">
        <v>465</v>
      </c>
      <c r="J33" s="323" t="s">
        <v>466</v>
      </c>
      <c r="K33" s="325"/>
    </row>
    <row r="34" spans="2:11" ht="12.75">
      <c r="B34" s="146" t="s">
        <v>462</v>
      </c>
      <c r="C34" s="146" t="s">
        <v>462</v>
      </c>
      <c r="H34" s="228">
        <v>25</v>
      </c>
      <c r="I34" s="53" t="s">
        <v>465</v>
      </c>
      <c r="J34" s="323" t="s">
        <v>467</v>
      </c>
      <c r="K34" s="325"/>
    </row>
    <row r="35" spans="8:11" ht="12.75">
      <c r="H35" s="228">
        <v>26</v>
      </c>
      <c r="I35" s="53" t="s">
        <v>465</v>
      </c>
      <c r="J35" s="323" t="s">
        <v>468</v>
      </c>
      <c r="K35" s="325"/>
    </row>
    <row r="36" spans="2:11" ht="12.75">
      <c r="B36" s="98" t="s">
        <v>465</v>
      </c>
      <c r="C36" s="98" t="s">
        <v>465</v>
      </c>
      <c r="H36" s="228">
        <v>27</v>
      </c>
      <c r="I36" s="53" t="s">
        <v>465</v>
      </c>
      <c r="J36" s="323" t="s">
        <v>469</v>
      </c>
      <c r="K36" s="325"/>
    </row>
    <row r="37" spans="2:11" ht="12.75">
      <c r="B37" s="146" t="s">
        <v>466</v>
      </c>
      <c r="C37" s="146" t="s">
        <v>466</v>
      </c>
      <c r="H37" s="228">
        <v>28</v>
      </c>
      <c r="I37" s="53" t="s">
        <v>465</v>
      </c>
      <c r="J37" s="323" t="s">
        <v>470</v>
      </c>
      <c r="K37" s="324"/>
    </row>
    <row r="38" spans="2:11" ht="12.75">
      <c r="B38" s="146" t="s">
        <v>467</v>
      </c>
      <c r="C38" s="146" t="s">
        <v>467</v>
      </c>
      <c r="H38" s="228">
        <v>29</v>
      </c>
      <c r="I38" s="53" t="s">
        <v>465</v>
      </c>
      <c r="J38" s="326" t="s">
        <v>471</v>
      </c>
      <c r="K38" s="325"/>
    </row>
    <row r="39" spans="2:11" ht="12.75">
      <c r="B39" s="146" t="s">
        <v>468</v>
      </c>
      <c r="C39" s="146" t="s">
        <v>468</v>
      </c>
      <c r="H39" s="228">
        <v>30</v>
      </c>
      <c r="I39" s="53" t="s">
        <v>465</v>
      </c>
      <c r="J39" s="323" t="s">
        <v>472</v>
      </c>
      <c r="K39" s="325"/>
    </row>
    <row r="40" spans="2:11" ht="12.75">
      <c r="B40" s="146" t="s">
        <v>469</v>
      </c>
      <c r="C40" s="146" t="s">
        <v>469</v>
      </c>
      <c r="H40" s="228">
        <v>31</v>
      </c>
      <c r="I40" s="53" t="s">
        <v>465</v>
      </c>
      <c r="J40" s="323" t="s">
        <v>473</v>
      </c>
      <c r="K40" s="325"/>
    </row>
    <row r="41" spans="2:11" ht="12.75">
      <c r="B41" s="146"/>
      <c r="C41" s="146"/>
      <c r="H41" s="228">
        <v>32</v>
      </c>
      <c r="I41" s="53" t="s">
        <v>465</v>
      </c>
      <c r="J41" s="323" t="s">
        <v>474</v>
      </c>
      <c r="K41" s="325">
        <f>739786</f>
        <v>739786</v>
      </c>
    </row>
    <row r="42" spans="2:11" ht="12.75">
      <c r="B42" s="146" t="s">
        <v>470</v>
      </c>
      <c r="C42" s="146" t="s">
        <v>470</v>
      </c>
      <c r="H42" s="228">
        <v>33</v>
      </c>
      <c r="I42" s="53" t="s">
        <v>465</v>
      </c>
      <c r="J42" s="323" t="s">
        <v>475</v>
      </c>
      <c r="K42" s="325"/>
    </row>
    <row r="43" spans="2:11" ht="12.75">
      <c r="B43" s="146" t="s">
        <v>471</v>
      </c>
      <c r="C43" s="146" t="s">
        <v>471</v>
      </c>
      <c r="H43" s="327">
        <v>34</v>
      </c>
      <c r="I43" s="53" t="s">
        <v>465</v>
      </c>
      <c r="J43" s="323" t="s">
        <v>476</v>
      </c>
      <c r="K43" s="325">
        <f>43703485-K41+8375405-28511876+1</f>
        <v>22827229</v>
      </c>
    </row>
    <row r="44" spans="2:11" ht="12.75">
      <c r="B44" s="146" t="s">
        <v>472</v>
      </c>
      <c r="C44" s="146" t="s">
        <v>472</v>
      </c>
      <c r="H44" s="53" t="s">
        <v>477</v>
      </c>
      <c r="I44" s="228"/>
      <c r="J44" s="53" t="s">
        <v>478</v>
      </c>
      <c r="K44" s="322">
        <f>SUM(K33:K43)</f>
        <v>23567015</v>
      </c>
    </row>
    <row r="45" spans="2:13" ht="12.75">
      <c r="B45" s="146" t="s">
        <v>473</v>
      </c>
      <c r="C45" s="146" t="s">
        <v>473</v>
      </c>
      <c r="H45" s="228"/>
      <c r="I45" s="228"/>
      <c r="J45" s="53" t="s">
        <v>479</v>
      </c>
      <c r="K45" s="322">
        <f>K14+K18+K27+K32+K44</f>
        <v>648211960</v>
      </c>
      <c r="M45" s="386"/>
    </row>
    <row r="46" spans="2:3" ht="12.75">
      <c r="B46" s="146" t="s">
        <v>476</v>
      </c>
      <c r="C46" s="146" t="s">
        <v>476</v>
      </c>
    </row>
    <row r="48" spans="9:11" ht="12.75">
      <c r="I48" s="328" t="s">
        <v>574</v>
      </c>
      <c r="J48" s="230"/>
      <c r="K48" s="322" t="s">
        <v>480</v>
      </c>
    </row>
    <row r="49" spans="9:11" ht="12.75">
      <c r="I49" s="110"/>
      <c r="J49" s="329"/>
      <c r="K49" s="330"/>
    </row>
    <row r="50" spans="9:11" ht="12.75">
      <c r="I50" s="331" t="s">
        <v>481</v>
      </c>
      <c r="J50" s="331"/>
      <c r="K50" s="325"/>
    </row>
    <row r="51" spans="9:11" ht="12.75">
      <c r="I51" s="228" t="s">
        <v>571</v>
      </c>
      <c r="J51" s="228"/>
      <c r="K51" s="325">
        <v>2</v>
      </c>
    </row>
    <row r="52" spans="9:11" ht="12.75">
      <c r="I52" s="228" t="s">
        <v>482</v>
      </c>
      <c r="J52" s="228"/>
      <c r="K52" s="325">
        <v>8</v>
      </c>
    </row>
    <row r="53" spans="9:11" ht="12.75">
      <c r="I53" s="228" t="s">
        <v>572</v>
      </c>
      <c r="J53" s="228"/>
      <c r="K53" s="325">
        <v>6</v>
      </c>
    </row>
    <row r="54" spans="9:11" ht="12.75">
      <c r="I54" s="332" t="s">
        <v>573</v>
      </c>
      <c r="J54" s="230"/>
      <c r="K54" s="325">
        <v>4</v>
      </c>
    </row>
    <row r="55" spans="9:11" ht="12.75">
      <c r="I55" s="333"/>
      <c r="J55" s="275" t="s">
        <v>0</v>
      </c>
      <c r="K55" s="334">
        <v>20</v>
      </c>
    </row>
    <row r="57" ht="12.75">
      <c r="K57" s="321" t="s">
        <v>324</v>
      </c>
    </row>
    <row r="58" ht="12.75">
      <c r="K58" s="320" t="s">
        <v>483</v>
      </c>
    </row>
    <row r="59" ht="12.75">
      <c r="I59" s="98" t="s">
        <v>484</v>
      </c>
    </row>
    <row r="61" ht="12.75">
      <c r="I61" s="98"/>
    </row>
    <row r="62" spans="8:14" ht="12.75">
      <c r="H62" s="98"/>
      <c r="I62" s="98"/>
      <c r="J62" s="98"/>
      <c r="K62" s="321"/>
      <c r="L62" s="98"/>
      <c r="M62" s="98"/>
      <c r="N62" s="98"/>
    </row>
    <row r="63" spans="8:14" ht="12.75">
      <c r="H63" s="98"/>
      <c r="I63" s="98"/>
      <c r="J63" s="98" t="s">
        <v>575</v>
      </c>
      <c r="K63" s="321"/>
      <c r="L63" s="98"/>
      <c r="M63" s="98"/>
      <c r="N63" s="98"/>
    </row>
    <row r="64" spans="9:14" ht="12.75">
      <c r="I64" s="98"/>
      <c r="J64" s="98"/>
      <c r="K64" s="321"/>
      <c r="L64" s="98"/>
      <c r="M64" s="98"/>
      <c r="N64" s="98"/>
    </row>
    <row r="65" spans="9:14" ht="12.75">
      <c r="I65" s="98"/>
      <c r="J65" s="98"/>
      <c r="K65" s="321"/>
      <c r="L65" s="98"/>
      <c r="M65" s="98"/>
      <c r="N65" s="98"/>
    </row>
    <row r="66" spans="8:9" ht="12.75">
      <c r="H66" s="98"/>
      <c r="I66" s="98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L51"/>
  <sheetViews>
    <sheetView zoomScalePageLayoutView="0" workbookViewId="0" topLeftCell="A25">
      <selection activeCell="D46" sqref="D46"/>
    </sheetView>
  </sheetViews>
  <sheetFormatPr defaultColWidth="9.140625" defaultRowHeight="12.75"/>
  <cols>
    <col min="3" max="3" width="14.7109375" style="0" customWidth="1"/>
    <col min="4" max="4" width="12.140625" style="0" customWidth="1"/>
    <col min="5" max="5" width="10.28125" style="0" customWidth="1"/>
    <col min="6" max="6" width="11.140625" style="0" customWidth="1"/>
    <col min="7" max="7" width="10.00390625" style="0" customWidth="1"/>
    <col min="8" max="8" width="10.8515625" style="0" customWidth="1"/>
    <col min="10" max="11" width="12.00390625" style="0" customWidth="1"/>
  </cols>
  <sheetData>
    <row r="2" spans="2:7" ht="15.75">
      <c r="B2" s="54"/>
      <c r="C2" s="55" t="s">
        <v>247</v>
      </c>
      <c r="D2" s="55"/>
      <c r="E2" s="55"/>
      <c r="F2" s="55"/>
      <c r="G2" s="55"/>
    </row>
    <row r="4" spans="2:11" ht="12.75">
      <c r="B4" s="53" t="s">
        <v>63</v>
      </c>
      <c r="C4" s="53" t="s">
        <v>64</v>
      </c>
      <c r="D4" s="53" t="s">
        <v>80</v>
      </c>
      <c r="E4" s="53" t="s">
        <v>67</v>
      </c>
      <c r="F4" s="53">
        <v>21.7</v>
      </c>
      <c r="G4" s="53">
        <v>11.2</v>
      </c>
      <c r="H4" s="53" t="s">
        <v>65</v>
      </c>
      <c r="I4" s="53" t="s">
        <v>206</v>
      </c>
      <c r="J4" s="53" t="s">
        <v>66</v>
      </c>
      <c r="K4" s="341"/>
    </row>
    <row r="5" spans="2:11" ht="12.75">
      <c r="B5" s="79" t="s">
        <v>207</v>
      </c>
      <c r="C5" s="79">
        <v>1691583</v>
      </c>
      <c r="D5" s="79"/>
      <c r="E5" s="79">
        <f>F5+G5</f>
        <v>385092.6</v>
      </c>
      <c r="F5" s="79">
        <f>207039+46929/2</f>
        <v>230503.5</v>
      </c>
      <c r="G5" s="79">
        <f>131124.6+46929/2</f>
        <v>154589.1</v>
      </c>
      <c r="H5" s="79">
        <v>168158.3</v>
      </c>
      <c r="I5" s="79"/>
      <c r="J5" s="79">
        <f>C5-G5-H5-I5</f>
        <v>1368835.5999999999</v>
      </c>
      <c r="K5" s="339"/>
    </row>
    <row r="6" spans="2:11" ht="12.75">
      <c r="B6" s="79" t="s">
        <v>208</v>
      </c>
      <c r="C6" s="79">
        <v>1721703</v>
      </c>
      <c r="D6" s="79"/>
      <c r="E6" s="79">
        <f aca="true" t="shared" si="0" ref="E6:E16">F6+G6</f>
        <v>402795.6</v>
      </c>
      <c r="F6" s="79">
        <f>216557+49086/2</f>
        <v>241100</v>
      </c>
      <c r="G6" s="79">
        <f>137152.6+49086/2</f>
        <v>161695.6</v>
      </c>
      <c r="H6" s="79">
        <v>171170.3</v>
      </c>
      <c r="I6" s="79"/>
      <c r="J6" s="79">
        <f aca="true" t="shared" si="1" ref="J6:J14">C6-G6-H6-I6</f>
        <v>1388837.0999999999</v>
      </c>
      <c r="K6" s="339"/>
    </row>
    <row r="7" spans="2:11" ht="12.75">
      <c r="B7" s="79" t="s">
        <v>209</v>
      </c>
      <c r="C7" s="79">
        <v>1718822</v>
      </c>
      <c r="D7" s="79"/>
      <c r="E7" s="79">
        <f t="shared" si="0"/>
        <v>401992.3</v>
      </c>
      <c r="F7" s="79">
        <f>216125+48988.3/2</f>
        <v>240619.15</v>
      </c>
      <c r="G7" s="79">
        <f>136879+48988.3/2</f>
        <v>161373.15</v>
      </c>
      <c r="H7" s="79">
        <v>169882</v>
      </c>
      <c r="I7" s="79"/>
      <c r="J7" s="79">
        <f t="shared" si="1"/>
        <v>1387566.85</v>
      </c>
      <c r="K7" s="339"/>
    </row>
    <row r="8" spans="2:12" ht="12.75">
      <c r="B8" s="79" t="s">
        <v>210</v>
      </c>
      <c r="C8" s="79">
        <f>1785406</f>
        <v>1785406</v>
      </c>
      <c r="D8" s="79"/>
      <c r="E8" s="79">
        <f t="shared" si="0"/>
        <v>420568.1</v>
      </c>
      <c r="F8" s="79">
        <f>226112+51252.1/2</f>
        <v>251738.05</v>
      </c>
      <c r="G8" s="79">
        <f>143204+51252.1/2</f>
        <v>168830.05</v>
      </c>
      <c r="H8" s="79">
        <v>177541</v>
      </c>
      <c r="I8" s="79"/>
      <c r="J8" s="79">
        <f t="shared" si="1"/>
        <v>1439034.95</v>
      </c>
      <c r="K8" s="339"/>
      <c r="L8" s="26"/>
    </row>
    <row r="9" spans="2:11" ht="12.75">
      <c r="B9" s="79" t="s">
        <v>211</v>
      </c>
      <c r="C9" s="79">
        <v>1804387</v>
      </c>
      <c r="D9" s="79"/>
      <c r="E9" s="79">
        <f t="shared" si="0"/>
        <v>415374.1</v>
      </c>
      <c r="F9" s="79">
        <f>223319+50619.1/2</f>
        <v>248628.55</v>
      </c>
      <c r="G9" s="79">
        <f>141436+50619.1/2</f>
        <v>166745.55</v>
      </c>
      <c r="H9" s="79">
        <v>179439</v>
      </c>
      <c r="I9" s="79"/>
      <c r="J9" s="79">
        <f t="shared" si="1"/>
        <v>1458202.45</v>
      </c>
      <c r="K9" s="339"/>
    </row>
    <row r="10" spans="2:11" ht="12.75">
      <c r="B10" s="99" t="s">
        <v>212</v>
      </c>
      <c r="C10" s="79">
        <v>1767668</v>
      </c>
      <c r="D10" s="79"/>
      <c r="E10" s="79">
        <f t="shared" si="0"/>
        <v>415620</v>
      </c>
      <c r="F10" s="79">
        <f>223452+50649/2</f>
        <v>248776.5</v>
      </c>
      <c r="G10" s="79">
        <f>141519+50649/2</f>
        <v>166843.5</v>
      </c>
      <c r="H10" s="79">
        <v>175767</v>
      </c>
      <c r="I10" s="79"/>
      <c r="J10" s="79">
        <f t="shared" si="1"/>
        <v>1425057.5</v>
      </c>
      <c r="K10" s="339"/>
    </row>
    <row r="11" spans="2:11" ht="12.75">
      <c r="B11" s="99" t="s">
        <v>213</v>
      </c>
      <c r="C11" s="79">
        <v>1741530</v>
      </c>
      <c r="D11" s="79"/>
      <c r="E11" s="79">
        <f t="shared" si="0"/>
        <v>412570</v>
      </c>
      <c r="F11" s="79">
        <f>221812+50277/2</f>
        <v>246950.5</v>
      </c>
      <c r="G11" s="79">
        <f>140481+50277/2</f>
        <v>165619.5</v>
      </c>
      <c r="H11" s="79">
        <v>173153</v>
      </c>
      <c r="I11" s="79"/>
      <c r="J11" s="79">
        <f t="shared" si="1"/>
        <v>1402757.5</v>
      </c>
      <c r="K11" s="339"/>
    </row>
    <row r="12" spans="2:11" ht="12.75">
      <c r="B12" s="99" t="s">
        <v>214</v>
      </c>
      <c r="C12" s="79">
        <f>1636581</f>
        <v>1636581</v>
      </c>
      <c r="D12" s="79"/>
      <c r="E12" s="79">
        <f t="shared" si="0"/>
        <v>383289</v>
      </c>
      <c r="F12" s="79">
        <f>206069+46709/2</f>
        <v>229423.5</v>
      </c>
      <c r="G12" s="79">
        <f>130511+46709/2</f>
        <v>153865.5</v>
      </c>
      <c r="H12" s="79">
        <v>162658</v>
      </c>
      <c r="I12" s="79"/>
      <c r="J12" s="79">
        <f t="shared" si="1"/>
        <v>1320057.5</v>
      </c>
      <c r="K12" s="339"/>
    </row>
    <row r="13" spans="2:11" ht="12.75">
      <c r="B13" s="79" t="s">
        <v>81</v>
      </c>
      <c r="C13" s="79">
        <f>8628445</f>
        <v>8628445</v>
      </c>
      <c r="D13" s="79"/>
      <c r="E13" s="79">
        <f t="shared" si="0"/>
        <v>378819</v>
      </c>
      <c r="F13" s="79">
        <f>203666+46164/2</f>
        <v>226748</v>
      </c>
      <c r="G13" s="79">
        <f>128989+46164/2</f>
        <v>152071</v>
      </c>
      <c r="H13" s="79">
        <v>861845</v>
      </c>
      <c r="I13" s="79"/>
      <c r="J13" s="79">
        <f t="shared" si="1"/>
        <v>7614529</v>
      </c>
      <c r="K13" s="339"/>
    </row>
    <row r="14" spans="2:11" ht="12.75">
      <c r="B14" s="79" t="s">
        <v>82</v>
      </c>
      <c r="C14" s="79">
        <v>1583380</v>
      </c>
      <c r="D14" s="79"/>
      <c r="E14" s="79">
        <f t="shared" si="0"/>
        <v>368445</v>
      </c>
      <c r="F14" s="79">
        <f>198089+44900/2</f>
        <v>220539</v>
      </c>
      <c r="G14" s="79">
        <f>125456+44900/2</f>
        <v>147906</v>
      </c>
      <c r="H14" s="79">
        <f>157338</f>
        <v>157338</v>
      </c>
      <c r="I14" s="79"/>
      <c r="J14" s="79">
        <f t="shared" si="1"/>
        <v>1278136</v>
      </c>
      <c r="K14" s="339"/>
    </row>
    <row r="15" spans="2:11" ht="12.75">
      <c r="B15" s="79" t="s">
        <v>215</v>
      </c>
      <c r="C15" s="79">
        <v>1585820</v>
      </c>
      <c r="D15" s="79"/>
      <c r="E15" s="79">
        <f t="shared" si="0"/>
        <v>369126</v>
      </c>
      <c r="F15" s="79">
        <f>198455+44983/2</f>
        <v>220946.5</v>
      </c>
      <c r="G15" s="79">
        <f>125688+44983/2</f>
        <v>148179.5</v>
      </c>
      <c r="H15" s="79">
        <f>157582</f>
        <v>157582</v>
      </c>
      <c r="I15" s="79"/>
      <c r="J15" s="79">
        <f>C15-G15-H15-I15</f>
        <v>1280058.5</v>
      </c>
      <c r="K15" s="339"/>
    </row>
    <row r="16" spans="2:11" ht="12.75">
      <c r="B16" s="79" t="s">
        <v>216</v>
      </c>
      <c r="C16" s="79">
        <v>1582393</v>
      </c>
      <c r="D16" s="79"/>
      <c r="E16" s="79">
        <f t="shared" si="0"/>
        <v>368171</v>
      </c>
      <c r="F16" s="79">
        <f>197941+44867/2</f>
        <v>220374.5</v>
      </c>
      <c r="G16" s="79">
        <f>125363+44867/2</f>
        <v>147796.5</v>
      </c>
      <c r="H16" s="79">
        <v>157239</v>
      </c>
      <c r="I16" s="79"/>
      <c r="J16" s="79">
        <f>C16-G16-H16-I16</f>
        <v>1277357.5</v>
      </c>
      <c r="K16" s="339"/>
    </row>
    <row r="17" spans="2:11" ht="12.75">
      <c r="B17" s="56" t="s">
        <v>144</v>
      </c>
      <c r="C17" s="56">
        <f>SUM(C5:C16)</f>
        <v>27247718</v>
      </c>
      <c r="D17" s="56">
        <f aca="true" t="shared" si="2" ref="D17:J17">SUM(D5:D16)</f>
        <v>0</v>
      </c>
      <c r="E17" s="56">
        <f t="shared" si="2"/>
        <v>4721862.7</v>
      </c>
      <c r="F17" s="56">
        <f t="shared" si="2"/>
        <v>2826347.75</v>
      </c>
      <c r="G17" s="56">
        <f t="shared" si="2"/>
        <v>1895514.95</v>
      </c>
      <c r="H17" s="56">
        <f t="shared" si="2"/>
        <v>2711772.6</v>
      </c>
      <c r="I17" s="56">
        <f t="shared" si="2"/>
        <v>0</v>
      </c>
      <c r="J17" s="56">
        <f t="shared" si="2"/>
        <v>22640430.45</v>
      </c>
      <c r="K17" s="342"/>
    </row>
    <row r="20" ht="12.75">
      <c r="C20" s="26">
        <f>C17+F17</f>
        <v>30074065.75</v>
      </c>
    </row>
    <row r="21" ht="12.75">
      <c r="C21">
        <v>50000</v>
      </c>
    </row>
    <row r="22" ht="12.75">
      <c r="C22" s="26">
        <f>SUM(C20:C21)</f>
        <v>30124065.75</v>
      </c>
    </row>
    <row r="28" ht="12.75">
      <c r="D28" t="s">
        <v>511</v>
      </c>
    </row>
    <row r="30" spans="3:12" ht="12.75">
      <c r="C30" t="s">
        <v>63</v>
      </c>
      <c r="D30" t="s">
        <v>64</v>
      </c>
      <c r="E30" t="s">
        <v>80</v>
      </c>
      <c r="F30" t="s">
        <v>67</v>
      </c>
      <c r="G30">
        <v>21.7</v>
      </c>
      <c r="H30">
        <v>11.2</v>
      </c>
      <c r="I30" t="s">
        <v>65</v>
      </c>
      <c r="J30" t="s">
        <v>512</v>
      </c>
      <c r="K30" t="s">
        <v>512</v>
      </c>
      <c r="L30" t="s">
        <v>66</v>
      </c>
    </row>
    <row r="31" spans="3:12" ht="12.75">
      <c r="C31" t="s">
        <v>498</v>
      </c>
      <c r="D31" s="240">
        <v>1585820</v>
      </c>
      <c r="F31" s="240">
        <f>369126</f>
        <v>369126</v>
      </c>
      <c r="G31" s="240">
        <f>198455+44983/2</f>
        <v>220946.5</v>
      </c>
      <c r="H31" s="240">
        <f>125688+44983/2</f>
        <v>148179.5</v>
      </c>
      <c r="I31" s="240">
        <v>157582</v>
      </c>
      <c r="J31">
        <v>369126</v>
      </c>
      <c r="K31">
        <v>157582</v>
      </c>
      <c r="L31" s="240"/>
    </row>
    <row r="32" spans="3:12" ht="12.75">
      <c r="C32" t="s">
        <v>499</v>
      </c>
      <c r="D32" s="240">
        <v>1584759</v>
      </c>
      <c r="F32" s="240">
        <f>368830</f>
        <v>368830</v>
      </c>
      <c r="G32" s="240">
        <f>198296+44947/2</f>
        <v>220769.5</v>
      </c>
      <c r="H32" s="240">
        <f>125587+44947/2</f>
        <v>148060.5</v>
      </c>
      <c r="I32" s="240">
        <v>157476</v>
      </c>
      <c r="J32">
        <v>368830</v>
      </c>
      <c r="K32">
        <v>157476</v>
      </c>
      <c r="L32" s="240"/>
    </row>
    <row r="33" spans="3:12" ht="12.75">
      <c r="C33" t="s">
        <v>500</v>
      </c>
      <c r="D33" s="240">
        <v>1578608</v>
      </c>
      <c r="F33" s="240">
        <v>367114</v>
      </c>
      <c r="G33" s="240">
        <f>197373+44738/2</f>
        <v>219742</v>
      </c>
      <c r="H33" s="240">
        <f>125003+44738/2</f>
        <v>147372</v>
      </c>
      <c r="I33" s="240">
        <v>157861</v>
      </c>
      <c r="J33">
        <v>367114</v>
      </c>
      <c r="K33">
        <v>157861</v>
      </c>
      <c r="L33" s="240"/>
    </row>
    <row r="34" spans="3:12" ht="12.75">
      <c r="C34" t="s">
        <v>501</v>
      </c>
      <c r="D34" s="240">
        <v>1592606</v>
      </c>
      <c r="F34" s="240">
        <v>369422</v>
      </c>
      <c r="G34" s="240">
        <f>198614+45019/2</f>
        <v>221123.5</v>
      </c>
      <c r="H34" s="240">
        <f>125789+45019/2</f>
        <v>148298.5</v>
      </c>
      <c r="I34" s="240">
        <v>158261</v>
      </c>
      <c r="J34">
        <v>369422</v>
      </c>
      <c r="K34">
        <v>158261</v>
      </c>
      <c r="L34" s="240"/>
    </row>
    <row r="35" spans="3:12" ht="12.75">
      <c r="C35" t="s">
        <v>502</v>
      </c>
      <c r="D35" s="240">
        <v>1580800</v>
      </c>
      <c r="F35" s="240">
        <f>367725</f>
        <v>367725</v>
      </c>
      <c r="G35" s="240">
        <f>197702+44812/2</f>
        <v>220108</v>
      </c>
      <c r="H35" s="240">
        <f>125211+44812/2</f>
        <v>147617</v>
      </c>
      <c r="I35" s="240">
        <v>153125</v>
      </c>
      <c r="J35">
        <v>367725</v>
      </c>
      <c r="K35">
        <v>153125</v>
      </c>
      <c r="L35" s="240"/>
    </row>
    <row r="36" spans="3:12" ht="12.75">
      <c r="C36" t="s">
        <v>503</v>
      </c>
      <c r="D36" s="240">
        <v>1580800</v>
      </c>
      <c r="F36" s="240">
        <f>322913</f>
        <v>322913</v>
      </c>
      <c r="G36" s="240">
        <f>197702+44812/2</f>
        <v>220108</v>
      </c>
      <c r="H36" s="240">
        <f>125211+44812/2</f>
        <v>147617</v>
      </c>
      <c r="I36" s="240">
        <v>153125</v>
      </c>
      <c r="J36">
        <v>367725</v>
      </c>
      <c r="K36">
        <v>153125</v>
      </c>
      <c r="L36" s="240"/>
    </row>
    <row r="37" spans="3:12" ht="12.75">
      <c r="C37" t="s">
        <v>504</v>
      </c>
      <c r="D37" s="240">
        <v>1615570</v>
      </c>
      <c r="F37" s="240">
        <v>377427</v>
      </c>
      <c r="G37" s="240">
        <f>202918+45995/2</f>
        <v>225915.5</v>
      </c>
      <c r="H37" s="240">
        <f>128514+45995/2</f>
        <v>151511.5</v>
      </c>
      <c r="I37" s="240">
        <v>156542</v>
      </c>
      <c r="J37">
        <f>377427</f>
        <v>377427</v>
      </c>
      <c r="K37">
        <v>156542</v>
      </c>
      <c r="L37" s="240"/>
    </row>
    <row r="38" spans="3:12" ht="12.75">
      <c r="C38" t="s">
        <v>505</v>
      </c>
      <c r="D38" s="240">
        <v>1565822</v>
      </c>
      <c r="F38" s="240">
        <f>362469</f>
        <v>362469</v>
      </c>
      <c r="G38" s="240">
        <f>194876+44172/2</f>
        <v>216962</v>
      </c>
      <c r="H38" s="240">
        <f>123421+44172/2</f>
        <v>145507</v>
      </c>
      <c r="I38" s="240">
        <v>151567</v>
      </c>
      <c r="J38">
        <v>362469</v>
      </c>
      <c r="K38">
        <v>151567</v>
      </c>
      <c r="L38" s="240"/>
    </row>
    <row r="39" spans="3:12" ht="12.75">
      <c r="C39" t="s">
        <v>506</v>
      </c>
      <c r="D39" s="240">
        <v>1727565</v>
      </c>
      <c r="F39" s="240">
        <v>362986</v>
      </c>
      <c r="G39" s="240">
        <f>195154+44235/2</f>
        <v>217271.5</v>
      </c>
      <c r="H39" s="240">
        <f>123597+44235/2</f>
        <v>145714.5</v>
      </c>
      <c r="I39" s="240">
        <f>167741</f>
        <v>167741</v>
      </c>
      <c r="J39">
        <v>362986</v>
      </c>
      <c r="K39">
        <v>167741</v>
      </c>
      <c r="L39" s="240"/>
    </row>
    <row r="40" spans="3:12" ht="12.75">
      <c r="C40" t="s">
        <v>507</v>
      </c>
      <c r="D40" s="240">
        <v>2063603</v>
      </c>
      <c r="F40" s="240">
        <v>362441</v>
      </c>
      <c r="G40" s="240">
        <f>194861+44168/2</f>
        <v>216945</v>
      </c>
      <c r="H40" s="240">
        <f>123412+44168/2</f>
        <v>145496</v>
      </c>
      <c r="I40" s="240">
        <f>201345</f>
        <v>201345</v>
      </c>
      <c r="J40">
        <v>362441</v>
      </c>
      <c r="K40">
        <v>201345</v>
      </c>
      <c r="L40" s="240"/>
    </row>
    <row r="41" spans="3:12" ht="12.75">
      <c r="C41" t="s">
        <v>508</v>
      </c>
      <c r="D41" s="240">
        <v>1544270</v>
      </c>
      <c r="F41" s="240">
        <v>356456</v>
      </c>
      <c r="G41" s="240">
        <f>191643+43439/2</f>
        <v>213362.5</v>
      </c>
      <c r="H41" s="240">
        <f>121374+43439/2</f>
        <v>143093.5</v>
      </c>
      <c r="I41" s="240">
        <f>145155</f>
        <v>145155</v>
      </c>
      <c r="J41">
        <v>356456</v>
      </c>
      <c r="K41">
        <v>145155</v>
      </c>
      <c r="L41" s="240"/>
    </row>
    <row r="42" spans="3:12" ht="12.75">
      <c r="C42" t="s">
        <v>509</v>
      </c>
      <c r="D42" s="240">
        <v>1682495</v>
      </c>
      <c r="F42" s="240">
        <f>316937+43983</f>
        <v>360920</v>
      </c>
      <c r="G42" s="240">
        <f>194043+43983/2</f>
        <v>216034.5</v>
      </c>
      <c r="H42" s="240">
        <f>194043+43983/2</f>
        <v>216034.5</v>
      </c>
      <c r="I42" s="240">
        <f>163234</f>
        <v>163234</v>
      </c>
      <c r="L42" s="240"/>
    </row>
    <row r="43" spans="3:12" ht="12.75">
      <c r="C43" t="s">
        <v>510</v>
      </c>
      <c r="D43" s="240">
        <f>SUM(D31:D42)</f>
        <v>19702718</v>
      </c>
      <c r="E43" s="240">
        <f aca="true" t="shared" si="3" ref="E43:K43">SUM(E31:E42)</f>
        <v>0</v>
      </c>
      <c r="F43" s="240">
        <f t="shared" si="3"/>
        <v>4347829</v>
      </c>
      <c r="G43" s="240">
        <f t="shared" si="3"/>
        <v>2629288.5</v>
      </c>
      <c r="H43" s="240">
        <f t="shared" si="3"/>
        <v>1834501.5</v>
      </c>
      <c r="I43" s="240">
        <f t="shared" si="3"/>
        <v>1923014</v>
      </c>
      <c r="J43" s="240">
        <f t="shared" si="3"/>
        <v>4031721</v>
      </c>
      <c r="K43" s="240">
        <f t="shared" si="3"/>
        <v>1759780</v>
      </c>
      <c r="L43" s="240">
        <v>22640430</v>
      </c>
    </row>
    <row r="46" ht="12.75">
      <c r="D46" s="240">
        <f>D43+G43</f>
        <v>22332006.5</v>
      </c>
    </row>
    <row r="51" ht="12.75">
      <c r="G51">
        <f>21.7-16.7</f>
        <v>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renato.qoshja</cp:lastModifiedBy>
  <cp:lastPrinted>2014-03-26T14:13:13Z</cp:lastPrinted>
  <dcterms:created xsi:type="dcterms:W3CDTF">2008-12-17T10:29:05Z</dcterms:created>
  <dcterms:modified xsi:type="dcterms:W3CDTF">2014-07-15T09:08:21Z</dcterms:modified>
  <cp:category/>
  <cp:version/>
  <cp:contentType/>
  <cp:contentStatus/>
</cp:coreProperties>
</file>