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80" yWindow="7470" windowWidth="15195" windowHeight="11640" tabRatio="962"/>
  </bookViews>
  <sheets>
    <sheet name="Kopertina " sheetId="20" r:id="rId1"/>
    <sheet name="AKTIVI " sheetId="19" r:id="rId2"/>
    <sheet name="PASIVI " sheetId="18" r:id="rId3"/>
    <sheet name="Ardh e shp - natyres" sheetId="16" r:id="rId4"/>
    <sheet name=" Fluksit mon - direkte" sheetId="14" r:id="rId5"/>
    <sheet name="Pasq e ndrysh te kap 2" sheetId="11" r:id="rId6"/>
    <sheet name="Shenit Shpjeguse" sheetId="10" r:id="rId7"/>
    <sheet name="Shenimet Shpjeg" sheetId="9" r:id="rId8"/>
    <sheet name="A1" sheetId="8" r:id="rId9"/>
    <sheet name="A2" sheetId="7" r:id="rId10"/>
    <sheet name="C1" sheetId="5" r:id="rId11"/>
    <sheet name="C2" sheetId="4" r:id="rId12"/>
    <sheet name="C3" sheetId="1" r:id="rId13"/>
    <sheet name="D1" sheetId="47" r:id="rId14"/>
    <sheet name="D2" sheetId="45" r:id="rId15"/>
    <sheet name="D3" sheetId="44" r:id="rId16"/>
    <sheet name="D4" sheetId="43" r:id="rId17"/>
    <sheet name="D5-" sheetId="42" r:id="rId18"/>
    <sheet name="D 6" sheetId="87" r:id="rId19"/>
    <sheet name="L  1" sheetId="83" r:id="rId20"/>
    <sheet name="L4" sheetId="98" r:id="rId21"/>
    <sheet name="L  2" sheetId="84" r:id="rId22"/>
    <sheet name="E2" sheetId="40" r:id="rId23"/>
    <sheet name="M1" sheetId="27" r:id="rId24"/>
    <sheet name="Liber Shit- Blerje " sheetId="85" r:id="rId25"/>
    <sheet name="P -Ardh Analiz " sheetId="51" r:id="rId26"/>
    <sheet name="S" sheetId="75" r:id="rId27"/>
    <sheet name="T" sheetId="74" r:id="rId28"/>
    <sheet name="U" sheetId="73" r:id="rId29"/>
    <sheet name="V" sheetId="72" r:id="rId30"/>
    <sheet name="U - statist" sheetId="79" r:id="rId31"/>
    <sheet name="Stat - te ardhur" sheetId="80" r:id="rId32"/>
    <sheet name="Stat - Kostot " sheetId="81" r:id="rId33"/>
    <sheet name="Stat - te ardh  anal" sheetId="82" r:id="rId34"/>
    <sheet name="All" sheetId="91" r:id="rId35"/>
    <sheet name="Eur" sheetId="92" r:id="rId36"/>
    <sheet name="Usd" sheetId="93" r:id="rId37"/>
    <sheet name="Sheet6" sheetId="95" r:id="rId38"/>
    <sheet name="Sheet7" sheetId="96" r:id="rId39"/>
    <sheet name="Kleal" sheetId="97" r:id="rId40"/>
  </sheets>
  <externalReferences>
    <externalReference r:id="rId41"/>
  </externalReferences>
  <calcPr calcId="125725"/>
</workbook>
</file>

<file path=xl/calcChain.xml><?xml version="1.0" encoding="utf-8"?>
<calcChain xmlns="http://schemas.openxmlformats.org/spreadsheetml/2006/main">
  <c r="F37" i="79"/>
  <c r="E30" i="73"/>
  <c r="E127" i="9"/>
  <c r="E129"/>
  <c r="E130"/>
  <c r="B60"/>
  <c r="C6" i="87"/>
  <c r="F14" i="98"/>
  <c r="F19"/>
  <c r="F13"/>
  <c r="F11"/>
  <c r="F18"/>
  <c r="F25" l="1"/>
  <c r="E17" i="19" s="1"/>
  <c r="C121" i="9"/>
  <c r="B101"/>
  <c r="C101"/>
  <c r="D101"/>
  <c r="E101"/>
  <c r="G101"/>
  <c r="B102"/>
  <c r="C102"/>
  <c r="D102"/>
  <c r="E102"/>
  <c r="F102"/>
  <c r="G102"/>
  <c r="B103"/>
  <c r="C103"/>
  <c r="D103"/>
  <c r="E103"/>
  <c r="F103"/>
  <c r="G103"/>
  <c r="B104"/>
  <c r="C104"/>
  <c r="D104"/>
  <c r="E104"/>
  <c r="F104"/>
  <c r="G104"/>
  <c r="B105"/>
  <c r="C105"/>
  <c r="D105"/>
  <c r="E105"/>
  <c r="G105"/>
  <c r="B106"/>
  <c r="C106"/>
  <c r="D106"/>
  <c r="E106"/>
  <c r="F106"/>
  <c r="G106"/>
  <c r="B107"/>
  <c r="C107"/>
  <c r="D107"/>
  <c r="E107"/>
  <c r="F107"/>
  <c r="G107"/>
  <c r="B108"/>
  <c r="C108"/>
  <c r="D108"/>
  <c r="E108"/>
  <c r="F108"/>
  <c r="G108"/>
  <c r="B109"/>
  <c r="C109"/>
  <c r="D109"/>
  <c r="E109"/>
  <c r="F109"/>
  <c r="G109"/>
  <c r="B110"/>
  <c r="C110"/>
  <c r="D110"/>
  <c r="E110"/>
  <c r="F110"/>
  <c r="G110"/>
  <c r="B111"/>
  <c r="C111"/>
  <c r="D111"/>
  <c r="E111"/>
  <c r="F111"/>
  <c r="G111"/>
  <c r="B112"/>
  <c r="C112"/>
  <c r="D112"/>
  <c r="E112"/>
  <c r="F112"/>
  <c r="G112"/>
  <c r="B113"/>
  <c r="C113"/>
  <c r="D113"/>
  <c r="E113"/>
  <c r="F113"/>
  <c r="G113"/>
  <c r="B114"/>
  <c r="C114"/>
  <c r="D114"/>
  <c r="E114"/>
  <c r="G114"/>
  <c r="B115"/>
  <c r="C115"/>
  <c r="D115"/>
  <c r="E115"/>
  <c r="F115"/>
  <c r="G115"/>
  <c r="B116"/>
  <c r="C116"/>
  <c r="D116"/>
  <c r="E116"/>
  <c r="F116"/>
  <c r="G116"/>
  <c r="B117"/>
  <c r="C117"/>
  <c r="D117"/>
  <c r="E117"/>
  <c r="F117"/>
  <c r="G117"/>
  <c r="B118"/>
  <c r="C118"/>
  <c r="D118"/>
  <c r="E118"/>
  <c r="F118"/>
  <c r="G118"/>
  <c r="B119"/>
  <c r="C119"/>
  <c r="D119"/>
  <c r="E119"/>
  <c r="F119"/>
  <c r="G119"/>
  <c r="B120"/>
  <c r="C120"/>
  <c r="D120"/>
  <c r="E120"/>
  <c r="F120"/>
  <c r="G120"/>
  <c r="H120"/>
  <c r="C100"/>
  <c r="D100"/>
  <c r="E100"/>
  <c r="F100"/>
  <c r="G100"/>
  <c r="B100"/>
  <c r="G21" i="84"/>
  <c r="G20" s="1"/>
  <c r="G27" s="1"/>
  <c r="E23" i="18" s="1"/>
  <c r="G16" i="84"/>
  <c r="G15" s="1"/>
  <c r="D18" i="14" l="1"/>
  <c r="E131" i="9"/>
  <c r="G50" i="40"/>
  <c r="G24" i="72"/>
  <c r="H24"/>
  <c r="G25"/>
  <c r="H25"/>
  <c r="G26"/>
  <c r="H26"/>
  <c r="G27"/>
  <c r="H27"/>
  <c r="F27"/>
  <c r="F25"/>
  <c r="F26"/>
  <c r="F24"/>
  <c r="G38" i="96"/>
  <c r="G21" i="97"/>
  <c r="G20" s="1"/>
  <c r="G16"/>
  <c r="G15" s="1"/>
  <c r="G13"/>
  <c r="G84" i="96"/>
  <c r="G88"/>
  <c r="O21"/>
  <c r="C110"/>
  <c r="C102"/>
  <c r="O32"/>
  <c r="K55"/>
  <c r="G32"/>
  <c r="D7"/>
  <c r="D39" s="1"/>
  <c r="D16"/>
  <c r="D40" s="1"/>
  <c r="E20" i="18"/>
  <c r="E128" i="9" s="1"/>
  <c r="F12" i="5"/>
  <c r="F11"/>
  <c r="F10"/>
  <c r="E18" i="19"/>
  <c r="F54" i="27"/>
  <c r="E121" i="9" s="1"/>
  <c r="H54" i="27"/>
  <c r="G121" i="9" s="1"/>
  <c r="E54" i="27"/>
  <c r="I14"/>
  <c r="H102" i="9" s="1"/>
  <c r="I15" i="27"/>
  <c r="H103" i="9" s="1"/>
  <c r="I16" i="27"/>
  <c r="H104" i="9" s="1"/>
  <c r="I18" i="27"/>
  <c r="H106" i="9" s="1"/>
  <c r="I19" i="27"/>
  <c r="H107" i="9" s="1"/>
  <c r="I20" i="27"/>
  <c r="H108" i="9" s="1"/>
  <c r="I21" i="27"/>
  <c r="H109" i="9" s="1"/>
  <c r="I22" i="27"/>
  <c r="H110" i="9" s="1"/>
  <c r="I23" i="27"/>
  <c r="H111" i="9" s="1"/>
  <c r="I24" i="27"/>
  <c r="H112" i="9" s="1"/>
  <c r="I25" i="27"/>
  <c r="H113" i="9" s="1"/>
  <c r="I27" i="27"/>
  <c r="H115" i="9" s="1"/>
  <c r="I28" i="27"/>
  <c r="H116" i="9" s="1"/>
  <c r="I29" i="27"/>
  <c r="H117" i="9" s="1"/>
  <c r="I30" i="27"/>
  <c r="H118" i="9" s="1"/>
  <c r="I31" i="27"/>
  <c r="H119" i="9" s="1"/>
  <c r="I34" i="27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12"/>
  <c r="H100" i="9" s="1"/>
  <c r="F93" i="27"/>
  <c r="I11" i="72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10"/>
  <c r="M16" i="74"/>
  <c r="M27" s="1"/>
  <c r="N27"/>
  <c r="H46"/>
  <c r="D46"/>
  <c r="I9" i="72"/>
  <c r="E26" i="1"/>
  <c r="J10" i="93"/>
  <c r="I16"/>
  <c r="D16"/>
  <c r="I15"/>
  <c r="D15"/>
  <c r="I14"/>
  <c r="D14"/>
  <c r="I13"/>
  <c r="D13"/>
  <c r="I12"/>
  <c r="D12"/>
  <c r="I11"/>
  <c r="D11"/>
  <c r="I10"/>
  <c r="D10"/>
  <c r="I9"/>
  <c r="D9"/>
  <c r="I8"/>
  <c r="D8"/>
  <c r="C8"/>
  <c r="C9" s="1"/>
  <c r="C10" s="1"/>
  <c r="C11" s="1"/>
  <c r="C12" s="1"/>
  <c r="C13" s="1"/>
  <c r="C14" s="1"/>
  <c r="C15" s="1"/>
  <c r="C16" s="1"/>
  <c r="E33" i="92"/>
  <c r="E72"/>
  <c r="I70"/>
  <c r="I71"/>
  <c r="I72"/>
  <c r="I73"/>
  <c r="I74"/>
  <c r="I75"/>
  <c r="I76"/>
  <c r="I77"/>
  <c r="I78"/>
  <c r="I79"/>
  <c r="I80"/>
  <c r="I81"/>
  <c r="I82"/>
  <c r="I83"/>
  <c r="I84"/>
  <c r="D72"/>
  <c r="D73"/>
  <c r="D74"/>
  <c r="D75"/>
  <c r="D76"/>
  <c r="D77"/>
  <c r="D78"/>
  <c r="J62"/>
  <c r="D84"/>
  <c r="D83"/>
  <c r="D82"/>
  <c r="D81"/>
  <c r="D80"/>
  <c r="D79"/>
  <c r="D71"/>
  <c r="D70"/>
  <c r="I69"/>
  <c r="D69"/>
  <c r="I68"/>
  <c r="D68"/>
  <c r="I67"/>
  <c r="D67"/>
  <c r="I66"/>
  <c r="D66"/>
  <c r="I65"/>
  <c r="D65"/>
  <c r="I64"/>
  <c r="D64"/>
  <c r="I63"/>
  <c r="D63"/>
  <c r="I62"/>
  <c r="D62"/>
  <c r="I61"/>
  <c r="D61"/>
  <c r="I60"/>
  <c r="D60"/>
  <c r="I59"/>
  <c r="D59"/>
  <c r="I58"/>
  <c r="D58"/>
  <c r="I57"/>
  <c r="D57"/>
  <c r="I56"/>
  <c r="D56"/>
  <c r="I55"/>
  <c r="D55"/>
  <c r="I54"/>
  <c r="D54"/>
  <c r="I53"/>
  <c r="D53"/>
  <c r="I52"/>
  <c r="D52"/>
  <c r="I51"/>
  <c r="D51"/>
  <c r="I50"/>
  <c r="D50"/>
  <c r="I49"/>
  <c r="D49"/>
  <c r="I48"/>
  <c r="D48"/>
  <c r="I47"/>
  <c r="D47"/>
  <c r="I46"/>
  <c r="D46"/>
  <c r="I45"/>
  <c r="D45"/>
  <c r="I44"/>
  <c r="D44"/>
  <c r="I43"/>
  <c r="D43"/>
  <c r="I42"/>
  <c r="D42"/>
  <c r="I41"/>
  <c r="D41"/>
  <c r="I40"/>
  <c r="D40"/>
  <c r="I39"/>
  <c r="D39"/>
  <c r="I38"/>
  <c r="D38"/>
  <c r="I37"/>
  <c r="D37"/>
  <c r="I36"/>
  <c r="D36"/>
  <c r="I35"/>
  <c r="D35"/>
  <c r="I34"/>
  <c r="D34"/>
  <c r="I33"/>
  <c r="D33"/>
  <c r="I32"/>
  <c r="D32"/>
  <c r="I31"/>
  <c r="D31"/>
  <c r="I30"/>
  <c r="D30"/>
  <c r="I29"/>
  <c r="D29"/>
  <c r="I28"/>
  <c r="D28"/>
  <c r="I27"/>
  <c r="D27"/>
  <c r="I26"/>
  <c r="D26"/>
  <c r="I25"/>
  <c r="D25"/>
  <c r="I24"/>
  <c r="D24"/>
  <c r="I23"/>
  <c r="D23"/>
  <c r="I22"/>
  <c r="D22"/>
  <c r="I21"/>
  <c r="D21"/>
  <c r="I20"/>
  <c r="D20"/>
  <c r="I19"/>
  <c r="D19"/>
  <c r="I18"/>
  <c r="D18"/>
  <c r="I17"/>
  <c r="D17"/>
  <c r="I16"/>
  <c r="D16"/>
  <c r="I15"/>
  <c r="D15"/>
  <c r="I14"/>
  <c r="D14"/>
  <c r="I13"/>
  <c r="D13"/>
  <c r="I12"/>
  <c r="D12"/>
  <c r="I11"/>
  <c r="D11"/>
  <c r="I10"/>
  <c r="D10"/>
  <c r="I9"/>
  <c r="D9"/>
  <c r="I8"/>
  <c r="D8"/>
  <c r="C8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Q157" i="91"/>
  <c r="J158"/>
  <c r="D132"/>
  <c r="I132"/>
  <c r="D133"/>
  <c r="I133"/>
  <c r="D134"/>
  <c r="I134"/>
  <c r="D135"/>
  <c r="I135"/>
  <c r="D136"/>
  <c r="I136"/>
  <c r="D137"/>
  <c r="I137"/>
  <c r="D138"/>
  <c r="I138"/>
  <c r="D139"/>
  <c r="I139"/>
  <c r="D140"/>
  <c r="I140"/>
  <c r="D141"/>
  <c r="I141"/>
  <c r="D142"/>
  <c r="I142"/>
  <c r="D143"/>
  <c r="I143"/>
  <c r="D144"/>
  <c r="I144"/>
  <c r="D145"/>
  <c r="I145"/>
  <c r="D146"/>
  <c r="I146"/>
  <c r="D147"/>
  <c r="I147"/>
  <c r="D148"/>
  <c r="I148"/>
  <c r="D149"/>
  <c r="I149"/>
  <c r="D150"/>
  <c r="I150"/>
  <c r="D151"/>
  <c r="I151"/>
  <c r="D152"/>
  <c r="I152"/>
  <c r="D153"/>
  <c r="I153"/>
  <c r="D154"/>
  <c r="I154"/>
  <c r="D155"/>
  <c r="I155"/>
  <c r="D156"/>
  <c r="I156"/>
  <c r="D157"/>
  <c r="I157"/>
  <c r="D158"/>
  <c r="I158"/>
  <c r="D159"/>
  <c r="I159"/>
  <c r="D160"/>
  <c r="I160"/>
  <c r="D161"/>
  <c r="I161"/>
  <c r="D162"/>
  <c r="I162"/>
  <c r="D163"/>
  <c r="I163"/>
  <c r="D164"/>
  <c r="I164"/>
  <c r="D165"/>
  <c r="I165"/>
  <c r="D166"/>
  <c r="I166"/>
  <c r="D167"/>
  <c r="I167"/>
  <c r="D168"/>
  <c r="I168"/>
  <c r="D169"/>
  <c r="I169"/>
  <c r="D170"/>
  <c r="I170"/>
  <c r="D171"/>
  <c r="I171"/>
  <c r="D172"/>
  <c r="I172"/>
  <c r="D173"/>
  <c r="I173"/>
  <c r="D174"/>
  <c r="I174"/>
  <c r="D175"/>
  <c r="I175"/>
  <c r="D176"/>
  <c r="I176"/>
  <c r="D177"/>
  <c r="I177"/>
  <c r="D178"/>
  <c r="I178"/>
  <c r="D179"/>
  <c r="I179"/>
  <c r="D180"/>
  <c r="I180"/>
  <c r="D181"/>
  <c r="I181"/>
  <c r="D182"/>
  <c r="I182"/>
  <c r="D183"/>
  <c r="I183"/>
  <c r="D184"/>
  <c r="I184"/>
  <c r="D185"/>
  <c r="I185"/>
  <c r="D186"/>
  <c r="I186"/>
  <c r="D187"/>
  <c r="I187"/>
  <c r="D188"/>
  <c r="I188"/>
  <c r="D189"/>
  <c r="I189"/>
  <c r="D190"/>
  <c r="I190"/>
  <c r="D191"/>
  <c r="I191"/>
  <c r="D192"/>
  <c r="I192"/>
  <c r="D193"/>
  <c r="I193"/>
  <c r="D194"/>
  <c r="I194"/>
  <c r="D195"/>
  <c r="I195"/>
  <c r="D196"/>
  <c r="I196"/>
  <c r="D197"/>
  <c r="I197"/>
  <c r="D198"/>
  <c r="I198"/>
  <c r="D199"/>
  <c r="I199"/>
  <c r="D200"/>
  <c r="I200"/>
  <c r="D201"/>
  <c r="I201"/>
  <c r="D202"/>
  <c r="I202"/>
  <c r="D203"/>
  <c r="I203"/>
  <c r="D204"/>
  <c r="I204"/>
  <c r="D205"/>
  <c r="I205"/>
  <c r="D206"/>
  <c r="I206"/>
  <c r="D207"/>
  <c r="I207"/>
  <c r="D208"/>
  <c r="I208"/>
  <c r="D209"/>
  <c r="I209"/>
  <c r="D210"/>
  <c r="I210"/>
  <c r="D211"/>
  <c r="I211"/>
  <c r="D212"/>
  <c r="I212"/>
  <c r="D213"/>
  <c r="I213"/>
  <c r="D214"/>
  <c r="I214"/>
  <c r="D215"/>
  <c r="I215"/>
  <c r="D216"/>
  <c r="I216"/>
  <c r="D217"/>
  <c r="I217"/>
  <c r="D218"/>
  <c r="I218"/>
  <c r="D219"/>
  <c r="I219"/>
  <c r="D220"/>
  <c r="I220"/>
  <c r="D221"/>
  <c r="I221"/>
  <c r="D222"/>
  <c r="I222"/>
  <c r="D223"/>
  <c r="I223"/>
  <c r="D224"/>
  <c r="I224"/>
  <c r="D225"/>
  <c r="I225"/>
  <c r="D226"/>
  <c r="I226"/>
  <c r="D227"/>
  <c r="I227"/>
  <c r="D228"/>
  <c r="I228"/>
  <c r="D229"/>
  <c r="I229"/>
  <c r="D230"/>
  <c r="I230"/>
  <c r="D231"/>
  <c r="I231"/>
  <c r="D232"/>
  <c r="I232"/>
  <c r="D233"/>
  <c r="I233"/>
  <c r="D234"/>
  <c r="I234"/>
  <c r="D235"/>
  <c r="I235"/>
  <c r="D236"/>
  <c r="I236"/>
  <c r="D237"/>
  <c r="I237"/>
  <c r="D238"/>
  <c r="I238"/>
  <c r="D239"/>
  <c r="I239"/>
  <c r="D240"/>
  <c r="I240"/>
  <c r="D241"/>
  <c r="I241"/>
  <c r="D242"/>
  <c r="I242"/>
  <c r="D243"/>
  <c r="I243"/>
  <c r="D244"/>
  <c r="I244"/>
  <c r="D245"/>
  <c r="I245"/>
  <c r="D246"/>
  <c r="I246"/>
  <c r="D247"/>
  <c r="I247"/>
  <c r="D248"/>
  <c r="I248"/>
  <c r="D249"/>
  <c r="I249"/>
  <c r="D250"/>
  <c r="I250"/>
  <c r="D251"/>
  <c r="I251"/>
  <c r="D252"/>
  <c r="I252"/>
  <c r="D253"/>
  <c r="I253"/>
  <c r="D254"/>
  <c r="I254"/>
  <c r="D255"/>
  <c r="I255"/>
  <c r="D256"/>
  <c r="I256"/>
  <c r="D257"/>
  <c r="I257"/>
  <c r="D258"/>
  <c r="I258"/>
  <c r="D259"/>
  <c r="I259"/>
  <c r="D260"/>
  <c r="I260"/>
  <c r="D261"/>
  <c r="I261"/>
  <c r="D262"/>
  <c r="I262"/>
  <c r="D263"/>
  <c r="I263"/>
  <c r="D264"/>
  <c r="I264"/>
  <c r="D265"/>
  <c r="I265"/>
  <c r="D266"/>
  <c r="I266"/>
  <c r="D267"/>
  <c r="I267"/>
  <c r="D268"/>
  <c r="I268"/>
  <c r="D269"/>
  <c r="I269"/>
  <c r="D270"/>
  <c r="I270"/>
  <c r="D271"/>
  <c r="I271"/>
  <c r="D272"/>
  <c r="I272"/>
  <c r="D273"/>
  <c r="I273"/>
  <c r="D274"/>
  <c r="I274"/>
  <c r="D275"/>
  <c r="I275"/>
  <c r="D276"/>
  <c r="I276"/>
  <c r="D277"/>
  <c r="I277"/>
  <c r="D278"/>
  <c r="I278"/>
  <c r="D279"/>
  <c r="I279"/>
  <c r="D280"/>
  <c r="I280"/>
  <c r="D281"/>
  <c r="I281"/>
  <c r="D282"/>
  <c r="I282"/>
  <c r="D283"/>
  <c r="I283"/>
  <c r="D284"/>
  <c r="I284"/>
  <c r="D285"/>
  <c r="I285"/>
  <c r="D286"/>
  <c r="I286"/>
  <c r="D287"/>
  <c r="I287"/>
  <c r="D288"/>
  <c r="I288"/>
  <c r="D289"/>
  <c r="I289"/>
  <c r="D290"/>
  <c r="I290"/>
  <c r="D291"/>
  <c r="I291"/>
  <c r="D292"/>
  <c r="I292"/>
  <c r="D293"/>
  <c r="I293"/>
  <c r="D294"/>
  <c r="I294"/>
  <c r="D295"/>
  <c r="I295"/>
  <c r="D296"/>
  <c r="I296"/>
  <c r="D297"/>
  <c r="I297"/>
  <c r="D298"/>
  <c r="I298"/>
  <c r="D299"/>
  <c r="I299"/>
  <c r="M107"/>
  <c r="K48"/>
  <c r="I48" s="1"/>
  <c r="I54"/>
  <c r="D54"/>
  <c r="I53"/>
  <c r="D53"/>
  <c r="I52"/>
  <c r="D52"/>
  <c r="I51"/>
  <c r="D51"/>
  <c r="I50"/>
  <c r="D50"/>
  <c r="I49"/>
  <c r="D49"/>
  <c r="D48"/>
  <c r="I47"/>
  <c r="D47"/>
  <c r="I46"/>
  <c r="D46"/>
  <c r="I45"/>
  <c r="D45"/>
  <c r="I44"/>
  <c r="D44"/>
  <c r="I43"/>
  <c r="D43"/>
  <c r="I42"/>
  <c r="D42"/>
  <c r="I41"/>
  <c r="D41"/>
  <c r="I40"/>
  <c r="D40"/>
  <c r="I39"/>
  <c r="D39"/>
  <c r="I38"/>
  <c r="D38"/>
  <c r="I37"/>
  <c r="D37"/>
  <c r="I36"/>
  <c r="D36"/>
  <c r="I35"/>
  <c r="D35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J18"/>
  <c r="J16"/>
  <c r="I131"/>
  <c r="D131"/>
  <c r="I130"/>
  <c r="D130"/>
  <c r="I129"/>
  <c r="D129"/>
  <c r="I128"/>
  <c r="D128"/>
  <c r="I127"/>
  <c r="D127"/>
  <c r="I126"/>
  <c r="D126"/>
  <c r="I125"/>
  <c r="D125"/>
  <c r="I124"/>
  <c r="D124"/>
  <c r="I123"/>
  <c r="D123"/>
  <c r="I122"/>
  <c r="D122"/>
  <c r="I121"/>
  <c r="D121"/>
  <c r="I120"/>
  <c r="D120"/>
  <c r="I119"/>
  <c r="D119"/>
  <c r="I118"/>
  <c r="D118"/>
  <c r="I117"/>
  <c r="D117"/>
  <c r="I116"/>
  <c r="D116"/>
  <c r="I115"/>
  <c r="D115"/>
  <c r="I114"/>
  <c r="D114"/>
  <c r="I113"/>
  <c r="D113"/>
  <c r="I112"/>
  <c r="D112"/>
  <c r="I111"/>
  <c r="D111"/>
  <c r="I110"/>
  <c r="D110"/>
  <c r="I109"/>
  <c r="D109"/>
  <c r="I108"/>
  <c r="D108"/>
  <c r="I107"/>
  <c r="D107"/>
  <c r="I106"/>
  <c r="D106"/>
  <c r="I105"/>
  <c r="D105"/>
  <c r="I104"/>
  <c r="D104"/>
  <c r="I103"/>
  <c r="D103"/>
  <c r="I102"/>
  <c r="D102"/>
  <c r="I101"/>
  <c r="D101"/>
  <c r="I100"/>
  <c r="D100"/>
  <c r="I99"/>
  <c r="D99"/>
  <c r="I98"/>
  <c r="D98"/>
  <c r="I97"/>
  <c r="D97"/>
  <c r="I96"/>
  <c r="D96"/>
  <c r="I95"/>
  <c r="D95"/>
  <c r="I94"/>
  <c r="D94"/>
  <c r="I93"/>
  <c r="D93"/>
  <c r="I92"/>
  <c r="D92"/>
  <c r="I91"/>
  <c r="D91"/>
  <c r="I90"/>
  <c r="D90"/>
  <c r="I89"/>
  <c r="D89"/>
  <c r="I88"/>
  <c r="D88"/>
  <c r="I87"/>
  <c r="D87"/>
  <c r="I86"/>
  <c r="D86"/>
  <c r="I85"/>
  <c r="D85"/>
  <c r="I84"/>
  <c r="D84"/>
  <c r="I83"/>
  <c r="D83"/>
  <c r="I82"/>
  <c r="D82"/>
  <c r="I81"/>
  <c r="D81"/>
  <c r="I80"/>
  <c r="D80"/>
  <c r="I79"/>
  <c r="D79"/>
  <c r="I78"/>
  <c r="D78"/>
  <c r="I77"/>
  <c r="D77"/>
  <c r="I76"/>
  <c r="D76"/>
  <c r="I75"/>
  <c r="D75"/>
  <c r="I74"/>
  <c r="D74"/>
  <c r="I73"/>
  <c r="D73"/>
  <c r="I72"/>
  <c r="D72"/>
  <c r="I71"/>
  <c r="D71"/>
  <c r="I70"/>
  <c r="D70"/>
  <c r="I69"/>
  <c r="D69"/>
  <c r="I68"/>
  <c r="D68"/>
  <c r="I67"/>
  <c r="D67"/>
  <c r="I66"/>
  <c r="D66"/>
  <c r="I65"/>
  <c r="D65"/>
  <c r="I64"/>
  <c r="D64"/>
  <c r="I63"/>
  <c r="D63"/>
  <c r="I62"/>
  <c r="D62"/>
  <c r="I61"/>
  <c r="D61"/>
  <c r="I60"/>
  <c r="D60"/>
  <c r="I59"/>
  <c r="D59"/>
  <c r="I58"/>
  <c r="D58"/>
  <c r="I57"/>
  <c r="D57"/>
  <c r="I56"/>
  <c r="D56"/>
  <c r="I55"/>
  <c r="D55"/>
  <c r="I27"/>
  <c r="D27"/>
  <c r="I26"/>
  <c r="D26"/>
  <c r="I25"/>
  <c r="D25"/>
  <c r="I24"/>
  <c r="D24"/>
  <c r="I23"/>
  <c r="D23"/>
  <c r="I22"/>
  <c r="D22"/>
  <c r="I21"/>
  <c r="D21"/>
  <c r="I20"/>
  <c r="D20"/>
  <c r="I19"/>
  <c r="D19"/>
  <c r="I18"/>
  <c r="D18"/>
  <c r="I17"/>
  <c r="D17"/>
  <c r="I16"/>
  <c r="D16"/>
  <c r="I15"/>
  <c r="D15"/>
  <c r="I14"/>
  <c r="D14"/>
  <c r="I13"/>
  <c r="D13"/>
  <c r="I12"/>
  <c r="D12"/>
  <c r="I11"/>
  <c r="D11"/>
  <c r="I10"/>
  <c r="D10"/>
  <c r="I9"/>
  <c r="D9"/>
  <c r="I8"/>
  <c r="D8"/>
  <c r="C8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D41" i="96" l="1"/>
  <c r="G27" i="97"/>
  <c r="F13" i="18"/>
  <c r="D121" i="9"/>
  <c r="I35" i="72"/>
  <c r="C36" i="92"/>
  <c r="C37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5" i="9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F27" i="73"/>
  <c r="Q43" i="75"/>
  <c r="C53" i="92" l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129" i="9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J11" i="87"/>
  <c r="J12"/>
  <c r="J13"/>
  <c r="J14"/>
  <c r="J10"/>
  <c r="L15"/>
  <c r="I15"/>
  <c r="H15"/>
  <c r="F15"/>
  <c r="E15"/>
  <c r="D15"/>
  <c r="M14"/>
  <c r="G14"/>
  <c r="N14" s="1"/>
  <c r="M13"/>
  <c r="G13"/>
  <c r="N13" s="1"/>
  <c r="M12"/>
  <c r="G12"/>
  <c r="N12" s="1"/>
  <c r="M11"/>
  <c r="G11"/>
  <c r="N11" s="1"/>
  <c r="J15"/>
  <c r="G10"/>
  <c r="G15" s="1"/>
  <c r="K43" i="73"/>
  <c r="L43" s="1"/>
  <c r="N43" s="1"/>
  <c r="K44"/>
  <c r="L44" s="1"/>
  <c r="N44" s="1"/>
  <c r="K45"/>
  <c r="L45" s="1"/>
  <c r="N45" s="1"/>
  <c r="K46"/>
  <c r="L46" s="1"/>
  <c r="N46" s="1"/>
  <c r="K47"/>
  <c r="L47" s="1"/>
  <c r="N47" s="1"/>
  <c r="K48"/>
  <c r="L48" s="1"/>
  <c r="N48" s="1"/>
  <c r="K49"/>
  <c r="L49" s="1"/>
  <c r="N49" s="1"/>
  <c r="K50"/>
  <c r="L50" s="1"/>
  <c r="N50" s="1"/>
  <c r="K51"/>
  <c r="L51" s="1"/>
  <c r="N51" s="1"/>
  <c r="K52"/>
  <c r="L52" s="1"/>
  <c r="N52" s="1"/>
  <c r="K53"/>
  <c r="L53" s="1"/>
  <c r="N53" s="1"/>
  <c r="K54"/>
  <c r="L54" s="1"/>
  <c r="N54" s="1"/>
  <c r="K55"/>
  <c r="L55" s="1"/>
  <c r="N55" s="1"/>
  <c r="K56"/>
  <c r="L56" s="1"/>
  <c r="N56" s="1"/>
  <c r="K57"/>
  <c r="L57" s="1"/>
  <c r="N57" s="1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38"/>
  <c r="K38"/>
  <c r="L38" s="1"/>
  <c r="N38" s="1"/>
  <c r="O38" s="1"/>
  <c r="K39"/>
  <c r="L39" s="1"/>
  <c r="N39" s="1"/>
  <c r="O39" s="1"/>
  <c r="K40"/>
  <c r="L40" s="1"/>
  <c r="N40" s="1"/>
  <c r="O40" s="1"/>
  <c r="K41"/>
  <c r="L41" s="1"/>
  <c r="N41" s="1"/>
  <c r="O41" s="1"/>
  <c r="K42"/>
  <c r="L42" s="1"/>
  <c r="N42" s="1"/>
  <c r="O42" s="1"/>
  <c r="H21"/>
  <c r="K21"/>
  <c r="L21" s="1"/>
  <c r="N21" s="1"/>
  <c r="H22"/>
  <c r="K22"/>
  <c r="L22" s="1"/>
  <c r="N22" s="1"/>
  <c r="H23"/>
  <c r="K23"/>
  <c r="L23" s="1"/>
  <c r="N23" s="1"/>
  <c r="H24"/>
  <c r="K24"/>
  <c r="L24" s="1"/>
  <c r="N24" s="1"/>
  <c r="H25"/>
  <c r="K25"/>
  <c r="L25" s="1"/>
  <c r="N25" s="1"/>
  <c r="H26"/>
  <c r="K26"/>
  <c r="L26" s="1"/>
  <c r="N26" s="1"/>
  <c r="H27"/>
  <c r="K27"/>
  <c r="L27" s="1"/>
  <c r="N27" s="1"/>
  <c r="H28"/>
  <c r="K28"/>
  <c r="L28" s="1"/>
  <c r="N28" s="1"/>
  <c r="H29"/>
  <c r="K29"/>
  <c r="L29" s="1"/>
  <c r="N29" s="1"/>
  <c r="O57" l="1"/>
  <c r="O55"/>
  <c r="O53"/>
  <c r="O51"/>
  <c r="O49"/>
  <c r="O47"/>
  <c r="O45"/>
  <c r="O43"/>
  <c r="O29"/>
  <c r="O28"/>
  <c r="O27"/>
  <c r="O26"/>
  <c r="O25"/>
  <c r="O24"/>
  <c r="O23"/>
  <c r="O22"/>
  <c r="O21"/>
  <c r="O56"/>
  <c r="O54"/>
  <c r="O52"/>
  <c r="O50"/>
  <c r="O48"/>
  <c r="O46"/>
  <c r="O44"/>
  <c r="C72" i="92"/>
  <c r="C73" s="1"/>
  <c r="C74" s="1"/>
  <c r="C75" s="1"/>
  <c r="C76" s="1"/>
  <c r="C77" s="1"/>
  <c r="C78" s="1"/>
  <c r="C79" s="1"/>
  <c r="C80" s="1"/>
  <c r="C81" s="1"/>
  <c r="C82" s="1"/>
  <c r="C83" s="1"/>
  <c r="C84" s="1"/>
  <c r="C153" i="91"/>
  <c r="C154" s="1"/>
  <c r="C155" s="1"/>
  <c r="K15" i="87"/>
  <c r="M10"/>
  <c r="C156" i="91" l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M15" i="87"/>
  <c r="N10"/>
  <c r="N15" s="1"/>
  <c r="E27" i="19" s="1"/>
  <c r="H27" s="1"/>
  <c r="C198" i="91" l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I13" i="7"/>
  <c r="I14"/>
  <c r="I15"/>
  <c r="I16"/>
  <c r="I12"/>
  <c r="I19"/>
  <c r="I17" s="1"/>
  <c r="I20"/>
  <c r="I21"/>
  <c r="I22"/>
  <c r="I23"/>
  <c r="I18"/>
  <c r="I26"/>
  <c r="I27"/>
  <c r="I28"/>
  <c r="I25"/>
  <c r="I11"/>
  <c r="Q53" i="75"/>
  <c r="S19"/>
  <c r="U19"/>
  <c r="H71"/>
  <c r="R19" s="1"/>
  <c r="I71"/>
  <c r="J71"/>
  <c r="T19" s="1"/>
  <c r="K71"/>
  <c r="L71"/>
  <c r="V19" s="1"/>
  <c r="F71"/>
  <c r="P19" s="1"/>
  <c r="H68"/>
  <c r="R18" s="1"/>
  <c r="I68"/>
  <c r="S18" s="1"/>
  <c r="J68"/>
  <c r="T18" s="1"/>
  <c r="K68"/>
  <c r="U18" s="1"/>
  <c r="L68"/>
  <c r="V18" s="1"/>
  <c r="F68"/>
  <c r="C213" i="91" l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P18" i="75"/>
  <c r="H59"/>
  <c r="R17" s="1"/>
  <c r="I59"/>
  <c r="S17" s="1"/>
  <c r="J59"/>
  <c r="T17" s="1"/>
  <c r="K59"/>
  <c r="U17" s="1"/>
  <c r="L59"/>
  <c r="V17" s="1"/>
  <c r="F59"/>
  <c r="P17" s="1"/>
  <c r="G17" i="27"/>
  <c r="H53" i="75"/>
  <c r="R16" s="1"/>
  <c r="I53"/>
  <c r="S16" s="1"/>
  <c r="J53"/>
  <c r="T16" s="1"/>
  <c r="K53"/>
  <c r="U16" s="1"/>
  <c r="L53"/>
  <c r="V16" s="1"/>
  <c r="F53"/>
  <c r="P16" s="1"/>
  <c r="H48"/>
  <c r="R15" s="1"/>
  <c r="I48"/>
  <c r="S15" s="1"/>
  <c r="J48"/>
  <c r="T15" s="1"/>
  <c r="K48"/>
  <c r="U15" s="1"/>
  <c r="L48"/>
  <c r="V15" s="1"/>
  <c r="F48"/>
  <c r="P15" s="1"/>
  <c r="H46"/>
  <c r="R14" s="1"/>
  <c r="I46"/>
  <c r="S14" s="1"/>
  <c r="J46"/>
  <c r="T14" s="1"/>
  <c r="K46"/>
  <c r="U14" s="1"/>
  <c r="L46"/>
  <c r="V14" s="1"/>
  <c r="F46"/>
  <c r="P14" s="1"/>
  <c r="H44"/>
  <c r="R13" s="1"/>
  <c r="I44"/>
  <c r="S13" s="1"/>
  <c r="J44"/>
  <c r="T13" s="1"/>
  <c r="K44"/>
  <c r="U13" s="1"/>
  <c r="L44"/>
  <c r="V13" s="1"/>
  <c r="F44"/>
  <c r="P13" s="1"/>
  <c r="G13" i="27"/>
  <c r="G51" i="75"/>
  <c r="M51" s="1"/>
  <c r="G52"/>
  <c r="M52" s="1"/>
  <c r="G54"/>
  <c r="G55"/>
  <c r="M55" s="1"/>
  <c r="G56"/>
  <c r="M56" s="1"/>
  <c r="G57"/>
  <c r="M57" s="1"/>
  <c r="G58"/>
  <c r="M58" s="1"/>
  <c r="G60"/>
  <c r="M60" s="1"/>
  <c r="G61"/>
  <c r="M61" s="1"/>
  <c r="G62"/>
  <c r="M62" s="1"/>
  <c r="G63"/>
  <c r="M63" s="1"/>
  <c r="G64"/>
  <c r="M64" s="1"/>
  <c r="G65"/>
  <c r="M65" s="1"/>
  <c r="G66"/>
  <c r="M66" s="1"/>
  <c r="G67"/>
  <c r="M67" s="1"/>
  <c r="G69"/>
  <c r="G71" s="1"/>
  <c r="Q19" s="1"/>
  <c r="G70"/>
  <c r="M70" s="1"/>
  <c r="H38"/>
  <c r="R12" s="1"/>
  <c r="I38"/>
  <c r="S12" s="1"/>
  <c r="J38"/>
  <c r="T12" s="1"/>
  <c r="K38"/>
  <c r="U12" s="1"/>
  <c r="L38"/>
  <c r="V12" s="1"/>
  <c r="F38"/>
  <c r="P12" s="1"/>
  <c r="H31"/>
  <c r="R11" s="1"/>
  <c r="I31"/>
  <c r="S11" s="1"/>
  <c r="J31"/>
  <c r="T11" s="1"/>
  <c r="K31"/>
  <c r="U11" s="1"/>
  <c r="L31"/>
  <c r="V11" s="1"/>
  <c r="F31"/>
  <c r="P11" s="1"/>
  <c r="H28"/>
  <c r="R10" s="1"/>
  <c r="I28"/>
  <c r="S10" s="1"/>
  <c r="J28"/>
  <c r="T10" s="1"/>
  <c r="K28"/>
  <c r="U10" s="1"/>
  <c r="L28"/>
  <c r="V10" s="1"/>
  <c r="F28"/>
  <c r="P10" s="1"/>
  <c r="G26" i="27"/>
  <c r="H24" i="75"/>
  <c r="R9" s="1"/>
  <c r="I24"/>
  <c r="S9" s="1"/>
  <c r="J24"/>
  <c r="T9" s="1"/>
  <c r="K24"/>
  <c r="U9" s="1"/>
  <c r="L24"/>
  <c r="V9" s="1"/>
  <c r="F24"/>
  <c r="P9" s="1"/>
  <c r="H18"/>
  <c r="R8" s="1"/>
  <c r="I18"/>
  <c r="S8" s="1"/>
  <c r="J18"/>
  <c r="T8" s="1"/>
  <c r="K18"/>
  <c r="U8" s="1"/>
  <c r="L18"/>
  <c r="V8" s="1"/>
  <c r="F18"/>
  <c r="P8" s="1"/>
  <c r="F114" i="9" l="1"/>
  <c r="I26" i="27"/>
  <c r="H114" i="9" s="1"/>
  <c r="G59" i="75"/>
  <c r="Q17" s="1"/>
  <c r="F105" i="9"/>
  <c r="I17" i="27"/>
  <c r="H105" i="9" s="1"/>
  <c r="F101"/>
  <c r="I13" i="27"/>
  <c r="G54"/>
  <c r="F121" i="9" s="1"/>
  <c r="M69" i="75"/>
  <c r="M71" s="1"/>
  <c r="M54"/>
  <c r="M59" s="1"/>
  <c r="M68"/>
  <c r="G68"/>
  <c r="Q18" s="1"/>
  <c r="AH12" i="85"/>
  <c r="AI12"/>
  <c r="AJ12"/>
  <c r="AK12"/>
  <c r="AL12"/>
  <c r="AH13"/>
  <c r="AI13"/>
  <c r="AJ13"/>
  <c r="AK13"/>
  <c r="AL13"/>
  <c r="AH14"/>
  <c r="AI14"/>
  <c r="AJ14"/>
  <c r="AK14"/>
  <c r="AL14"/>
  <c r="AH15"/>
  <c r="AI15"/>
  <c r="AJ15"/>
  <c r="AK15"/>
  <c r="AL15"/>
  <c r="AH16"/>
  <c r="AI16"/>
  <c r="AJ16"/>
  <c r="AK16"/>
  <c r="AL16"/>
  <c r="AH17"/>
  <c r="AI17"/>
  <c r="AJ17"/>
  <c r="AK17"/>
  <c r="AL17"/>
  <c r="AH18"/>
  <c r="AI18"/>
  <c r="AJ18"/>
  <c r="AK18"/>
  <c r="AH20"/>
  <c r="AI20"/>
  <c r="AJ20"/>
  <c r="AK20"/>
  <c r="AL20"/>
  <c r="AH21"/>
  <c r="AI21"/>
  <c r="AJ21"/>
  <c r="AK21"/>
  <c r="AL21"/>
  <c r="AH23"/>
  <c r="AI23"/>
  <c r="AJ23"/>
  <c r="AK23"/>
  <c r="AL23"/>
  <c r="E39" i="5"/>
  <c r="H101" i="9" l="1"/>
  <c r="I54" i="27"/>
  <c r="H121" i="9" s="1"/>
  <c r="D14" i="74"/>
  <c r="F14" s="1"/>
  <c r="G14"/>
  <c r="J14"/>
  <c r="D15"/>
  <c r="F15" s="1"/>
  <c r="G15"/>
  <c r="J15"/>
  <c r="D16"/>
  <c r="F16" s="1"/>
  <c r="G16"/>
  <c r="J16"/>
  <c r="D17"/>
  <c r="F17" s="1"/>
  <c r="G17"/>
  <c r="J17"/>
  <c r="D18"/>
  <c r="F18" s="1"/>
  <c r="G18"/>
  <c r="J18"/>
  <c r="D19"/>
  <c r="F19" s="1"/>
  <c r="G19"/>
  <c r="J19"/>
  <c r="D20"/>
  <c r="F20" s="1"/>
  <c r="G20"/>
  <c r="J20"/>
  <c r="D21"/>
  <c r="F21" s="1"/>
  <c r="G21"/>
  <c r="J21"/>
  <c r="D22"/>
  <c r="F22" s="1"/>
  <c r="G22"/>
  <c r="J22"/>
  <c r="D23"/>
  <c r="F23" s="1"/>
  <c r="G23"/>
  <c r="J23"/>
  <c r="D24"/>
  <c r="F24" s="1"/>
  <c r="G24"/>
  <c r="J24"/>
  <c r="D25"/>
  <c r="F25" s="1"/>
  <c r="G25"/>
  <c r="J25"/>
  <c r="J13"/>
  <c r="D13"/>
  <c r="I13" s="1"/>
  <c r="D16" i="51"/>
  <c r="E16"/>
  <c r="F16"/>
  <c r="G16"/>
  <c r="H16"/>
  <c r="D17"/>
  <c r="E17"/>
  <c r="F17"/>
  <c r="G17"/>
  <c r="H17"/>
  <c r="D18"/>
  <c r="E18"/>
  <c r="F18"/>
  <c r="G18"/>
  <c r="H18"/>
  <c r="D19"/>
  <c r="E19"/>
  <c r="F19"/>
  <c r="G19"/>
  <c r="H19"/>
  <c r="D20"/>
  <c r="E20"/>
  <c r="F20"/>
  <c r="G20"/>
  <c r="H20"/>
  <c r="D21"/>
  <c r="E21"/>
  <c r="F21"/>
  <c r="G21"/>
  <c r="H21"/>
  <c r="D23"/>
  <c r="E23"/>
  <c r="F23"/>
  <c r="G23"/>
  <c r="H23"/>
  <c r="D24"/>
  <c r="E24"/>
  <c r="F24"/>
  <c r="G24"/>
  <c r="H24"/>
  <c r="D26"/>
  <c r="E26"/>
  <c r="F26"/>
  <c r="G26"/>
  <c r="H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V27"/>
  <c r="D15"/>
  <c r="E15"/>
  <c r="F15"/>
  <c r="G15"/>
  <c r="H15"/>
  <c r="AY12" i="85"/>
  <c r="U15" i="51" s="1"/>
  <c r="AN12" i="85"/>
  <c r="J15" i="51" s="1"/>
  <c r="AO12" i="85"/>
  <c r="K15" i="51" s="1"/>
  <c r="AP12" i="85"/>
  <c r="L15" i="51" s="1"/>
  <c r="AQ12" i="85"/>
  <c r="M15" i="51" s="1"/>
  <c r="AR12" i="85"/>
  <c r="N15" i="51" s="1"/>
  <c r="AS12" i="85"/>
  <c r="O15" i="51" s="1"/>
  <c r="AT12" i="85"/>
  <c r="P15" i="51" s="1"/>
  <c r="AU12" i="85"/>
  <c r="Q15" i="51" s="1"/>
  <c r="AV12" i="85"/>
  <c r="R15" i="51" s="1"/>
  <c r="AW12" i="85"/>
  <c r="S15" i="51" s="1"/>
  <c r="AN13" i="85"/>
  <c r="J16" i="51" s="1"/>
  <c r="AO13" i="85"/>
  <c r="K16" i="51" s="1"/>
  <c r="AP13" i="85"/>
  <c r="L16" i="51" s="1"/>
  <c r="AQ13" i="85"/>
  <c r="M16" i="51" s="1"/>
  <c r="AR13" i="85"/>
  <c r="N16" i="51" s="1"/>
  <c r="AS13" i="85"/>
  <c r="O16" i="51" s="1"/>
  <c r="AT13" i="85"/>
  <c r="P16" i="51" s="1"/>
  <c r="AU13" i="85"/>
  <c r="Q16" i="51" s="1"/>
  <c r="AV13" i="85"/>
  <c r="R16" i="51" s="1"/>
  <c r="AW13" i="85"/>
  <c r="S16" i="51" s="1"/>
  <c r="AN14" i="85"/>
  <c r="J17" i="51" s="1"/>
  <c r="AO14" i="85"/>
  <c r="K17" i="51" s="1"/>
  <c r="AP14" i="85"/>
  <c r="L17" i="51" s="1"/>
  <c r="AQ14" i="85"/>
  <c r="M17" i="51" s="1"/>
  <c r="AR14" i="85"/>
  <c r="N17" i="51" s="1"/>
  <c r="AS14" i="85"/>
  <c r="O17" i="51" s="1"/>
  <c r="AT14" i="85"/>
  <c r="P17" i="51" s="1"/>
  <c r="AU14" i="85"/>
  <c r="Q17" i="51" s="1"/>
  <c r="AV14" i="85"/>
  <c r="R17" i="51" s="1"/>
  <c r="AW14" i="85"/>
  <c r="S17" i="51" s="1"/>
  <c r="AN15" i="85"/>
  <c r="J18" i="51" s="1"/>
  <c r="AO15" i="85"/>
  <c r="K18" i="51" s="1"/>
  <c r="AP15" i="85"/>
  <c r="L18" i="51" s="1"/>
  <c r="AQ15" i="85"/>
  <c r="M18" i="51" s="1"/>
  <c r="AR15" i="85"/>
  <c r="N18" i="51" s="1"/>
  <c r="AS15" i="85"/>
  <c r="O18" i="51" s="1"/>
  <c r="AT15" i="85"/>
  <c r="P18" i="51" s="1"/>
  <c r="AU15" i="85"/>
  <c r="Q18" i="51" s="1"/>
  <c r="AV15" i="85"/>
  <c r="R18" i="51" s="1"/>
  <c r="AW15" i="85"/>
  <c r="S18" i="51" s="1"/>
  <c r="AN16" i="85"/>
  <c r="J19" i="51" s="1"/>
  <c r="AO16" i="85"/>
  <c r="K19" i="51" s="1"/>
  <c r="AP16" i="85"/>
  <c r="L19" i="51" s="1"/>
  <c r="AQ16" i="85"/>
  <c r="M19" i="51" s="1"/>
  <c r="AR16" i="85"/>
  <c r="N19" i="51" s="1"/>
  <c r="AS16" i="85"/>
  <c r="O19" i="51" s="1"/>
  <c r="AT16" i="85"/>
  <c r="P19" i="51" s="1"/>
  <c r="AU16" i="85"/>
  <c r="Q19" i="51" s="1"/>
  <c r="AV16" i="85"/>
  <c r="R19" i="51" s="1"/>
  <c r="AW16" i="85"/>
  <c r="S19" i="51" s="1"/>
  <c r="AN17" i="85"/>
  <c r="J20" i="51" s="1"/>
  <c r="AO17" i="85"/>
  <c r="K20" i="51" s="1"/>
  <c r="AP17" i="85"/>
  <c r="L20" i="51" s="1"/>
  <c r="AQ17" i="85"/>
  <c r="M20" i="51" s="1"/>
  <c r="AR17" i="85"/>
  <c r="N20" i="51" s="1"/>
  <c r="AS17" i="85"/>
  <c r="O20" i="51" s="1"/>
  <c r="AT17" i="85"/>
  <c r="P20" i="51" s="1"/>
  <c r="AU17" i="85"/>
  <c r="Q20" i="51" s="1"/>
  <c r="AV17" i="85"/>
  <c r="R20" i="51" s="1"/>
  <c r="AW17" i="85"/>
  <c r="S20" i="51" s="1"/>
  <c r="AN18" i="85"/>
  <c r="J21" i="51" s="1"/>
  <c r="AO18" i="85"/>
  <c r="K21" i="51" s="1"/>
  <c r="AP18" i="85"/>
  <c r="L21" i="51" s="1"/>
  <c r="AQ18" i="85"/>
  <c r="M21" i="51" s="1"/>
  <c r="AR18" i="85"/>
  <c r="N21" i="51" s="1"/>
  <c r="AS18" i="85"/>
  <c r="O21" i="51" s="1"/>
  <c r="AT18" i="85"/>
  <c r="P21" i="51" s="1"/>
  <c r="AU18" i="85"/>
  <c r="Q21" i="51" s="1"/>
  <c r="AV18" i="85"/>
  <c r="R21" i="51" s="1"/>
  <c r="AW18" i="85"/>
  <c r="S21" i="51" s="1"/>
  <c r="AN19" i="85"/>
  <c r="J22" i="51" s="1"/>
  <c r="AO19" i="85"/>
  <c r="K22" i="51" s="1"/>
  <c r="AP19" i="85"/>
  <c r="L22" i="51" s="1"/>
  <c r="AQ19" i="85"/>
  <c r="M22" i="51" s="1"/>
  <c r="AR19" i="85"/>
  <c r="N22" i="51" s="1"/>
  <c r="AS19" i="85"/>
  <c r="O22" i="51" s="1"/>
  <c r="AT19" i="85"/>
  <c r="P22" i="51" s="1"/>
  <c r="AU19" i="85"/>
  <c r="Q22" i="51" s="1"/>
  <c r="AV19" i="85"/>
  <c r="R22" i="51" s="1"/>
  <c r="AW19" i="85"/>
  <c r="S22" i="51" s="1"/>
  <c r="AN20" i="85"/>
  <c r="J23" i="51" s="1"/>
  <c r="AO20" i="85"/>
  <c r="K23" i="51" s="1"/>
  <c r="AP20" i="85"/>
  <c r="L23" i="51" s="1"/>
  <c r="AQ20" i="85"/>
  <c r="M23" i="51" s="1"/>
  <c r="AR20" i="85"/>
  <c r="N23" i="51" s="1"/>
  <c r="AS20" i="85"/>
  <c r="O23" i="51" s="1"/>
  <c r="AT20" i="85"/>
  <c r="P23" i="51" s="1"/>
  <c r="AU20" i="85"/>
  <c r="Q23" i="51" s="1"/>
  <c r="AV20" i="85"/>
  <c r="R23" i="51" s="1"/>
  <c r="AW20" i="85"/>
  <c r="S23" i="51" s="1"/>
  <c r="AN21" i="85"/>
  <c r="J24" i="51" s="1"/>
  <c r="AO21" i="85"/>
  <c r="K24" i="51" s="1"/>
  <c r="AP21" i="85"/>
  <c r="L24" i="51" s="1"/>
  <c r="AQ21" i="85"/>
  <c r="M24" i="51" s="1"/>
  <c r="AR21" i="85"/>
  <c r="N24" i="51" s="1"/>
  <c r="AS21" i="85"/>
  <c r="O24" i="51" s="1"/>
  <c r="AT21" i="85"/>
  <c r="P24" i="51" s="1"/>
  <c r="AU21" i="85"/>
  <c r="Q24" i="51" s="1"/>
  <c r="AV21" i="85"/>
  <c r="R24" i="51" s="1"/>
  <c r="AW21" i="85"/>
  <c r="S24" i="51" s="1"/>
  <c r="AG23" i="85"/>
  <c r="C26" i="51" s="1"/>
  <c r="AG18" i="85"/>
  <c r="C21" i="51" s="1"/>
  <c r="AE393" i="85"/>
  <c r="AW23" s="1"/>
  <c r="S26" i="51" s="1"/>
  <c r="AD393" i="85"/>
  <c r="AV23" s="1"/>
  <c r="R26" i="51" s="1"/>
  <c r="AC393" i="85"/>
  <c r="AU23" s="1"/>
  <c r="Q26" i="51" s="1"/>
  <c r="AB393" i="85"/>
  <c r="AT23" s="1"/>
  <c r="P26" i="51" s="1"/>
  <c r="AA393" i="85"/>
  <c r="AS23" s="1"/>
  <c r="O26" i="51" s="1"/>
  <c r="Z393" i="85"/>
  <c r="AR23" s="1"/>
  <c r="N26" i="51" s="1"/>
  <c r="Y393" i="85"/>
  <c r="AQ23" s="1"/>
  <c r="M26" i="51" s="1"/>
  <c r="X393" i="85"/>
  <c r="AP23" s="1"/>
  <c r="L26" i="51" s="1"/>
  <c r="V393" i="85"/>
  <c r="AN23" s="1"/>
  <c r="J26" i="51" s="1"/>
  <c r="U393" i="85"/>
  <c r="AM23" s="1"/>
  <c r="I26" i="51" s="1"/>
  <c r="W19" i="75" s="1"/>
  <c r="W392" i="85"/>
  <c r="T392"/>
  <c r="W391"/>
  <c r="W393" s="1"/>
  <c r="AO23" s="1"/>
  <c r="T391"/>
  <c r="T393" s="1"/>
  <c r="AE365"/>
  <c r="AW22" s="1"/>
  <c r="S25" i="51" s="1"/>
  <c r="AD365" i="85"/>
  <c r="AV22" s="1"/>
  <c r="R25" i="51" s="1"/>
  <c r="AC365" i="85"/>
  <c r="AU22" s="1"/>
  <c r="Q25" i="51" s="1"/>
  <c r="AB365" i="85"/>
  <c r="AT22" s="1"/>
  <c r="P25" i="51" s="1"/>
  <c r="AA365" i="85"/>
  <c r="AS22" s="1"/>
  <c r="O25" i="51" s="1"/>
  <c r="Z365" i="85"/>
  <c r="AR22" s="1"/>
  <c r="N25" i="51" s="1"/>
  <c r="Y365" i="85"/>
  <c r="AQ22" s="1"/>
  <c r="M25" i="51" s="1"/>
  <c r="X365" i="85"/>
  <c r="AP22" s="1"/>
  <c r="L25" i="51" s="1"/>
  <c r="W365" i="85"/>
  <c r="AO22" s="1"/>
  <c r="K25" i="51" s="1"/>
  <c r="V365" i="85"/>
  <c r="AN22" s="1"/>
  <c r="J25" i="51" s="1"/>
  <c r="U365" i="85"/>
  <c r="AM22" s="1"/>
  <c r="I25" i="51" s="1"/>
  <c r="W18" i="75" s="1"/>
  <c r="T360" i="85"/>
  <c r="T359"/>
  <c r="T358"/>
  <c r="T357"/>
  <c r="T365" s="1"/>
  <c r="U293"/>
  <c r="AM20" s="1"/>
  <c r="I23" i="51" s="1"/>
  <c r="W16" i="75" s="1"/>
  <c r="T293" i="85"/>
  <c r="U328"/>
  <c r="AM21" s="1"/>
  <c r="I24" i="51" s="1"/>
  <c r="W17" i="75" s="1"/>
  <c r="T328" i="85"/>
  <c r="U256"/>
  <c r="AM19" s="1"/>
  <c r="I22" i="51" s="1"/>
  <c r="W15" i="75" s="1"/>
  <c r="T256" i="85"/>
  <c r="U222"/>
  <c r="AM18" s="1"/>
  <c r="I21" i="51" s="1"/>
  <c r="W14" i="75" s="1"/>
  <c r="T222" i="85"/>
  <c r="U192"/>
  <c r="AM17" s="1"/>
  <c r="I20" i="51" s="1"/>
  <c r="W13" i="75" s="1"/>
  <c r="T192" i="85"/>
  <c r="U159"/>
  <c r="AM16" s="1"/>
  <c r="I19" i="51" s="1"/>
  <c r="W12" i="75" s="1"/>
  <c r="T159" i="85"/>
  <c r="U122"/>
  <c r="AM15" s="1"/>
  <c r="I18" i="51" s="1"/>
  <c r="W11" i="75" s="1"/>
  <c r="T122" i="85"/>
  <c r="U91"/>
  <c r="AM14" s="1"/>
  <c r="I17" i="51" s="1"/>
  <c r="W10" i="75" s="1"/>
  <c r="T91" i="85"/>
  <c r="U55"/>
  <c r="AM13" s="1"/>
  <c r="I16" i="51" s="1"/>
  <c r="W9" i="75" s="1"/>
  <c r="T55" i="85"/>
  <c r="U17"/>
  <c r="AM12" s="1"/>
  <c r="I15" i="51" s="1"/>
  <c r="W8" i="75" s="1"/>
  <c r="T17" i="85"/>
  <c r="K26" i="51" l="1"/>
  <c r="I25" i="74"/>
  <c r="L25" s="1"/>
  <c r="I24"/>
  <c r="L24" s="1"/>
  <c r="I23"/>
  <c r="L23" s="1"/>
  <c r="I22"/>
  <c r="L22" s="1"/>
  <c r="I21"/>
  <c r="L21" s="1"/>
  <c r="I20"/>
  <c r="L20" s="1"/>
  <c r="I19"/>
  <c r="L19" s="1"/>
  <c r="I18"/>
  <c r="L18" s="1"/>
  <c r="I17"/>
  <c r="L17" s="1"/>
  <c r="I16"/>
  <c r="L16" s="1"/>
  <c r="I15"/>
  <c r="L15" s="1"/>
  <c r="I14"/>
  <c r="L14" s="1"/>
  <c r="E25"/>
  <c r="F13"/>
  <c r="G13"/>
  <c r="E14"/>
  <c r="E15"/>
  <c r="E16"/>
  <c r="E17"/>
  <c r="E18"/>
  <c r="E19"/>
  <c r="E20"/>
  <c r="E21"/>
  <c r="E22"/>
  <c r="E23"/>
  <c r="E24"/>
  <c r="M361" i="85"/>
  <c r="AL22" s="1"/>
  <c r="H25" i="51" s="1"/>
  <c r="L361" i="85"/>
  <c r="AK22" s="1"/>
  <c r="G25" i="51" s="1"/>
  <c r="J361" i="85"/>
  <c r="AI22" s="1"/>
  <c r="E25" i="51" s="1"/>
  <c r="I361" i="85"/>
  <c r="AH22" s="1"/>
  <c r="D25" i="51" s="1"/>
  <c r="H361" i="85"/>
  <c r="AG22" s="1"/>
  <c r="C25" i="51" s="1"/>
  <c r="K360" i="85"/>
  <c r="G360" s="1"/>
  <c r="K359"/>
  <c r="G359" s="1"/>
  <c r="K358"/>
  <c r="G358" s="1"/>
  <c r="K357"/>
  <c r="K361" s="1"/>
  <c r="AJ22" s="1"/>
  <c r="F25" i="51" s="1"/>
  <c r="H332" i="85"/>
  <c r="AG21" s="1"/>
  <c r="C24" i="51" s="1"/>
  <c r="G332" i="85"/>
  <c r="H293"/>
  <c r="AG20" s="1"/>
  <c r="C23" i="51" s="1"/>
  <c r="G293" i="85"/>
  <c r="M256"/>
  <c r="AL19" s="1"/>
  <c r="H22" i="51" s="1"/>
  <c r="L256" i="85"/>
  <c r="AK19" s="1"/>
  <c r="G22" i="51" s="1"/>
  <c r="K256" i="85"/>
  <c r="AJ19" s="1"/>
  <c r="F22" i="51" s="1"/>
  <c r="J256" i="85"/>
  <c r="AI19" s="1"/>
  <c r="E22" i="51" s="1"/>
  <c r="I256" i="85"/>
  <c r="AH19" s="1"/>
  <c r="D22" i="51" s="1"/>
  <c r="H256" i="85"/>
  <c r="AG19" s="1"/>
  <c r="C22" i="51" s="1"/>
  <c r="G256" i="85"/>
  <c r="H196"/>
  <c r="AG17" s="1"/>
  <c r="C20" i="51" s="1"/>
  <c r="G196" i="85"/>
  <c r="H164"/>
  <c r="AG16" s="1"/>
  <c r="C19" i="51" s="1"/>
  <c r="G164" i="85"/>
  <c r="H129"/>
  <c r="AG15" s="1"/>
  <c r="C18" i="51" s="1"/>
  <c r="G129" i="85"/>
  <c r="H96"/>
  <c r="AG14" s="1"/>
  <c r="C17" i="51" s="1"/>
  <c r="G96" i="85"/>
  <c r="H57"/>
  <c r="AG13" s="1"/>
  <c r="C16" i="51" s="1"/>
  <c r="G57" i="85"/>
  <c r="H20"/>
  <c r="AG12" s="1"/>
  <c r="C15" i="51" s="1"/>
  <c r="G20" i="85"/>
  <c r="G16" i="75"/>
  <c r="G17"/>
  <c r="G19"/>
  <c r="G20"/>
  <c r="G21"/>
  <c r="G22"/>
  <c r="G23"/>
  <c r="G25"/>
  <c r="G26"/>
  <c r="G27"/>
  <c r="G29"/>
  <c r="G30"/>
  <c r="G32"/>
  <c r="G33"/>
  <c r="G34"/>
  <c r="G35"/>
  <c r="G36"/>
  <c r="G37"/>
  <c r="G39"/>
  <c r="G40"/>
  <c r="G41"/>
  <c r="G42"/>
  <c r="G43"/>
  <c r="G45"/>
  <c r="G46" s="1"/>
  <c r="Q14" s="1"/>
  <c r="G47"/>
  <c r="G48" s="1"/>
  <c r="Q15" s="1"/>
  <c r="G49"/>
  <c r="G50"/>
  <c r="G15"/>
  <c r="G14"/>
  <c r="G357" i="85" l="1"/>
  <c r="G361" s="1"/>
  <c r="G53" i="75"/>
  <c r="Q16" s="1"/>
  <c r="G44"/>
  <c r="Q13" s="1"/>
  <c r="G38"/>
  <c r="Q12" s="1"/>
  <c r="G31"/>
  <c r="Q11" s="1"/>
  <c r="G28"/>
  <c r="Q10" s="1"/>
  <c r="G24"/>
  <c r="Q9" s="1"/>
  <c r="G18"/>
  <c r="Q8" s="1"/>
  <c r="E13" i="74"/>
  <c r="E28" i="18"/>
  <c r="E16"/>
  <c r="E15"/>
  <c r="G13" i="11"/>
  <c r="G18" s="1"/>
  <c r="F224" i="9" s="1"/>
  <c r="F13" i="11"/>
  <c r="F18" s="1"/>
  <c r="E224" i="9" s="1"/>
  <c r="E8" i="11"/>
  <c r="I6"/>
  <c r="H6"/>
  <c r="H13" s="1"/>
  <c r="H18" s="1"/>
  <c r="E6"/>
  <c r="E13" s="1"/>
  <c r="E213" i="9"/>
  <c r="F213"/>
  <c r="G213"/>
  <c r="H213"/>
  <c r="E214"/>
  <c r="F214"/>
  <c r="G214"/>
  <c r="H214"/>
  <c r="E215"/>
  <c r="F215"/>
  <c r="G215"/>
  <c r="E216"/>
  <c r="F216"/>
  <c r="G216"/>
  <c r="H216"/>
  <c r="E217"/>
  <c r="F217"/>
  <c r="G217"/>
  <c r="H217"/>
  <c r="E218"/>
  <c r="F218"/>
  <c r="G218"/>
  <c r="H218"/>
  <c r="E219"/>
  <c r="F219"/>
  <c r="E220"/>
  <c r="F220"/>
  <c r="G220"/>
  <c r="E221"/>
  <c r="F221"/>
  <c r="G221"/>
  <c r="H221"/>
  <c r="E222"/>
  <c r="F222"/>
  <c r="G222"/>
  <c r="H222"/>
  <c r="E223"/>
  <c r="F223"/>
  <c r="G223"/>
  <c r="H223"/>
  <c r="D214"/>
  <c r="D215"/>
  <c r="D216"/>
  <c r="D217"/>
  <c r="D218"/>
  <c r="D220"/>
  <c r="D221"/>
  <c r="D222"/>
  <c r="D223"/>
  <c r="D213"/>
  <c r="D212"/>
  <c r="G87"/>
  <c r="C61"/>
  <c r="D61"/>
  <c r="E61"/>
  <c r="F61"/>
  <c r="C62"/>
  <c r="D62"/>
  <c r="E62"/>
  <c r="F62"/>
  <c r="C63"/>
  <c r="D63"/>
  <c r="E63"/>
  <c r="F63"/>
  <c r="C64"/>
  <c r="D64"/>
  <c r="E64"/>
  <c r="F64"/>
  <c r="C65"/>
  <c r="D65"/>
  <c r="E65"/>
  <c r="F65"/>
  <c r="C66"/>
  <c r="D66"/>
  <c r="E66"/>
  <c r="F66"/>
  <c r="C67"/>
  <c r="D67"/>
  <c r="E67"/>
  <c r="F67"/>
  <c r="D60"/>
  <c r="D68" s="1"/>
  <c r="E60"/>
  <c r="E68" s="1"/>
  <c r="F60"/>
  <c r="F68" s="1"/>
  <c r="C60"/>
  <c r="D26" i="1"/>
  <c r="F28"/>
  <c r="H12" i="44"/>
  <c r="H11"/>
  <c r="H10"/>
  <c r="G14" i="83"/>
  <c r="E9" i="18" s="1"/>
  <c r="E8" s="1"/>
  <c r="E27"/>
  <c r="E123" i="9" l="1"/>
  <c r="E124"/>
  <c r="E18" i="11"/>
  <c r="J6"/>
  <c r="E32" i="19"/>
  <c r="D24" i="14" s="1"/>
  <c r="G40" i="40"/>
  <c r="G20"/>
  <c r="G28" s="1"/>
  <c r="G43" s="1"/>
  <c r="G11"/>
  <c r="L26" i="74"/>
  <c r="L13"/>
  <c r="F91" i="73"/>
  <c r="B66"/>
  <c r="B67"/>
  <c r="B65"/>
  <c r="I60" l="1"/>
  <c r="F58"/>
  <c r="G58"/>
  <c r="J58"/>
  <c r="M58"/>
  <c r="E58"/>
  <c r="F34"/>
  <c r="G34"/>
  <c r="J34"/>
  <c r="M34"/>
  <c r="E34"/>
  <c r="F30"/>
  <c r="G30"/>
  <c r="J30"/>
  <c r="M30"/>
  <c r="F13"/>
  <c r="G13"/>
  <c r="J13"/>
  <c r="M13"/>
  <c r="E13"/>
  <c r="F9"/>
  <c r="F60" s="1"/>
  <c r="G9"/>
  <c r="G60" s="1"/>
  <c r="J9"/>
  <c r="L9"/>
  <c r="M9"/>
  <c r="M60" s="1"/>
  <c r="N9"/>
  <c r="E9"/>
  <c r="G35" i="72"/>
  <c r="E35"/>
  <c r="AA30" i="51"/>
  <c r="AB30"/>
  <c r="AD30"/>
  <c r="AE30"/>
  <c r="AF30"/>
  <c r="Z16"/>
  <c r="AC16" s="1"/>
  <c r="Z17"/>
  <c r="AC17" s="1"/>
  <c r="Z18"/>
  <c r="AC18" s="1"/>
  <c r="Z19"/>
  <c r="AC19" s="1"/>
  <c r="Z20"/>
  <c r="Z21"/>
  <c r="AC21" s="1"/>
  <c r="Z22"/>
  <c r="AC22" s="1"/>
  <c r="Z23"/>
  <c r="AC23" s="1"/>
  <c r="Z24"/>
  <c r="AC24" s="1"/>
  <c r="Z25"/>
  <c r="AC25" s="1"/>
  <c r="Z26"/>
  <c r="AC26" s="1"/>
  <c r="Z27"/>
  <c r="Z28"/>
  <c r="Z29"/>
  <c r="Z15"/>
  <c r="AC15" s="1"/>
  <c r="Y16"/>
  <c r="Y17"/>
  <c r="Y18"/>
  <c r="Y19"/>
  <c r="Y20"/>
  <c r="Y21"/>
  <c r="Y22"/>
  <c r="Y23"/>
  <c r="Y24"/>
  <c r="Y25"/>
  <c r="Y26"/>
  <c r="Y27"/>
  <c r="Y28"/>
  <c r="Y29"/>
  <c r="Y15"/>
  <c r="S30"/>
  <c r="S32" s="1"/>
  <c r="R30"/>
  <c r="R32" s="1"/>
  <c r="Q30"/>
  <c r="Q32" s="1"/>
  <c r="P30"/>
  <c r="P32" s="1"/>
  <c r="O30"/>
  <c r="O32" s="1"/>
  <c r="N30"/>
  <c r="N32" s="1"/>
  <c r="M30"/>
  <c r="M32" s="1"/>
  <c r="L30"/>
  <c r="L32" s="1"/>
  <c r="K30"/>
  <c r="K32" s="1"/>
  <c r="J30"/>
  <c r="J32" s="1"/>
  <c r="I30"/>
  <c r="H30"/>
  <c r="H32" s="1"/>
  <c r="G30"/>
  <c r="G32" s="1"/>
  <c r="F30"/>
  <c r="F32" s="1"/>
  <c r="E30"/>
  <c r="E32" s="1"/>
  <c r="D30"/>
  <c r="D32" s="1"/>
  <c r="C30"/>
  <c r="AY13" i="85"/>
  <c r="U16" i="51" s="1"/>
  <c r="AX12" i="85"/>
  <c r="AX23"/>
  <c r="T26" i="51" s="1"/>
  <c r="AX22" i="85"/>
  <c r="T25" i="51" s="1"/>
  <c r="AX21" i="85"/>
  <c r="T24" i="51" s="1"/>
  <c r="AX20" i="85"/>
  <c r="T23" i="51" s="1"/>
  <c r="AX19" i="85"/>
  <c r="T22" i="51" s="1"/>
  <c r="AX18" i="85"/>
  <c r="T21" i="51" s="1"/>
  <c r="AX17" i="85"/>
  <c r="T20" i="51" s="1"/>
  <c r="AX16" i="85"/>
  <c r="T19" i="51" s="1"/>
  <c r="AX15" i="85"/>
  <c r="T18" i="51" s="1"/>
  <c r="AX14" i="85"/>
  <c r="T17" i="51" s="1"/>
  <c r="AX13" i="85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Z13" l="1"/>
  <c r="V16" i="51" s="1"/>
  <c r="T16"/>
  <c r="C32"/>
  <c r="I32"/>
  <c r="F59" i="27"/>
  <c r="AZ12" i="85"/>
  <c r="V15" i="51" s="1"/>
  <c r="T15"/>
  <c r="T30" s="1"/>
  <c r="E60" i="73"/>
  <c r="J60"/>
  <c r="Z30" i="51"/>
  <c r="E45" i="5" s="1"/>
  <c r="AC20" i="51"/>
  <c r="AC30" s="1"/>
  <c r="E11" i="16" s="1"/>
  <c r="AX27" i="85"/>
  <c r="AY14" l="1"/>
  <c r="AZ14" l="1"/>
  <c r="V17" i="51" s="1"/>
  <c r="U17"/>
  <c r="AY15" i="85"/>
  <c r="AZ15" l="1"/>
  <c r="V18" i="51" s="1"/>
  <c r="U18"/>
  <c r="AY16" i="85"/>
  <c r="AZ16" l="1"/>
  <c r="V19" i="51" s="1"/>
  <c r="U19"/>
  <c r="AY17" i="85"/>
  <c r="U20" i="51" s="1"/>
  <c r="AY18" i="85" l="1"/>
  <c r="U21" i="51" s="1"/>
  <c r="AZ17" i="85"/>
  <c r="V20" i="51" s="1"/>
  <c r="AY19" i="85"/>
  <c r="U22" i="51" s="1"/>
  <c r="AZ18" i="85" l="1"/>
  <c r="V21" i="51" s="1"/>
  <c r="AY20" i="85"/>
  <c r="U23" i="51" s="1"/>
  <c r="AZ19" i="85"/>
  <c r="V22" i="51" s="1"/>
  <c r="AY21" i="85" l="1"/>
  <c r="U24" i="51" s="1"/>
  <c r="AZ20" i="85"/>
  <c r="V23" i="51" s="1"/>
  <c r="AY22" i="85" l="1"/>
  <c r="U25" i="51" s="1"/>
  <c r="AZ21" i="85"/>
  <c r="V24" i="51" s="1"/>
  <c r="AY23" i="85" l="1"/>
  <c r="AZ22"/>
  <c r="V25" i="51" s="1"/>
  <c r="U26" l="1"/>
  <c r="AY24" i="85"/>
  <c r="U27" i="51" s="1"/>
  <c r="AZ23" i="85"/>
  <c r="AY27"/>
  <c r="J10" i="11"/>
  <c r="I216" i="9" s="1"/>
  <c r="J11" i="11"/>
  <c r="I217" i="9" s="1"/>
  <c r="J12" i="11"/>
  <c r="I218" i="9" s="1"/>
  <c r="D6" i="79"/>
  <c r="D39"/>
  <c r="F26"/>
  <c r="D26"/>
  <c r="F12"/>
  <c r="E12"/>
  <c r="E39" s="1"/>
  <c r="D12"/>
  <c r="R14" i="73"/>
  <c r="S14"/>
  <c r="T14"/>
  <c r="U14"/>
  <c r="V14"/>
  <c r="W14"/>
  <c r="X14"/>
  <c r="Y14"/>
  <c r="R15"/>
  <c r="S15"/>
  <c r="T15"/>
  <c r="U15"/>
  <c r="V15"/>
  <c r="W15"/>
  <c r="X15"/>
  <c r="Y15"/>
  <c r="R16"/>
  <c r="S16"/>
  <c r="T16"/>
  <c r="U16"/>
  <c r="V16"/>
  <c r="W16"/>
  <c r="X16"/>
  <c r="Y16"/>
  <c r="R17"/>
  <c r="S17"/>
  <c r="T17"/>
  <c r="U17"/>
  <c r="V17"/>
  <c r="W17"/>
  <c r="X17"/>
  <c r="Y17"/>
  <c r="R18"/>
  <c r="S18"/>
  <c r="T18"/>
  <c r="U18"/>
  <c r="V18"/>
  <c r="W18"/>
  <c r="X18"/>
  <c r="Y18"/>
  <c r="R19"/>
  <c r="S19"/>
  <c r="T19"/>
  <c r="U19"/>
  <c r="V19"/>
  <c r="W19"/>
  <c r="X19"/>
  <c r="Y19"/>
  <c r="R20"/>
  <c r="S20"/>
  <c r="T20"/>
  <c r="U20"/>
  <c r="V20"/>
  <c r="W20"/>
  <c r="X20"/>
  <c r="Y20"/>
  <c r="R21"/>
  <c r="S21"/>
  <c r="T21"/>
  <c r="U21"/>
  <c r="V21"/>
  <c r="W21"/>
  <c r="X21"/>
  <c r="Y21"/>
  <c r="R22"/>
  <c r="S22"/>
  <c r="T22"/>
  <c r="U22"/>
  <c r="V22"/>
  <c r="W22"/>
  <c r="X22"/>
  <c r="Y22"/>
  <c r="R23"/>
  <c r="S23"/>
  <c r="T23"/>
  <c r="U23"/>
  <c r="U27" s="1"/>
  <c r="V23"/>
  <c r="W23"/>
  <c r="X23"/>
  <c r="Y23"/>
  <c r="R24"/>
  <c r="S24"/>
  <c r="T24"/>
  <c r="U24"/>
  <c r="V24"/>
  <c r="W24"/>
  <c r="X24"/>
  <c r="Y24"/>
  <c r="R25"/>
  <c r="S25"/>
  <c r="T25"/>
  <c r="U25"/>
  <c r="V25"/>
  <c r="W25"/>
  <c r="X25"/>
  <c r="Y25"/>
  <c r="R26"/>
  <c r="S26"/>
  <c r="T26"/>
  <c r="U26"/>
  <c r="V26"/>
  <c r="W26"/>
  <c r="X26"/>
  <c r="Y26"/>
  <c r="S13"/>
  <c r="T13"/>
  <c r="T27" s="1"/>
  <c r="F62" s="1"/>
  <c r="U13"/>
  <c r="V13"/>
  <c r="V27" s="1"/>
  <c r="W13"/>
  <c r="W27"/>
  <c r="X13"/>
  <c r="Y13"/>
  <c r="R13"/>
  <c r="X27"/>
  <c r="K33"/>
  <c r="L33" s="1"/>
  <c r="N33" s="1"/>
  <c r="O33" s="1"/>
  <c r="K32"/>
  <c r="K17"/>
  <c r="L17" s="1"/>
  <c r="N17" s="1"/>
  <c r="K18"/>
  <c r="L18" s="1"/>
  <c r="N18" s="1"/>
  <c r="O18" s="1"/>
  <c r="K19"/>
  <c r="L19" s="1"/>
  <c r="N19" s="1"/>
  <c r="K20"/>
  <c r="L20" s="1"/>
  <c r="N20" s="1"/>
  <c r="H33"/>
  <c r="H32"/>
  <c r="D16" i="14"/>
  <c r="D26"/>
  <c r="F8" i="16"/>
  <c r="R53" i="75"/>
  <c r="S53"/>
  <c r="S25" s="1"/>
  <c r="S29" s="1"/>
  <c r="T53"/>
  <c r="U53"/>
  <c r="D17" i="14" s="1"/>
  <c r="I9" i="11"/>
  <c r="F44" i="19"/>
  <c r="L59" i="73"/>
  <c r="E26" i="79" s="1"/>
  <c r="H59" i="73"/>
  <c r="G12" i="79" s="1"/>
  <c r="F28" i="19"/>
  <c r="E8" i="9"/>
  <c r="F20" i="79"/>
  <c r="E20"/>
  <c r="D20"/>
  <c r="E13" i="16"/>
  <c r="E10" i="80" s="1"/>
  <c r="E12" i="16"/>
  <c r="I140" i="9"/>
  <c r="E14" i="16"/>
  <c r="E22" i="80"/>
  <c r="AG30" i="51"/>
  <c r="I24" i="7"/>
  <c r="G43" i="9" s="1"/>
  <c r="H11" i="45"/>
  <c r="F34" i="19"/>
  <c r="F212" i="9"/>
  <c r="G212"/>
  <c r="C213"/>
  <c r="C214"/>
  <c r="C215"/>
  <c r="C216"/>
  <c r="C217"/>
  <c r="C218"/>
  <c r="C219"/>
  <c r="C220"/>
  <c r="C221"/>
  <c r="C222"/>
  <c r="C223"/>
  <c r="C224"/>
  <c r="C212"/>
  <c r="F205"/>
  <c r="C205"/>
  <c r="D205"/>
  <c r="B205"/>
  <c r="H204"/>
  <c r="F204"/>
  <c r="D204"/>
  <c r="H203"/>
  <c r="F203"/>
  <c r="H202"/>
  <c r="F202"/>
  <c r="C202"/>
  <c r="D202"/>
  <c r="B202"/>
  <c r="H201"/>
  <c r="G201"/>
  <c r="F201"/>
  <c r="F206" s="1"/>
  <c r="C201"/>
  <c r="D201"/>
  <c r="B201"/>
  <c r="H189"/>
  <c r="I158"/>
  <c r="C43"/>
  <c r="C42"/>
  <c r="G41"/>
  <c r="C41"/>
  <c r="E9"/>
  <c r="F239" s="1"/>
  <c r="F44" i="79" s="1"/>
  <c r="E26" i="80" s="1"/>
  <c r="D48" i="81" s="1"/>
  <c r="D53" i="82" s="1"/>
  <c r="F22" i="80"/>
  <c r="F16"/>
  <c r="F17"/>
  <c r="F13"/>
  <c r="F10"/>
  <c r="F9"/>
  <c r="E13"/>
  <c r="F8"/>
  <c r="F7" s="1"/>
  <c r="F20" i="81"/>
  <c r="F18"/>
  <c r="F16" s="1"/>
  <c r="F15"/>
  <c r="F8"/>
  <c r="F7" s="1"/>
  <c r="F6" s="1"/>
  <c r="F14"/>
  <c r="F13"/>
  <c r="F12" s="1"/>
  <c r="E40"/>
  <c r="J7" i="42"/>
  <c r="F21" i="79"/>
  <c r="D21"/>
  <c r="E19"/>
  <c r="F19"/>
  <c r="G19"/>
  <c r="D19"/>
  <c r="E7"/>
  <c r="E34" s="1"/>
  <c r="F7"/>
  <c r="D7"/>
  <c r="E6"/>
  <c r="E33" s="1"/>
  <c r="F6"/>
  <c r="E12" i="9"/>
  <c r="F27" i="18"/>
  <c r="F28"/>
  <c r="K10" i="73"/>
  <c r="L10" s="1"/>
  <c r="K11"/>
  <c r="H10"/>
  <c r="H11"/>
  <c r="K8"/>
  <c r="K9" s="1"/>
  <c r="D33" i="79" s="1"/>
  <c r="H8" i="73"/>
  <c r="H9" s="1"/>
  <c r="G6" i="79" s="1"/>
  <c r="F46" i="19"/>
  <c r="F21"/>
  <c r="F11"/>
  <c r="F6" s="1"/>
  <c r="F7"/>
  <c r="L27" i="74"/>
  <c r="E14" i="18" s="1"/>
  <c r="D43" i="82"/>
  <c r="D31"/>
  <c r="F28" i="81"/>
  <c r="E28"/>
  <c r="F11" i="80"/>
  <c r="E11"/>
  <c r="F15"/>
  <c r="G40" i="79"/>
  <c r="F25"/>
  <c r="D25"/>
  <c r="F23"/>
  <c r="D23"/>
  <c r="F22"/>
  <c r="D22"/>
  <c r="E11"/>
  <c r="E38" s="1"/>
  <c r="F11"/>
  <c r="D11"/>
  <c r="F9"/>
  <c r="A33" i="82"/>
  <c r="A34" s="1"/>
  <c r="A35" s="1"/>
  <c r="A36" s="1"/>
  <c r="A37" s="1"/>
  <c r="A38" s="1"/>
  <c r="A39" s="1"/>
  <c r="A40" s="1"/>
  <c r="A41" s="1"/>
  <c r="A42" s="1"/>
  <c r="A28"/>
  <c r="A29" s="1"/>
  <c r="A30" s="1"/>
  <c r="A19"/>
  <c r="A20"/>
  <c r="A21" s="1"/>
  <c r="A22" s="1"/>
  <c r="A23" s="1"/>
  <c r="A24" s="1"/>
  <c r="A25" s="1"/>
  <c r="A15"/>
  <c r="A16" s="1"/>
  <c r="A6"/>
  <c r="A7" s="1"/>
  <c r="A8" s="1"/>
  <c r="A9" s="1"/>
  <c r="A10" s="1"/>
  <c r="A11" s="1"/>
  <c r="A12" s="1"/>
  <c r="D33" i="81"/>
  <c r="D34"/>
  <c r="D35" s="1"/>
  <c r="D36" s="1"/>
  <c r="D37" s="1"/>
  <c r="D17"/>
  <c r="D18" s="1"/>
  <c r="D19" s="1"/>
  <c r="D20" s="1"/>
  <c r="D21" s="1"/>
  <c r="D22" s="1"/>
  <c r="D23" s="1"/>
  <c r="D24" s="1"/>
  <c r="D25" s="1"/>
  <c r="D26" s="1"/>
  <c r="D27" s="1"/>
  <c r="D28" s="1"/>
  <c r="D7"/>
  <c r="D8" s="1"/>
  <c r="D9" s="1"/>
  <c r="D10" s="1"/>
  <c r="D11" s="1"/>
  <c r="A34" i="79"/>
  <c r="A35"/>
  <c r="A36" s="1"/>
  <c r="A37" s="1"/>
  <c r="A38" s="1"/>
  <c r="A39" s="1"/>
  <c r="A40" s="1"/>
  <c r="A21"/>
  <c r="A22" s="1"/>
  <c r="A23" s="1"/>
  <c r="A24" s="1"/>
  <c r="A25" s="1"/>
  <c r="A26" s="1"/>
  <c r="A27" s="1"/>
  <c r="A7"/>
  <c r="A8"/>
  <c r="A9" s="1"/>
  <c r="A10" s="1"/>
  <c r="A11" s="1"/>
  <c r="A12" s="1"/>
  <c r="A13" s="1"/>
  <c r="J15" i="11"/>
  <c r="I221" i="9" s="1"/>
  <c r="J16" i="11"/>
  <c r="I222" i="9" s="1"/>
  <c r="J17" i="11"/>
  <c r="I223" i="9" s="1"/>
  <c r="J7" i="11"/>
  <c r="I213" i="9" s="1"/>
  <c r="D42" i="20"/>
  <c r="C5" i="87" s="1"/>
  <c r="F29" i="16"/>
  <c r="D3" i="73"/>
  <c r="D66" s="1"/>
  <c r="D2"/>
  <c r="D65" s="1"/>
  <c r="K37"/>
  <c r="L37" s="1"/>
  <c r="N37" s="1"/>
  <c r="O37" s="1"/>
  <c r="H37"/>
  <c r="K36"/>
  <c r="H36"/>
  <c r="H58" s="1"/>
  <c r="E205" i="9" s="1"/>
  <c r="B204"/>
  <c r="E23" i="16"/>
  <c r="C203" i="9"/>
  <c r="B203"/>
  <c r="H20" i="73"/>
  <c r="O20" s="1"/>
  <c r="H19"/>
  <c r="H17"/>
  <c r="O17" s="1"/>
  <c r="K16"/>
  <c r="H16"/>
  <c r="K12"/>
  <c r="L12"/>
  <c r="N12" s="1"/>
  <c r="H12"/>
  <c r="O12" s="1"/>
  <c r="C4" i="75"/>
  <c r="P2"/>
  <c r="M23"/>
  <c r="M25"/>
  <c r="M26"/>
  <c r="M27"/>
  <c r="M29"/>
  <c r="M30"/>
  <c r="M32"/>
  <c r="M33"/>
  <c r="M34"/>
  <c r="M35"/>
  <c r="M36"/>
  <c r="M37"/>
  <c r="M39"/>
  <c r="M40"/>
  <c r="M41"/>
  <c r="M42"/>
  <c r="M43"/>
  <c r="M45"/>
  <c r="M46" s="1"/>
  <c r="M47"/>
  <c r="M48" s="1"/>
  <c r="M49"/>
  <c r="M50"/>
  <c r="I30" i="7"/>
  <c r="I31"/>
  <c r="I32"/>
  <c r="I33"/>
  <c r="I34"/>
  <c r="X14" i="75"/>
  <c r="X18"/>
  <c r="W3"/>
  <c r="G34" i="5"/>
  <c r="G35"/>
  <c r="G36"/>
  <c r="G37"/>
  <c r="G24"/>
  <c r="G25"/>
  <c r="G26"/>
  <c r="G27"/>
  <c r="G28"/>
  <c r="G29"/>
  <c r="G30"/>
  <c r="G31"/>
  <c r="J7" i="40"/>
  <c r="I40" i="47"/>
  <c r="G13" i="4"/>
  <c r="G14"/>
  <c r="G15"/>
  <c r="G16"/>
  <c r="G17"/>
  <c r="G18"/>
  <c r="G19"/>
  <c r="G20"/>
  <c r="G12"/>
  <c r="G11" i="5"/>
  <c r="G61" i="9" s="1"/>
  <c r="G12" i="5"/>
  <c r="G62" i="9" s="1"/>
  <c r="G13" i="5"/>
  <c r="G63" i="9" s="1"/>
  <c r="G14" i="5"/>
  <c r="G64" i="9" s="1"/>
  <c r="G15" i="5"/>
  <c r="G65" i="9" s="1"/>
  <c r="G16" i="5"/>
  <c r="G66" i="9" s="1"/>
  <c r="G17" i="5"/>
  <c r="G67" i="9" s="1"/>
  <c r="G18" i="5"/>
  <c r="G19"/>
  <c r="G20"/>
  <c r="G21"/>
  <c r="G22"/>
  <c r="G23"/>
  <c r="G32"/>
  <c r="G33"/>
  <c r="G10"/>
  <c r="G60" i="9" s="1"/>
  <c r="F8" i="8"/>
  <c r="F12" s="1"/>
  <c r="E8" i="19" s="1"/>
  <c r="D45" i="9"/>
  <c r="E45"/>
  <c r="F45"/>
  <c r="G42" i="72"/>
  <c r="E25" i="16" s="1"/>
  <c r="E20" i="81" s="1"/>
  <c r="E31" i="16"/>
  <c r="E29" s="1"/>
  <c r="E34" s="1"/>
  <c r="H182" i="9"/>
  <c r="H183"/>
  <c r="H184"/>
  <c r="H174"/>
  <c r="I161"/>
  <c r="E5"/>
  <c r="E11"/>
  <c r="E10"/>
  <c r="D4" i="73" s="1"/>
  <c r="D67" s="1"/>
  <c r="E6" i="9"/>
  <c r="G81"/>
  <c r="G22" i="4"/>
  <c r="E13" i="19" s="1"/>
  <c r="D71" i="9" s="1"/>
  <c r="G39" i="5"/>
  <c r="E12" i="19" s="1"/>
  <c r="D9" i="14" s="1"/>
  <c r="E122" i="9"/>
  <c r="C4" i="40"/>
  <c r="F13" i="1"/>
  <c r="F14" s="1"/>
  <c r="F15" s="1"/>
  <c r="F16" s="1"/>
  <c r="F17" s="1"/>
  <c r="F18" s="1"/>
  <c r="F19" s="1"/>
  <c r="F20" s="1"/>
  <c r="F21" s="1"/>
  <c r="F22" s="1"/>
  <c r="F23" s="1"/>
  <c r="F24" s="1"/>
  <c r="F25" s="1"/>
  <c r="M14" i="75"/>
  <c r="M15"/>
  <c r="M16"/>
  <c r="M17"/>
  <c r="M19"/>
  <c r="M20"/>
  <c r="M21"/>
  <c r="M22"/>
  <c r="H1" i="11"/>
  <c r="D1" i="14"/>
  <c r="E1" i="16"/>
  <c r="E1" i="18"/>
  <c r="E1" i="19"/>
  <c r="E32" i="14"/>
  <c r="H40" i="44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41" i="45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I13" i="47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12"/>
  <c r="I41"/>
  <c r="E22" i="19" s="1"/>
  <c r="G76" i="9" s="1"/>
  <c r="C2" i="8"/>
  <c r="D13" i="11"/>
  <c r="D18" s="1"/>
  <c r="I18" i="42"/>
  <c r="F19" i="16"/>
  <c r="F16" s="1"/>
  <c r="F34"/>
  <c r="E8" i="14"/>
  <c r="E15"/>
  <c r="E28" s="1"/>
  <c r="E30" s="1"/>
  <c r="E34" s="1"/>
  <c r="E22"/>
  <c r="E3"/>
  <c r="I14" i="42"/>
  <c r="I15"/>
  <c r="I16"/>
  <c r="I17"/>
  <c r="I19"/>
  <c r="I20"/>
  <c r="E26" i="19" s="1"/>
  <c r="H181" i="9"/>
  <c r="G5" i="8"/>
  <c r="J7" i="7"/>
  <c r="C4"/>
  <c r="E46" i="19"/>
  <c r="E34"/>
  <c r="F2"/>
  <c r="F2" i="16"/>
  <c r="F39" i="5"/>
  <c r="D39"/>
  <c r="H5"/>
  <c r="C2"/>
  <c r="I7" i="4"/>
  <c r="C4"/>
  <c r="J7" i="1"/>
  <c r="C4"/>
  <c r="I7" i="47"/>
  <c r="C4"/>
  <c r="I7" i="45"/>
  <c r="C4"/>
  <c r="H7" i="44"/>
  <c r="C4"/>
  <c r="H22" i="43"/>
  <c r="H23"/>
  <c r="H52" s="1"/>
  <c r="E25" i="19" s="1"/>
  <c r="H24" i="43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7"/>
  <c r="C4"/>
  <c r="G20" i="42"/>
  <c r="C4"/>
  <c r="I7" i="27"/>
  <c r="C4"/>
  <c r="J7" i="51"/>
  <c r="C4"/>
  <c r="Y4"/>
  <c r="F8" i="18"/>
  <c r="D8" i="11"/>
  <c r="F2" i="18"/>
  <c r="I2" i="11"/>
  <c r="R25" i="75"/>
  <c r="R29"/>
  <c r="T25"/>
  <c r="T29"/>
  <c r="V29"/>
  <c r="W29"/>
  <c r="X29"/>
  <c r="K7"/>
  <c r="L2" i="73" s="1"/>
  <c r="J4" i="72"/>
  <c r="C1"/>
  <c r="D29" i="14"/>
  <c r="H192" i="9" s="1"/>
  <c r="E8" i="81"/>
  <c r="T20" i="75"/>
  <c r="T22"/>
  <c r="R20"/>
  <c r="R22"/>
  <c r="P20"/>
  <c r="P22"/>
  <c r="V20"/>
  <c r="V22"/>
  <c r="U20"/>
  <c r="U22"/>
  <c r="S20"/>
  <c r="S22"/>
  <c r="Q20"/>
  <c r="Q22"/>
  <c r="Q30" s="1"/>
  <c r="F8" i="79"/>
  <c r="J8" i="11"/>
  <c r="I214" i="9" s="1"/>
  <c r="G20" i="79"/>
  <c r="H27" i="74"/>
  <c r="H29" s="1"/>
  <c r="H187" i="9"/>
  <c r="H44" i="45"/>
  <c r="E23" i="19" s="1"/>
  <c r="G79" i="9" s="1"/>
  <c r="X16" i="75"/>
  <c r="X12"/>
  <c r="X10"/>
  <c r="X19"/>
  <c r="X17"/>
  <c r="X15"/>
  <c r="X9"/>
  <c r="X13"/>
  <c r="X11"/>
  <c r="W20"/>
  <c r="W22"/>
  <c r="X8"/>
  <c r="X20"/>
  <c r="X22" s="1"/>
  <c r="K27" i="74"/>
  <c r="C27"/>
  <c r="F27"/>
  <c r="E21" i="16" s="1"/>
  <c r="J27" i="74"/>
  <c r="G27"/>
  <c r="E20" i="16"/>
  <c r="I147" i="9" s="1"/>
  <c r="E27" i="74"/>
  <c r="D27"/>
  <c r="I27"/>
  <c r="D12" i="82"/>
  <c r="D13" s="1"/>
  <c r="E9" i="80"/>
  <c r="I212" i="9"/>
  <c r="G219"/>
  <c r="H212"/>
  <c r="G224"/>
  <c r="E45" i="18"/>
  <c r="D203" i="9"/>
  <c r="E8" i="79"/>
  <c r="E35" s="1"/>
  <c r="D8"/>
  <c r="B206" i="9"/>
  <c r="E9" i="79"/>
  <c r="C204" i="9"/>
  <c r="C206" s="1"/>
  <c r="D9" i="79"/>
  <c r="E36"/>
  <c r="Q29" i="75"/>
  <c r="H180" i="9"/>
  <c r="F38" i="18"/>
  <c r="E212" i="9"/>
  <c r="D219"/>
  <c r="D224"/>
  <c r="E39" i="18"/>
  <c r="F12"/>
  <c r="F6" s="1"/>
  <c r="F36" s="1"/>
  <c r="F52" s="1"/>
  <c r="E13" i="81" l="1"/>
  <c r="E28" i="19"/>
  <c r="F14" i="79"/>
  <c r="F28"/>
  <c r="F23" i="80"/>
  <c r="D206" i="9"/>
  <c r="D14" i="79"/>
  <c r="E14" i="81"/>
  <c r="I148" i="9"/>
  <c r="G84"/>
  <c r="E10" i="81"/>
  <c r="F26" i="1"/>
  <c r="F30" s="1"/>
  <c r="C54" i="9"/>
  <c r="E12" i="81"/>
  <c r="K29" i="74"/>
  <c r="D47"/>
  <c r="H30" i="73"/>
  <c r="K58"/>
  <c r="F43" i="19" s="1"/>
  <c r="L36" i="73"/>
  <c r="K30"/>
  <c r="L16"/>
  <c r="N11"/>
  <c r="L11"/>
  <c r="K34"/>
  <c r="L32"/>
  <c r="D15" i="14"/>
  <c r="E7" i="81"/>
  <c r="E6" s="1"/>
  <c r="E18" i="16"/>
  <c r="I145" i="9" s="1"/>
  <c r="E14" i="79"/>
  <c r="H47" i="74"/>
  <c r="E15" i="16"/>
  <c r="I154" i="9"/>
  <c r="I159" s="1"/>
  <c r="D25" i="14"/>
  <c r="U25" i="75"/>
  <c r="U29" s="1"/>
  <c r="U30" s="1"/>
  <c r="H43" i="44"/>
  <c r="E24" i="19" s="1"/>
  <c r="G82" i="9" s="1"/>
  <c r="G89" s="1"/>
  <c r="G41" i="5"/>
  <c r="H179" i="9"/>
  <c r="H178" s="1"/>
  <c r="I156"/>
  <c r="G68"/>
  <c r="I29" i="7"/>
  <c r="O19" i="73"/>
  <c r="C1" i="79"/>
  <c r="C2"/>
  <c r="O11" i="73"/>
  <c r="E41" i="79"/>
  <c r="D28"/>
  <c r="H34" i="73"/>
  <c r="U30" i="51"/>
  <c r="E19" i="16"/>
  <c r="G11" i="79"/>
  <c r="D38"/>
  <c r="O8" i="73"/>
  <c r="O9" s="1"/>
  <c r="G33" i="79" s="1"/>
  <c r="H13" i="73"/>
  <c r="H60" s="1"/>
  <c r="K13"/>
  <c r="K60" s="1"/>
  <c r="F39" i="19"/>
  <c r="E201" i="9"/>
  <c r="G205"/>
  <c r="N59" i="73"/>
  <c r="G26" i="79" s="1"/>
  <c r="O59" i="73"/>
  <c r="F40" i="19"/>
  <c r="G7" i="79"/>
  <c r="D34"/>
  <c r="E202" i="9"/>
  <c r="G42"/>
  <c r="M24" i="75"/>
  <c r="M18"/>
  <c r="M53"/>
  <c r="M44"/>
  <c r="M38"/>
  <c r="M31"/>
  <c r="M28"/>
  <c r="J9" i="11"/>
  <c r="I215" i="9" s="1"/>
  <c r="H215"/>
  <c r="I13" i="11"/>
  <c r="AZ27" i="85"/>
  <c r="V26" i="51"/>
  <c r="E15" i="19" s="1"/>
  <c r="E13" i="18"/>
  <c r="I29" i="74"/>
  <c r="E29"/>
  <c r="G29"/>
  <c r="F29"/>
  <c r="C29"/>
  <c r="F26" i="16"/>
  <c r="F35" s="1"/>
  <c r="J35" s="1"/>
  <c r="F37" i="81"/>
  <c r="I141" i="9"/>
  <c r="I142"/>
  <c r="E16" i="80"/>
  <c r="E47" i="18"/>
  <c r="D15" i="82"/>
  <c r="C1" l="1"/>
  <c r="B1" i="81"/>
  <c r="B1" i="80"/>
  <c r="G44" i="9"/>
  <c r="G45" s="1"/>
  <c r="G49" s="1"/>
  <c r="G52" s="1"/>
  <c r="I35" i="7"/>
  <c r="E9" i="19" s="1"/>
  <c r="E7" s="1"/>
  <c r="D32" i="14" s="1"/>
  <c r="N32" i="73"/>
  <c r="L34"/>
  <c r="N16"/>
  <c r="L30"/>
  <c r="L58"/>
  <c r="N36"/>
  <c r="E17" i="16"/>
  <c r="E21" i="19"/>
  <c r="D10" i="14"/>
  <c r="H173" i="9" s="1"/>
  <c r="F33" i="79"/>
  <c r="E204" i="9"/>
  <c r="G9" i="79"/>
  <c r="B2" i="80"/>
  <c r="C2" i="82"/>
  <c r="B2" i="81"/>
  <c r="H188" i="9"/>
  <c r="H185" s="1"/>
  <c r="H190" s="1"/>
  <c r="D22" i="14"/>
  <c r="F42" i="19"/>
  <c r="D36" i="79"/>
  <c r="F41" i="19"/>
  <c r="D35" i="79"/>
  <c r="D41" s="1"/>
  <c r="E203" i="9"/>
  <c r="E206" s="1"/>
  <c r="G8" i="79"/>
  <c r="G14" s="1"/>
  <c r="F38" i="19"/>
  <c r="I146" i="9"/>
  <c r="F33" i="19"/>
  <c r="F53" s="1"/>
  <c r="F55" i="18" s="1"/>
  <c r="G39" i="79"/>
  <c r="F39" s="1"/>
  <c r="E44" i="19"/>
  <c r="I201" i="9"/>
  <c r="E39" i="19"/>
  <c r="L13" i="73"/>
  <c r="N10"/>
  <c r="J13" i="11"/>
  <c r="I219" i="9" s="1"/>
  <c r="H219"/>
  <c r="E18" i="18"/>
  <c r="E126" i="9" s="1"/>
  <c r="V30" i="51"/>
  <c r="F38" i="16"/>
  <c r="F39" s="1"/>
  <c r="E8"/>
  <c r="H8" s="1"/>
  <c r="E17" i="80" l="1"/>
  <c r="E15" s="1"/>
  <c r="I144" i="9"/>
  <c r="H205"/>
  <c r="H206" s="1"/>
  <c r="E25" i="79"/>
  <c r="N30" i="73"/>
  <c r="G22" i="79" s="1"/>
  <c r="O16" i="73"/>
  <c r="O30" s="1"/>
  <c r="O32"/>
  <c r="O34" s="1"/>
  <c r="N34"/>
  <c r="G23" i="79" s="1"/>
  <c r="O36" i="73"/>
  <c r="O58" s="1"/>
  <c r="N58"/>
  <c r="G25" i="79" s="1"/>
  <c r="E22"/>
  <c r="G203" i="9"/>
  <c r="G204"/>
  <c r="E23" i="79"/>
  <c r="N13" i="73"/>
  <c r="O10"/>
  <c r="O13" s="1"/>
  <c r="L60"/>
  <c r="E22" i="16" s="1"/>
  <c r="G202" i="9"/>
  <c r="E21" i="79"/>
  <c r="E28" s="1"/>
  <c r="F35" i="72"/>
  <c r="E24" i="16"/>
  <c r="I139" i="9"/>
  <c r="D14" i="82"/>
  <c r="I138" i="9"/>
  <c r="E8" i="80"/>
  <c r="H172" i="9"/>
  <c r="G206" l="1"/>
  <c r="E7" i="80"/>
  <c r="E23" s="1"/>
  <c r="D17" i="82"/>
  <c r="D26" s="1"/>
  <c r="G21" i="79"/>
  <c r="G28" s="1"/>
  <c r="N60" i="73"/>
  <c r="G36" i="79"/>
  <c r="F36" s="1"/>
  <c r="E42" i="19"/>
  <c r="I204" i="9"/>
  <c r="E43" i="19"/>
  <c r="I205" i="9"/>
  <c r="G38" i="79"/>
  <c r="F38" s="1"/>
  <c r="I203" i="9"/>
  <c r="G35" i="79"/>
  <c r="F35" s="1"/>
  <c r="E41" i="19"/>
  <c r="E16" i="16"/>
  <c r="E26" s="1"/>
  <c r="E35" s="1"/>
  <c r="I35" s="1"/>
  <c r="D13" i="14"/>
  <c r="E38" i="16"/>
  <c r="E39" s="1"/>
  <c r="I149" i="9"/>
  <c r="E15" i="81"/>
  <c r="O60" i="73"/>
  <c r="G34" i="79"/>
  <c r="I202" i="9"/>
  <c r="I206" s="1"/>
  <c r="E40" i="19"/>
  <c r="E38" s="1"/>
  <c r="H38" s="1"/>
  <c r="E18" i="81"/>
  <c r="E16" s="1"/>
  <c r="H176" i="9"/>
  <c r="I150"/>
  <c r="F34" i="79" l="1"/>
  <c r="F41" s="1"/>
  <c r="G41"/>
  <c r="E37" i="81"/>
  <c r="E33" i="19"/>
  <c r="I143" i="9"/>
  <c r="I151" l="1"/>
  <c r="I160" s="1"/>
  <c r="F33" i="1" l="1"/>
  <c r="F36" s="1"/>
  <c r="E14" i="19" s="1"/>
  <c r="I162" i="9"/>
  <c r="I163"/>
  <c r="E17" i="18" l="1"/>
  <c r="E125" i="9" s="1"/>
  <c r="D14" i="11"/>
  <c r="E48" i="18"/>
  <c r="E38" s="1"/>
  <c r="I14" i="11"/>
  <c r="E11" i="19"/>
  <c r="E6" s="1"/>
  <c r="E53" s="1"/>
  <c r="D12" i="14" l="1"/>
  <c r="E12" i="18"/>
  <c r="E6" s="1"/>
  <c r="E36" s="1"/>
  <c r="E52" s="1"/>
  <c r="E55" s="1"/>
  <c r="J14" i="98" s="1"/>
  <c r="J15" s="1"/>
  <c r="I18" i="11"/>
  <c r="J18" s="1"/>
  <c r="H220" i="9"/>
  <c r="J14" i="11"/>
  <c r="I220" i="9" s="1"/>
  <c r="H224" l="1"/>
  <c r="I224"/>
  <c r="H175"/>
  <c r="H171" s="1"/>
  <c r="D8" i="14"/>
  <c r="D28" s="1"/>
  <c r="H191" i="9" l="1"/>
  <c r="D30" i="14"/>
  <c r="D34" l="1"/>
  <c r="H193" i="9"/>
</calcChain>
</file>

<file path=xl/sharedStrings.xml><?xml version="1.0" encoding="utf-8"?>
<sst xmlns="http://schemas.openxmlformats.org/spreadsheetml/2006/main" count="4529" uniqueCount="1273">
  <si>
    <t xml:space="preserve">Pasqyra Financiare  te Vitit  </t>
  </si>
  <si>
    <t>Nr</t>
  </si>
  <si>
    <t xml:space="preserve">A K T I V E T </t>
  </si>
  <si>
    <t>Shenime</t>
  </si>
  <si>
    <t>I</t>
  </si>
  <si>
    <t xml:space="preserve">AKTIVET AFATSHKURTERA </t>
  </si>
  <si>
    <t xml:space="preserve">&gt;  Banka </t>
  </si>
  <si>
    <t xml:space="preserve">&gt;  Arka </t>
  </si>
  <si>
    <t xml:space="preserve">1. - Aktivet monetare </t>
  </si>
  <si>
    <t>2 -  Derivatet e Aktivet te mbajtura per tregetim</t>
  </si>
  <si>
    <t>&gt;  Te drejta e detyrime ndaj ortakeve</t>
  </si>
  <si>
    <t xml:space="preserve">&gt;  T v sh </t>
  </si>
  <si>
    <t>&gt;  Tatim mbi fitimin</t>
  </si>
  <si>
    <t xml:space="preserve">3 -  Aktivet te tjera financiare  afatshkurtera </t>
  </si>
  <si>
    <t xml:space="preserve">4 - Inventari </t>
  </si>
  <si>
    <t xml:space="preserve">&gt;  Lendet e para </t>
  </si>
  <si>
    <t xml:space="preserve">&gt;  Produkte te gateshme </t>
  </si>
  <si>
    <t>&gt;  Mallra per rrishitje</t>
  </si>
  <si>
    <t xml:space="preserve">6 - Aktivet afatshkurtera te mbajtura per rishitje </t>
  </si>
  <si>
    <t xml:space="preserve">7 - Parapagime  dhe shpenzime  te shtyra </t>
  </si>
  <si>
    <t>II</t>
  </si>
  <si>
    <t xml:space="preserve"> AKTIVET  AFATGJATA </t>
  </si>
  <si>
    <t>2 - Aktivet Afatgjata  materiale</t>
  </si>
  <si>
    <t>&gt; Toka</t>
  </si>
  <si>
    <t>&gt; Ndertesa</t>
  </si>
  <si>
    <t xml:space="preserve"> &gt; makineri e paisje </t>
  </si>
  <si>
    <t xml:space="preserve">3 - Aktivet Biologjike afatgjata </t>
  </si>
  <si>
    <t>4 - Aktivet afatgjata jo materiale</t>
  </si>
  <si>
    <t>5 - Kapitali aksioner I  pa paguar</t>
  </si>
  <si>
    <t>6 - Aktivet e tjera afat gjata .</t>
  </si>
  <si>
    <t xml:space="preserve">2 - Huamarjet </t>
  </si>
  <si>
    <t xml:space="preserve">3 - Huate e parapagimet </t>
  </si>
  <si>
    <t xml:space="preserve">&gt; Te pagushme ndaj furnitoreve </t>
  </si>
  <si>
    <t xml:space="preserve"> &gt;  Te pagushme ndaj punonjesve </t>
  </si>
  <si>
    <t xml:space="preserve"> &gt;  Detyrime  per Sigurimet shoqerore</t>
  </si>
  <si>
    <t xml:space="preserve">&gt; Detyrime Tatimore per  TAP - in  </t>
  </si>
  <si>
    <t xml:space="preserve">&gt; Detyrime Tatimore per  Tatimin mbi fitimin </t>
  </si>
  <si>
    <t xml:space="preserve">&gt; Detyrime tatimore per T V SH </t>
  </si>
  <si>
    <t>&gt; Detyrime tatimore per tatimin ne burim</t>
  </si>
  <si>
    <t xml:space="preserve">&gt; Dividente per tu paguar </t>
  </si>
  <si>
    <t xml:space="preserve">4 - Grantet  dhe te ardhura te shtyra </t>
  </si>
  <si>
    <t xml:space="preserve"> 1 - Huate afatgjata </t>
  </si>
  <si>
    <t>&gt; Hua , bono , dhe detyrime qeraje financiare</t>
  </si>
  <si>
    <t xml:space="preserve">&gt;  Bono te kovertushme </t>
  </si>
  <si>
    <t xml:space="preserve">2 - Huamarjet  te tjera afatgjata </t>
  </si>
  <si>
    <t>III</t>
  </si>
  <si>
    <t>KAPITALI</t>
  </si>
  <si>
    <t>1 - Aksione te pakices</t>
  </si>
  <si>
    <t>2 - Kapitali I aksionereve te Shoq meme(P F te kons)</t>
  </si>
  <si>
    <t>3- Kapitali aksioner</t>
  </si>
  <si>
    <t>4 - Primi I Aksionit</t>
  </si>
  <si>
    <t>5 - Njesite ose Aksione te thesarit ( Negative )</t>
  </si>
  <si>
    <t>7 - Rezervat Ligjore</t>
  </si>
  <si>
    <t xml:space="preserve">9 - Fitime te pashperndara </t>
  </si>
  <si>
    <t>10 - Fitime ( Humbja ) e vitit financiar</t>
  </si>
  <si>
    <t xml:space="preserve"> ( Bazuar ne klasifikimin e shpenzimeve sipas natyres )</t>
  </si>
  <si>
    <t xml:space="preserve">Pershkrimi I elementeve </t>
  </si>
  <si>
    <t xml:space="preserve">Materiale te konsumuara </t>
  </si>
  <si>
    <t>Kostot e punes</t>
  </si>
  <si>
    <t xml:space="preserve">Pagat e personelit </t>
  </si>
  <si>
    <t>Shpenzime  per Sigurimet shoqerore e shendetesore</t>
  </si>
  <si>
    <t xml:space="preserve">Amortizimet e cvleresimet </t>
  </si>
  <si>
    <t xml:space="preserve">Fitimi ( humbja )  nga veprimtaria kryesore </t>
  </si>
  <si>
    <t>Te ardhura e shpenzimet financiare nga pjesmarjet</t>
  </si>
  <si>
    <t xml:space="preserve">Te ardhura e shpenz financ nga  njesite e kontrolluara </t>
  </si>
  <si>
    <t xml:space="preserve">Te ardhura e shpenzimet financiare  </t>
  </si>
  <si>
    <t>Totali I te ardhurave e shpenzimeve financiare</t>
  </si>
  <si>
    <t>Fitimi ( humbja ) para tatimit  ( 9 + / -  13 )</t>
  </si>
  <si>
    <t>Shpenzimet e tatimit  mbi fitimin</t>
  </si>
  <si>
    <t>Fitimi  ( humbja  ) neto e vitit finanaciar ( 14 - 15 )</t>
  </si>
  <si>
    <t xml:space="preserve">Elementet e pasqyrave te konsoliduara </t>
  </si>
  <si>
    <t xml:space="preserve">PASQYRA  E  TE  ARDHURAVE  DHE   SHPENZIMEVE </t>
  </si>
  <si>
    <t xml:space="preserve">Pasqyra e Fluksit monetar - Metoda Direkte </t>
  </si>
  <si>
    <t>A</t>
  </si>
  <si>
    <t>Fluksi monetar nga veprimtarite e shfrytezimit</t>
  </si>
  <si>
    <t>Mjetet monetare ( M M ) te arketuara nga klientet</t>
  </si>
  <si>
    <t>M M te paguara ndaj furnitoreve e punonjesve</t>
  </si>
  <si>
    <t>M M te ardhura nga veprimtarite e tjera</t>
  </si>
  <si>
    <t xml:space="preserve">M M Neto nga veprimtarite e shfrytezimit </t>
  </si>
  <si>
    <t>B</t>
  </si>
  <si>
    <t xml:space="preserve">Blerja e njesise te kontrolluar X  minus parate e Arketuara </t>
  </si>
  <si>
    <t>Blerja e Aktiveve afat gjata  materiale</t>
  </si>
  <si>
    <t>Interes I arketuar</t>
  </si>
  <si>
    <t>Divident I arketuar</t>
  </si>
  <si>
    <t>C</t>
  </si>
  <si>
    <t xml:space="preserve"> Fluksi monetar nga aktivitett financiare</t>
  </si>
  <si>
    <t>Te ardhura nga emetimi I kapitalit aksioner</t>
  </si>
  <si>
    <t>Te ardhura nga huamarjet afatgjata</t>
  </si>
  <si>
    <t>pagesat e detyrimeve te qerase financiare</t>
  </si>
  <si>
    <t>Dividente te paguar</t>
  </si>
  <si>
    <t>M M Neto e perdorur ne veprimtarite financiare</t>
  </si>
  <si>
    <t>Mjete monetare ne fund te periudhes kontabel</t>
  </si>
  <si>
    <t>Mjete monetare ne fillim te periudhes  kontabel</t>
  </si>
  <si>
    <t xml:space="preserve">PASQYRA E NDRYSHIMEVE NE KAPITAL </t>
  </si>
  <si>
    <t xml:space="preserve">Emertimi </t>
  </si>
  <si>
    <t xml:space="preserve">T O T A L I </t>
  </si>
  <si>
    <t>Pozicioni I rregulluar</t>
  </si>
  <si>
    <t>Emertimi</t>
  </si>
  <si>
    <t>Kapitali aksioner</t>
  </si>
  <si>
    <t>Primi I Aksionit</t>
  </si>
  <si>
    <t>Fitimi I pashpernd</t>
  </si>
  <si>
    <t xml:space="preserve">Efekti I ndryshimit ne polit kontabel </t>
  </si>
  <si>
    <t>Fitimi Neto per periudhen Kontabel</t>
  </si>
  <si>
    <t>Dividentet e paguar</t>
  </si>
  <si>
    <t>Emetimi I kapitalit Aksioner</t>
  </si>
  <si>
    <t>Aksione te thesarit te riblera</t>
  </si>
  <si>
    <t>Rezerva Stat e ligj</t>
  </si>
  <si>
    <t>sqarim ;</t>
  </si>
  <si>
    <t>Plotesimi I te dhenave ne kete pjese duhet te behet sipas kerkesave e struktures standarte</t>
  </si>
  <si>
    <t>Informacion i pergjitheshm dhe politikat kontabel</t>
  </si>
  <si>
    <t>a-</t>
  </si>
  <si>
    <t xml:space="preserve">b - </t>
  </si>
  <si>
    <t xml:space="preserve">c - </t>
  </si>
  <si>
    <t>Shenime qe shpjegojne zerat e ndryshem te pasq financiare</t>
  </si>
  <si>
    <t>NJE PASQYRE E PAKONSOLIDUAR</t>
  </si>
  <si>
    <t>D</t>
  </si>
  <si>
    <t>A1</t>
  </si>
  <si>
    <t>A2</t>
  </si>
  <si>
    <t>C1</t>
  </si>
  <si>
    <t>C2</t>
  </si>
  <si>
    <t>C3</t>
  </si>
  <si>
    <t>D1</t>
  </si>
  <si>
    <t>D2</t>
  </si>
  <si>
    <t>D3</t>
  </si>
  <si>
    <t>E1</t>
  </si>
  <si>
    <t>E2</t>
  </si>
  <si>
    <t xml:space="preserve">5 - Provizionet Afatshkurtera </t>
  </si>
  <si>
    <t>D4</t>
  </si>
  <si>
    <t>D5</t>
  </si>
  <si>
    <t>M1</t>
  </si>
  <si>
    <t>P</t>
  </si>
  <si>
    <t>Shoqeria</t>
  </si>
  <si>
    <t xml:space="preserve">VITI </t>
  </si>
  <si>
    <t xml:space="preserve">A  R  K  A </t>
  </si>
  <si>
    <t xml:space="preserve"> </t>
  </si>
  <si>
    <t xml:space="preserve">B A N K A </t>
  </si>
  <si>
    <t>Kliente per mallra , produkte   e  sherbime   .</t>
  </si>
  <si>
    <t xml:space="preserve">D  1 </t>
  </si>
  <si>
    <t>E  2</t>
  </si>
  <si>
    <t>M 1</t>
  </si>
  <si>
    <t xml:space="preserve">M M Neto te perdorura  ne veprimtarite investuese </t>
  </si>
  <si>
    <t xml:space="preserve">Fluksi monetar nga veprimtarite investuese </t>
  </si>
  <si>
    <t xml:space="preserve">Rritja / renia Neto e mjeteve monetare </t>
  </si>
  <si>
    <t>Rritja e rezerves te kapitalit</t>
  </si>
  <si>
    <t xml:space="preserve">SHENIMET SHPJEGUSE </t>
  </si>
  <si>
    <t>Shenime te tjera shpjeguese .</t>
  </si>
  <si>
    <t>Dhenia e shenimeve shpjeguese ne kete pjese eshte pjese e detyrueshme sipas S K K 2 .</t>
  </si>
  <si>
    <t>te percaktuara ne S K K 2  e konkretisht paragrafeve 49 - 55. radha e dhenies te shpjegimeve duhet te jete:</t>
  </si>
  <si>
    <t xml:space="preserve">Debitore e  Kreditore te tjere </t>
  </si>
  <si>
    <t>Tatimin mbi Fitimin</t>
  </si>
  <si>
    <t xml:space="preserve">Lendet e Para </t>
  </si>
  <si>
    <t>Produkte te Gatshme</t>
  </si>
  <si>
    <t>Prodhimi ne Proces</t>
  </si>
  <si>
    <t>Parapagesa per  furnizime</t>
  </si>
  <si>
    <t>Parapagime e  Shpenzime te shtyra</t>
  </si>
  <si>
    <t>Ndertesa</t>
  </si>
  <si>
    <t>Te pagueshme ndaj Furnitoreve</t>
  </si>
  <si>
    <t xml:space="preserve">S </t>
  </si>
  <si>
    <t>T</t>
  </si>
  <si>
    <t>U</t>
  </si>
  <si>
    <t>V</t>
  </si>
  <si>
    <t>P  1</t>
  </si>
  <si>
    <t xml:space="preserve">RAKORDIMI I TE ARDHURAVE E BLERJEVE ME T V SH </t>
  </si>
  <si>
    <t>S</t>
  </si>
  <si>
    <t xml:space="preserve">Vlera e </t>
  </si>
  <si>
    <t xml:space="preserve">S H U M A </t>
  </si>
  <si>
    <t xml:space="preserve">KOSTO  TE TJERA </t>
  </si>
  <si>
    <t>Muaji</t>
  </si>
  <si>
    <t>T V SH e zbrit nga muaj I kaluar</t>
  </si>
  <si>
    <t>T V SH e paguar per muajin</t>
  </si>
  <si>
    <t>Shuma e T V SH</t>
  </si>
  <si>
    <t xml:space="preserve">Janar 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</si>
  <si>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</si>
  <si>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</si>
  <si>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</si>
  <si>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</si>
  <si>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</si>
  <si>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</si>
  <si>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</si>
  <si>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</si>
  <si>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</si>
  <si>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</si>
  <si>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</si>
  <si>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Nj vlersim</t>
  </si>
  <si>
    <t>SHUMA</t>
  </si>
  <si>
    <t>NR</t>
  </si>
  <si>
    <t>Kontribute per sig Shoqeror ne lek</t>
  </si>
  <si>
    <t>16)Kontr</t>
  </si>
  <si>
    <t xml:space="preserve">17)Paga </t>
  </si>
  <si>
    <t>18)tatimi</t>
  </si>
  <si>
    <t>MUAJI</t>
  </si>
  <si>
    <t>10)Gjithesej</t>
  </si>
  <si>
    <t xml:space="preserve">          Nga keto :</t>
  </si>
  <si>
    <t>bruto</t>
  </si>
  <si>
    <t xml:space="preserve">mbi te </t>
  </si>
  <si>
    <t>JANAR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</si>
  <si>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</si>
  <si>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</si>
  <si>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</si>
  <si>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</si>
  <si>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</si>
  <si>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</si>
  <si>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</si>
  <si>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</si>
  <si>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</si>
  <si>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</si>
  <si>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 xml:space="preserve">SHUMA </t>
  </si>
  <si>
    <t>Tjera</t>
  </si>
  <si>
    <t>NETO</t>
  </si>
  <si>
    <t xml:space="preserve">                 PASQYRA ANALITIKE E VLERESIMIT TE MALLRAVE, MATERIALEVE ,  </t>
  </si>
  <si>
    <t xml:space="preserve">       Fatura</t>
  </si>
  <si>
    <t xml:space="preserve">Vler e tatush </t>
  </si>
  <si>
    <t>Taxa</t>
  </si>
  <si>
    <t>Akcize</t>
  </si>
  <si>
    <t>Sherbime</t>
  </si>
  <si>
    <t>TVSH</t>
  </si>
  <si>
    <t>Emertimi I</t>
  </si>
  <si>
    <t>Referenca</t>
  </si>
  <si>
    <t>Date</t>
  </si>
  <si>
    <t>ne  fatures</t>
  </si>
  <si>
    <t>inventarit</t>
  </si>
  <si>
    <t>Dogano</t>
  </si>
  <si>
    <t>ne fature</t>
  </si>
  <si>
    <t>Inventarit</t>
  </si>
  <si>
    <t>A  2</t>
  </si>
  <si>
    <t xml:space="preserve">Emertimi I kostove </t>
  </si>
  <si>
    <t>Kostot e prodhimit e te sherbimit</t>
  </si>
  <si>
    <t xml:space="preserve">PASQYRA PERMBLEDHESE  E VLERESIMIT TE MALLRAVE, MATERIALEVE ,  </t>
  </si>
  <si>
    <t>FDP</t>
  </si>
  <si>
    <t>DIF</t>
  </si>
  <si>
    <t>SHKURT</t>
  </si>
  <si>
    <t xml:space="preserve">  Fatura </t>
  </si>
  <si>
    <t>Vleresimi</t>
  </si>
  <si>
    <t>Te tjera</t>
  </si>
  <si>
    <t xml:space="preserve">Emertimi I </t>
  </si>
  <si>
    <t>kontabel</t>
  </si>
  <si>
    <t>Doganore</t>
  </si>
  <si>
    <t xml:space="preserve">Kosto neto </t>
  </si>
  <si>
    <t xml:space="preserve"> Derdhur ne fakt </t>
  </si>
  <si>
    <t xml:space="preserve">Planifikuar </t>
  </si>
  <si>
    <t xml:space="preserve">Progresive </t>
  </si>
  <si>
    <t>KORRRIK</t>
  </si>
  <si>
    <t xml:space="preserve">Detyrimi sipas pasqyres te ardhurave </t>
  </si>
  <si>
    <t xml:space="preserve">Per te pagura apo mbi pagesa </t>
  </si>
  <si>
    <t>Emertiimi I bankes</t>
  </si>
  <si>
    <t xml:space="preserve">Gjendje </t>
  </si>
  <si>
    <t xml:space="preserve">Hyrjet </t>
  </si>
  <si>
    <t xml:space="preserve">Daljet </t>
  </si>
  <si>
    <t xml:space="preserve">T O T A L I  EURO + LEKE </t>
  </si>
  <si>
    <t>Shpen te tjera ………... , shpenz te per te shku …………</t>
  </si>
  <si>
    <t>Emetimi I Aksioneve, fitime te mbartura</t>
  </si>
  <si>
    <t xml:space="preserve">SHUMA  E GJENDJES TE MALLRAVE ME V R N </t>
  </si>
  <si>
    <t xml:space="preserve">Emertimi I mallrave </t>
  </si>
  <si>
    <t>Nj mat</t>
  </si>
  <si>
    <t>sasia</t>
  </si>
  <si>
    <t>Kostua</t>
  </si>
  <si>
    <t xml:space="preserve">V R N </t>
  </si>
  <si>
    <t xml:space="preserve">&gt;  Llogaria / Kerkesa te arketushme </t>
  </si>
  <si>
    <t xml:space="preserve">&gt;  Llogari /  Kerkesa te tjer ate arketushme </t>
  </si>
  <si>
    <t>D  3</t>
  </si>
  <si>
    <t>D  4</t>
  </si>
  <si>
    <t xml:space="preserve">5  -  Aktivet  biliogjike afatshkurtera </t>
  </si>
  <si>
    <t xml:space="preserve">1  - Investime  financiare afatgjata </t>
  </si>
  <si>
    <t>&gt; Pjesmarja te tjera te nj te kontr ( vetem P F )</t>
  </si>
  <si>
    <t>&gt;  Aksione e invest te tjera te pjesmarjes</t>
  </si>
  <si>
    <t>&gt; Kerkesa te arketushme afatgjata</t>
  </si>
  <si>
    <t>&gt; Emri  I mire</t>
  </si>
  <si>
    <t>&gt; Shpenzimet e zhvillimit</t>
  </si>
  <si>
    <t xml:space="preserve">&gt; Aktive te tjera jo materiale </t>
  </si>
  <si>
    <t xml:space="preserve">DERIVATET DHE KAPITALI </t>
  </si>
  <si>
    <t xml:space="preserve">Detyrimet Afatshkurtera </t>
  </si>
  <si>
    <t xml:space="preserve">1. - Derivatet </t>
  </si>
  <si>
    <t xml:space="preserve"> &gt; Huate dhe  obligacionet afatshkurtera</t>
  </si>
  <si>
    <t xml:space="preserve"> &gt;Kthimet/ Ripagesat e huave afatgjata</t>
  </si>
  <si>
    <t xml:space="preserve">&gt; Bono te kovertushme </t>
  </si>
  <si>
    <t xml:space="preserve"> &gt;  Huara te tjera </t>
  </si>
  <si>
    <t xml:space="preserve">&gt;   Parapagimet  e arketimeve </t>
  </si>
  <si>
    <t xml:space="preserve">DETYRIMET   AFATGJATA </t>
  </si>
  <si>
    <t xml:space="preserve">3  - Provizionet   Afatgjata </t>
  </si>
  <si>
    <t>TOTALI I  DETYRIMEVE  ( I +  II )</t>
  </si>
  <si>
    <t>TOTALI I DETYRIMEVE  DHE KAPITALIT( I + II + III)</t>
  </si>
  <si>
    <t xml:space="preserve">Te ARDHURTA  GJITHESEJ </t>
  </si>
  <si>
    <t xml:space="preserve">11.- Te ardhura te regjistr avance </t>
  </si>
  <si>
    <t>&gt;  Parapagesa per furnizime , shpenzime per tu shperndare</t>
  </si>
  <si>
    <t xml:space="preserve">Tatime e taksa , dogane , tatime  e taxa, arketime te tjera ,TVSH </t>
  </si>
  <si>
    <t>R</t>
  </si>
  <si>
    <t xml:space="preserve">&gt;  Prodhimi ne proces,  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</si>
  <si>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</si>
  <si>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</si>
  <si>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</si>
  <si>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</si>
  <si>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</si>
  <si>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</si>
  <si>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</si>
  <si>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</si>
  <si>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</si>
  <si>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</si>
  <si>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</si>
  <si>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</si>
  <si>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</si>
  <si>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</si>
  <si>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</si>
  <si>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</si>
  <si>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</si>
  <si>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</si>
  <si>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</si>
  <si>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</si>
  <si>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</si>
  <si>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</si>
  <si>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</si>
  <si>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</si>
  <si>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</si>
  <si>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</si>
  <si>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</si>
  <si>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</si>
  <si>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</si>
  <si>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</si>
  <si>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</si>
  <si>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</si>
  <si>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</si>
  <si>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</si>
  <si>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</si>
  <si>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</si>
  <si>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</si>
  <si>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</si>
  <si>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</si>
  <si>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</si>
  <si>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</si>
  <si>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</si>
  <si>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</si>
  <si>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</si>
  <si>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</si>
  <si>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</si>
  <si>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r>
      <t xml:space="preserve">Ne  analize  </t>
    </r>
    <r>
      <rPr>
        <b/>
        <sz val="10"/>
        <rFont val="Arial"/>
        <family val="2"/>
      </rPr>
      <t>SHIF PASQYRAT ANALITIKE TE LLOGARIVE  QE U PERGJIGJEN NGJARJEVE</t>
    </r>
    <r>
      <rPr>
        <sz val="10"/>
        <rFont val="Arial"/>
        <family val="2"/>
      </rPr>
      <t xml:space="preserve"> </t>
    </r>
  </si>
  <si>
    <r>
      <t>E VEPRIMEVE KONTABEL  . ANALITIKISHT SIPAS  SHENIMEVE NE PASQYRAT FINANCIARE</t>
    </r>
    <r>
      <rPr>
        <sz val="10"/>
        <rFont val="Arial"/>
        <family val="2"/>
      </rPr>
      <t xml:space="preserve"> .</t>
    </r>
  </si>
  <si>
    <t xml:space="preserve">Te tjera tvsh e nd  , rrjedh neto  …….. e interesa neto </t>
  </si>
  <si>
    <t xml:space="preserve">PROVIGJIONET </t>
  </si>
  <si>
    <t xml:space="preserve">  6  - Provizionet </t>
  </si>
  <si>
    <t>SHUMA 1</t>
  </si>
  <si>
    <t>SHUMA 2</t>
  </si>
  <si>
    <t xml:space="preserve">S  H  U  M  A  </t>
  </si>
  <si>
    <t>SUBJEKTI</t>
  </si>
  <si>
    <t xml:space="preserve">                       Fatura</t>
  </si>
  <si>
    <t>Shuma ne</t>
  </si>
  <si>
    <t>All</t>
  </si>
  <si>
    <t>Eur</t>
  </si>
  <si>
    <t xml:space="preserve">Kursi </t>
  </si>
  <si>
    <t>I kembit</t>
  </si>
  <si>
    <t>Monedha</t>
  </si>
  <si>
    <t>Leke</t>
  </si>
  <si>
    <t>Euro</t>
  </si>
  <si>
    <t xml:space="preserve">PASQYRAT  FINANCIARE </t>
  </si>
  <si>
    <t xml:space="preserve">Mbeshtetur  ne Ligjin  Nr 9228 date 29.04.2004 " Per kontabilitetin e Pasqyrat financiare " , </t>
  </si>
  <si>
    <t>te ndryshuar dhe ne Standartet Kombetare te Kontabilitetit - S K K 2 )</t>
  </si>
  <si>
    <t xml:space="preserve">Te dhenat identifikuse </t>
  </si>
  <si>
    <t xml:space="preserve">Te dhena  te tjera </t>
  </si>
  <si>
    <t xml:space="preserve">Emri </t>
  </si>
  <si>
    <t>x</t>
  </si>
  <si>
    <t>Individ</t>
  </si>
  <si>
    <t>Pasqyrat financ</t>
  </si>
  <si>
    <t xml:space="preserve">NIPT </t>
  </si>
  <si>
    <t>Te konsol</t>
  </si>
  <si>
    <t>ADRESA</t>
  </si>
  <si>
    <t xml:space="preserve">Monedha </t>
  </si>
  <si>
    <t>Lek</t>
  </si>
  <si>
    <t>Data e krijimit</t>
  </si>
  <si>
    <t>Nr I regjistrit Treg</t>
  </si>
  <si>
    <t xml:space="preserve">Rrumbullakimi </t>
  </si>
  <si>
    <t xml:space="preserve">Periudha  kontabel </t>
  </si>
  <si>
    <t xml:space="preserve">Fusha e veprimtarise </t>
  </si>
  <si>
    <t xml:space="preserve">Data e plot te P F </t>
  </si>
  <si>
    <t>Te ardhura nga shitja e paisjeve , parapagim</t>
  </si>
  <si>
    <t>FURNITORET</t>
  </si>
  <si>
    <t>TOTALI</t>
  </si>
  <si>
    <t>KLIENTET</t>
  </si>
  <si>
    <t xml:space="preserve">V I T I </t>
  </si>
  <si>
    <t>Emertimi I mallrave</t>
  </si>
  <si>
    <t>Nj.mat</t>
  </si>
  <si>
    <t>Sasia</t>
  </si>
  <si>
    <t>VLERA pa TVSH</t>
  </si>
  <si>
    <t>Shuma</t>
  </si>
  <si>
    <t>Furnizime</t>
  </si>
  <si>
    <t>Likujdime</t>
  </si>
  <si>
    <t>Detyrim i mbetur</t>
  </si>
  <si>
    <t>Faturim</t>
  </si>
  <si>
    <t>Detyrime</t>
  </si>
  <si>
    <t xml:space="preserve">I N V E N T A R I </t>
  </si>
  <si>
    <t>Kursi</t>
  </si>
  <si>
    <t>NIPT</t>
  </si>
  <si>
    <t>Shenimet Spjeguse</t>
  </si>
  <si>
    <t>Per pasqyrtat financiare te Shoqerise (Njeseise)</t>
  </si>
  <si>
    <t>Statusi i Shoqerise</t>
  </si>
  <si>
    <t>Selia</t>
  </si>
  <si>
    <t>Administratori</t>
  </si>
  <si>
    <t>Veprimtaria qe kryen</t>
  </si>
  <si>
    <t>Nipti</t>
  </si>
  <si>
    <t>Numri i te punesuarve</t>
  </si>
  <si>
    <t>I - Informacion i pergjithshem dhe politikat kontabel</t>
  </si>
  <si>
    <t xml:space="preserve"> A - Informacion i pergjirhshem</t>
  </si>
  <si>
    <t xml:space="preserve"> te standarteve kombetare te kontabilitetit dhe ligjit  9228 Date 29,04,2004 ''per Kontabilitetin </t>
  </si>
  <si>
    <t>e pasqyrat Financiare ''</t>
  </si>
  <si>
    <t>B-Politikat Kontabel</t>
  </si>
  <si>
    <t xml:space="preserve">Jane ato te percaktuara nestandatret kombetare te kontabilitetit Dhe ligjin  ''Per Kontabilitetin  e   </t>
  </si>
  <si>
    <t>Pasqyrat Financiate'' Nr   92280  Date 29,04,2004</t>
  </si>
  <si>
    <t xml:space="preserve">     Keto Pasqyra financiare jane pregatitur ne baze te parimit  te te drejta e detyrimene te konstatuara</t>
  </si>
  <si>
    <t>(SKK  1  -  35  )</t>
  </si>
  <si>
    <t xml:space="preserve"> Informacioni  i dhene eshte perpiluar ne baze te parimit te njesise ekonomike.</t>
  </si>
  <si>
    <t>Monedha ne te cilen shprehen te gjitha pasqyrat financiare eshte leku shqiptare ,pa bere rrumbullakime</t>
  </si>
  <si>
    <t xml:space="preserve"> - Ne Aktiv</t>
  </si>
  <si>
    <t xml:space="preserve">  2-   Arka ne leke      </t>
  </si>
  <si>
    <t xml:space="preserve">3- Aktive te tjera afat Shkutrta Gjitesej </t>
  </si>
  <si>
    <t xml:space="preserve"> I - Kerkesa te arketushme  </t>
  </si>
  <si>
    <t xml:space="preserve"> -  Kliente </t>
  </si>
  <si>
    <t xml:space="preserve">Kerkes te tjra te arketushme jane </t>
  </si>
  <si>
    <t>a)</t>
  </si>
  <si>
    <t>b)</t>
  </si>
  <si>
    <t xml:space="preserve"> 4- Inventarei i mallrave </t>
  </si>
  <si>
    <t>Gjate vitit ushtrimor eshte perdorur metoda FIFO Dhe ne fund mallrat jene vleresuar me cmimet e hyrjes si</t>
  </si>
  <si>
    <t>dhe shpenzimet e tjera  te blerjes te blerjes  si taksa .</t>
  </si>
  <si>
    <t xml:space="preserve"> - Ne Pasiv</t>
  </si>
  <si>
    <t>2- Paga e punetoreve</t>
  </si>
  <si>
    <t>3- Detyrime  per Sigurimet shoqerore</t>
  </si>
  <si>
    <t xml:space="preserve">4- Detyrime Tatimore per  TAP - in  </t>
  </si>
  <si>
    <t xml:space="preserve">5- Detyrime Tatimore per  Tatimin mbi fitimin </t>
  </si>
  <si>
    <t xml:space="preserve">6- Detyrime tatimore per T V SH </t>
  </si>
  <si>
    <t>7- Detyrime tatimore per tatimin ne burim</t>
  </si>
  <si>
    <t xml:space="preserve">8-  Huara te tjera </t>
  </si>
  <si>
    <t xml:space="preserve">  -  Overdrafte</t>
  </si>
  <si>
    <t xml:space="preserve">  -  Huara bankare</t>
  </si>
  <si>
    <t xml:space="preserve">9-   Parapagimet  e arketimeve </t>
  </si>
  <si>
    <t xml:space="preserve"> - Te ardhurat e  Shpenzimet</t>
  </si>
  <si>
    <t xml:space="preserve">   Jane njohur me vleren e drejte te shumes se arketushme ose te pagushme ne momentim e kryerjes se </t>
  </si>
  <si>
    <t xml:space="preserve">transaksioneve te blerjes , sherbimeve apo  shitjes . Ato jane klasifikuar ne pasqyren  e te ardhurave </t>
  </si>
  <si>
    <t>e shpenzimeve sipas narytes se tyre ekonomike</t>
  </si>
  <si>
    <t xml:space="preserve"> Te ardhura te tjera nga veprimtaria e shfrytezimit </t>
  </si>
  <si>
    <t xml:space="preserve">Te ardhura te tjera </t>
  </si>
  <si>
    <t>Ndryshimi ne inventarin prod I gateshm e prodh proces</t>
  </si>
  <si>
    <t>Shpenzime te panjohura</t>
  </si>
  <si>
    <t xml:space="preserve"> - Pasqyra e fluksit te parase  (Cash Flow)</t>
  </si>
  <si>
    <t>Pasqyra e Fkuksit te parase eshte pregaritiur sipas metodes direkte</t>
  </si>
  <si>
    <t>II - Informacionper zerat e pasqyrave fimanciare</t>
  </si>
  <si>
    <t xml:space="preserve">  I -Aktivet Afat gjata</t>
  </si>
  <si>
    <t>Gjendja e ativeve</t>
  </si>
  <si>
    <t>Shtesa</t>
  </si>
  <si>
    <t>Pakesime</t>
  </si>
  <si>
    <t>Makineri e pajisje</t>
  </si>
  <si>
    <t>Mjete Transporti</t>
  </si>
  <si>
    <t>Paisje zyre e informatike</t>
  </si>
  <si>
    <t>II- Pasqyra e ndryshimit te kapitalit</t>
  </si>
  <si>
    <t xml:space="preserve">II - Shenimet Spjeguese </t>
  </si>
  <si>
    <t xml:space="preserve">     Ngjarje te ndodhura pas dates se bilancit per te cilat behen rregullime Apo ngjarje te ndodhura pas </t>
  </si>
  <si>
    <t>dates se bilancit qe nuk behen rregullime nuk ka</t>
  </si>
  <si>
    <t>Gabime materiale te ndodhura ne periudhat kontabel te meparshme te konstatuara gjate periudhes</t>
  </si>
  <si>
    <t xml:space="preserve"> rraportuesse  dhe qe behen korrigjime nuk ka</t>
  </si>
  <si>
    <t>Hartusi</t>
  </si>
  <si>
    <t xml:space="preserve">Administratori </t>
  </si>
  <si>
    <t>SHPK</t>
  </si>
  <si>
    <t>TE TJERA TE ARKET</t>
  </si>
  <si>
    <t>Sh . Spjeg</t>
  </si>
  <si>
    <t xml:space="preserve">     Kjo Shoqeri eshte themeluar ne vitin   ......              .Ka riklasifikim te gjendjeve te vitit 2007 e te </t>
  </si>
  <si>
    <t>Ndryshimi i gjendjes te prodhimit te vet(  +  vlera  )</t>
  </si>
  <si>
    <t>Ndryshimi i gjendjes te prodhimit te vet ( -  vlera  = kujdes )</t>
  </si>
  <si>
    <t>Fitimi ( humbja ) para tatimit  (  C+ / -  D  )</t>
  </si>
  <si>
    <t>Pozicioni me 31 Dhjetor 2010</t>
  </si>
  <si>
    <t xml:space="preserve">Interesa </t>
  </si>
  <si>
    <t>Bankare etj</t>
  </si>
  <si>
    <t xml:space="preserve">                 Shuma totale</t>
  </si>
  <si>
    <t xml:space="preserve">Kovertimi  ne Lek </t>
  </si>
  <si>
    <t xml:space="preserve">SHPENZIME TE PANJOHURA </t>
  </si>
  <si>
    <t>.......................................</t>
  </si>
  <si>
    <t>....................................</t>
  </si>
  <si>
    <t>..........................................</t>
  </si>
  <si>
    <t>...................................................</t>
  </si>
  <si>
    <t>per mallra e mat, paisje</t>
  </si>
  <si>
    <t xml:space="preserve">Ne analize </t>
  </si>
  <si>
    <t xml:space="preserve">4 % i bashkise </t>
  </si>
  <si>
    <t xml:space="preserve">Te tjera </t>
  </si>
  <si>
    <t xml:space="preserve">T O T A L I  </t>
  </si>
  <si>
    <t>Projekti</t>
  </si>
  <si>
    <t xml:space="preserve">Emertimi  i Bankes </t>
  </si>
  <si>
    <t>Numeri   i Llogarise</t>
  </si>
  <si>
    <t xml:space="preserve">Lloi i monedhes </t>
  </si>
  <si>
    <t xml:space="preserve"> Shuma  ne  lek </t>
  </si>
  <si>
    <r>
      <t>Tatimpaguesi</t>
    </r>
    <r>
      <rPr>
        <b/>
        <sz val="12"/>
        <rFont val="Arial"/>
        <family val="2"/>
      </rPr>
      <t xml:space="preserve">        </t>
    </r>
  </si>
  <si>
    <r>
      <t xml:space="preserve">Nipt          </t>
    </r>
    <r>
      <rPr>
        <b/>
        <sz val="12"/>
        <rFont val="Arial"/>
        <family val="2"/>
      </rPr>
      <t/>
    </r>
  </si>
  <si>
    <r>
      <t>Aktiviteti</t>
    </r>
    <r>
      <rPr>
        <b/>
        <sz val="12"/>
        <rFont val="Arial"/>
        <family val="2"/>
      </rPr>
      <t xml:space="preserve">   </t>
    </r>
    <r>
      <rPr>
        <b/>
        <u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</t>
    </r>
  </si>
  <si>
    <t>Emertimi i aktivit</t>
  </si>
  <si>
    <t>Viti i hyrjes se aktivit</t>
  </si>
  <si>
    <t xml:space="preserve">Celje  me vl fillestare </t>
  </si>
  <si>
    <t>Ndryshimet gjate vitit</t>
  </si>
  <si>
    <t>Koeficenti i amortizimit ne %</t>
  </si>
  <si>
    <t>Hyrje aktivesh</t>
  </si>
  <si>
    <t>Dalje aktivesh</t>
  </si>
  <si>
    <t>a</t>
  </si>
  <si>
    <t>b</t>
  </si>
  <si>
    <t>4(1+2-3)</t>
  </si>
  <si>
    <t>7 ( 1-6)</t>
  </si>
  <si>
    <t>8[(7x5)+(2x5/12x..)}</t>
  </si>
  <si>
    <t>10(6+8-9)</t>
  </si>
  <si>
    <t>11 ( 4-10 )</t>
  </si>
  <si>
    <t>S H U M A   NDERTESA</t>
  </si>
  <si>
    <t xml:space="preserve">MAKINERI E PAISJE </t>
  </si>
  <si>
    <t xml:space="preserve">INSTALIME  , LINJA </t>
  </si>
  <si>
    <t>SHUMA MAKINERI E PAISJE</t>
  </si>
  <si>
    <t>MJETE  TRASPORTI</t>
  </si>
  <si>
    <t>SHUMA MJETE TRASP</t>
  </si>
  <si>
    <t>Paisje Zyre e informatike</t>
  </si>
  <si>
    <t>SHUMA Paisje zyere e inf</t>
  </si>
  <si>
    <t xml:space="preserve">G J I T H E S E J </t>
  </si>
  <si>
    <t xml:space="preserve">LEKE </t>
  </si>
  <si>
    <t>SHOQERIA</t>
  </si>
  <si>
    <t>Shtese</t>
  </si>
  <si>
    <t>Paksime</t>
  </si>
  <si>
    <t>Toka</t>
  </si>
  <si>
    <t>Kompjutra</t>
  </si>
  <si>
    <t>Zyre</t>
  </si>
  <si>
    <t>ADMINISTRATORI</t>
  </si>
  <si>
    <t>Pasqyra nr.1</t>
  </si>
  <si>
    <t>Ne 000/Leke</t>
  </si>
  <si>
    <t>ANEKS FTATISTIKOR</t>
  </si>
  <si>
    <t>T Ë   A R D H U RA T</t>
  </si>
  <si>
    <t>Numeri i llogarise</t>
  </si>
  <si>
    <t>Kodi Statistikor</t>
  </si>
  <si>
    <t>USHTRIMI</t>
  </si>
  <si>
    <t xml:space="preserve">  TË ARDHURA GJITHSEJ (a+b+c)</t>
  </si>
  <si>
    <t>Te ardhura nga shitja e produktit të  vet</t>
  </si>
  <si>
    <t>Te ardhura nga shitja e sherbimeve</t>
  </si>
  <si>
    <t>c</t>
  </si>
  <si>
    <t>Te ardhura nga shitja e mallrave</t>
  </si>
  <si>
    <t xml:space="preserve">  TË ARDHURA NGA SHITJE TE TJERA (a+b+c)</t>
  </si>
  <si>
    <t>Qera</t>
  </si>
  <si>
    <t>Komisione</t>
  </si>
  <si>
    <t>Transaksione per te tjeret</t>
  </si>
  <si>
    <t>NDRYSHIMET NE INVENTARIN E PRODUKTEVE TE GATSHME E PRODHIMEVE NE PROCES</t>
  </si>
  <si>
    <t>Shtesa(+)</t>
  </si>
  <si>
    <t>Paksime(-)</t>
  </si>
  <si>
    <t>PRODHIMI PER QELLIMET E VET NDERMARRJES DHE PER KAPITAL:</t>
  </si>
  <si>
    <t>Nga te cilat: Prodhim I aktiveve afatgjate</t>
  </si>
  <si>
    <t>TE ARDHURA NGA GRANTET (Subvencionet)</t>
  </si>
  <si>
    <t>TE TJERA</t>
  </si>
  <si>
    <t>TE ARDHURA NGA SHITJA E AKTIVEVE AFATGJATE</t>
  </si>
  <si>
    <t>TOTALI (1+2+3+4+5+6+7)</t>
  </si>
  <si>
    <t>Pasqyra nr.2</t>
  </si>
  <si>
    <t>S H P E N Z I M E T</t>
  </si>
  <si>
    <t>Blerje, shpenzime (a+b+c+d+e)</t>
  </si>
  <si>
    <t>Blerje/shpenzime materiale dhe materiale te tjera</t>
  </si>
  <si>
    <t>Ndryshimi i gjendjeve te Materialeve (+ -)</t>
  </si>
  <si>
    <t>Mallra te blera</t>
  </si>
  <si>
    <t>605/1</t>
  </si>
  <si>
    <t>d</t>
  </si>
  <si>
    <t>Ndryshimi i gjendjeve te Mallrave (+ -)</t>
  </si>
  <si>
    <t>e</t>
  </si>
  <si>
    <t>Shpenzime per sherbime</t>
  </si>
  <si>
    <t>605/2</t>
  </si>
  <si>
    <t>Shpenzime për personelin(a+b)</t>
  </si>
  <si>
    <t>Pagat</t>
  </si>
  <si>
    <t>Trajtime dhe shpërblime të tjera</t>
  </si>
  <si>
    <t>Amortizime dhe zhvlersime</t>
  </si>
  <si>
    <t>Sherbime nga te trete(a+b+c+d+e+f+g+h+i+j+k+l+m)</t>
  </si>
  <si>
    <t>Sherbime nga nen-kontraktoret</t>
  </si>
  <si>
    <t>Trajtime te pergjitheshme</t>
  </si>
  <si>
    <t>Mirmbajtje dhe riparime</t>
  </si>
  <si>
    <t>Shpenzime per siguracione</t>
  </si>
  <si>
    <t>f</t>
  </si>
  <si>
    <t>Kerkim studime</t>
  </si>
  <si>
    <t>g</t>
  </si>
  <si>
    <t>Sherbime te tjera</t>
  </si>
  <si>
    <t>h</t>
  </si>
  <si>
    <t>Shpenzime per koncensione,patenta dhe licenca</t>
  </si>
  <si>
    <t>i</t>
  </si>
  <si>
    <t>Shpenzime per reklame e publicitet</t>
  </si>
  <si>
    <t>j</t>
  </si>
  <si>
    <t>Transferime,udhetime,dieta.</t>
  </si>
  <si>
    <t>k</t>
  </si>
  <si>
    <t>Shpenzime postare e telekominikacion</t>
  </si>
  <si>
    <t>l</t>
  </si>
  <si>
    <t>Shpenzime transporti</t>
  </si>
  <si>
    <t>per Blerje</t>
  </si>
  <si>
    <t>per Shitje</t>
  </si>
  <si>
    <t>m</t>
  </si>
  <si>
    <t>Shpenzime per sherbime bankare</t>
  </si>
  <si>
    <t>Tatime dhe Taksa  (a+b+c+d)</t>
  </si>
  <si>
    <t>Taksa e tarifa doganore</t>
  </si>
  <si>
    <t>Akciza</t>
  </si>
  <si>
    <t>Taksa e Tarifa vendore</t>
  </si>
  <si>
    <t>Taksa e regjistrimit dhe tatime te tjera</t>
  </si>
  <si>
    <t>TOTALI I SHPENZIMEVE (1+2+3+4+5)</t>
  </si>
  <si>
    <t>Informate:</t>
  </si>
  <si>
    <t>Numeri mesatar I te punesuarve</t>
  </si>
  <si>
    <t>Investimet</t>
  </si>
  <si>
    <t>Shtim I aseteve fikse</t>
  </si>
  <si>
    <t>nga te cilet; Asete te reja</t>
  </si>
  <si>
    <t>Pakesimi i aseteve fikse</t>
  </si>
  <si>
    <t>nga te cilet; Shitje e aseteve ekzistuese</t>
  </si>
  <si>
    <t>Pasqyra nr  3</t>
  </si>
  <si>
    <t>Aktiviteti</t>
  </si>
  <si>
    <t>Te ardhura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</si>
  <si>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</si>
  <si>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</si>
  <si>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</si>
  <si>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</si>
  <si>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</si>
  <si>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</si>
  <si>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</si>
  <si>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</si>
  <si>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</si>
  <si>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</si>
  <si>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</si>
  <si>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</si>
  <si>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</si>
  <si>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</si>
  <si>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</si>
  <si>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</si>
  <si>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</si>
  <si>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</si>
  <si>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</si>
  <si>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</si>
  <si>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</si>
  <si>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</si>
  <si>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</si>
  <si>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</si>
  <si>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</si>
  <si>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</si>
  <si>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</si>
  <si>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</si>
  <si>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</si>
  <si>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</si>
  <si>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</si>
  <si>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</si>
  <si>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</si>
  <si>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</si>
  <si>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</si>
  <si>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</si>
  <si>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</si>
  <si>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</si>
  <si>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</si>
  <si>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</si>
  <si>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</si>
  <si>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</si>
  <si>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</si>
  <si>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Totali i te ardhurave nga sherbimet</t>
  </si>
  <si>
    <t>Numeri i te punesuarve</t>
  </si>
  <si>
    <t>Me page deri ne 19.000 leke</t>
  </si>
  <si>
    <t>Me page nga 19.001 deri ne 30.000 leke</t>
  </si>
  <si>
    <t>Me page nga 30.001 deri ne 66.500 leke</t>
  </si>
  <si>
    <t>Me page nga 66.501 deri ne 84.100 leke</t>
  </si>
  <si>
    <t>Me page me te larte se 84.100 leke</t>
  </si>
  <si>
    <r>
      <t xml:space="preserve">             </t>
    </r>
    <r>
      <rPr>
        <sz val="8.5"/>
        <color indexed="8"/>
        <rFont val="Arial BoldMT"/>
      </rPr>
      <t>Totali</t>
    </r>
  </si>
  <si>
    <t xml:space="preserve">Te  ardhura  nga shitja e MALLRAVE </t>
  </si>
  <si>
    <t xml:space="preserve">Te  ardhura  nga shitja e A A GJ Materiale  etj , ETJ  ETJ </t>
  </si>
  <si>
    <t>L2</t>
  </si>
  <si>
    <t xml:space="preserve">TOTALI  I HUASE  </t>
  </si>
  <si>
    <t>TABELA E RAKORDIMIT TE PAGAVE E SIGURIMEVE SHOQERORE</t>
  </si>
  <si>
    <t xml:space="preserve">        Paga bruto</t>
  </si>
  <si>
    <t xml:space="preserve">Nr  i te punesuarve </t>
  </si>
  <si>
    <t xml:space="preserve">11)Mbi te </t>
  </si>
  <si>
    <t>per</t>
  </si>
  <si>
    <t>Paga</t>
  </si>
  <si>
    <t xml:space="preserve">cilen llog  </t>
  </si>
  <si>
    <t>Gjithesej</t>
  </si>
  <si>
    <t>Punedhen</t>
  </si>
  <si>
    <t>Punemar</t>
  </si>
  <si>
    <t>sigurim</t>
  </si>
  <si>
    <t>ardhurat</t>
  </si>
  <si>
    <t>kontrib</t>
  </si>
  <si>
    <t>shendetesor</t>
  </si>
  <si>
    <t>SHKURTI</t>
  </si>
  <si>
    <t>Shitjet e perjashtuara</t>
  </si>
  <si>
    <t>Eksporte /Furnizime me 0%</t>
  </si>
  <si>
    <t>Blerje</t>
  </si>
  <si>
    <t>Te perjashtuara,me Tvsh jo te zbritshme dhe pa TVSH</t>
  </si>
  <si>
    <t>Nga Fermeret vendas</t>
  </si>
  <si>
    <t xml:space="preserve">Vlera e Tatueshme </t>
  </si>
  <si>
    <t xml:space="preserve">Tvsh </t>
  </si>
  <si>
    <t>Vlera e Tatueshme</t>
  </si>
  <si>
    <t>Tvsh</t>
  </si>
  <si>
    <t xml:space="preserve">Shitje me shkalle 20%              </t>
  </si>
  <si>
    <t xml:space="preserve">Shitje me shkalle 10%               </t>
  </si>
  <si>
    <t>Importe me shkalle 20%</t>
  </si>
  <si>
    <t>Importe me shkalle 10%</t>
  </si>
  <si>
    <t>Nga Furnitore Vendas me shkalle 20%</t>
  </si>
  <si>
    <t>Nga Furnitore Vendas me shkalle 10%</t>
  </si>
  <si>
    <t xml:space="preserve">Pasqyra e llogaritjes se amortizimit te aktiveve per Vitin      </t>
  </si>
  <si>
    <t xml:space="preserve">TOKA  -   </t>
  </si>
  <si>
    <t xml:space="preserve">SHUMA  TOKE </t>
  </si>
  <si>
    <t>Vlere e mbetur per 01.01.2011</t>
  </si>
  <si>
    <t>L1</t>
  </si>
  <si>
    <t xml:space="preserve">OVERDRAFTE  AFATSHKURTERA </t>
  </si>
  <si>
    <t>CELJA   01.01.2011</t>
  </si>
  <si>
    <t xml:space="preserve">HYRJE  GJITHESEJ </t>
  </si>
  <si>
    <t>MBETJE  31.12.2011</t>
  </si>
  <si>
    <t>C  3</t>
  </si>
  <si>
    <t xml:space="preserve">KAPITALI AKSIONER </t>
  </si>
  <si>
    <t>Pozicioni me 31 Dhjetor 2011</t>
  </si>
  <si>
    <t>8 - Rezerva te tjera</t>
  </si>
  <si>
    <t>GJENDJE ME 31.12.10</t>
  </si>
  <si>
    <t>HYRJE GJTHESEJ V 11</t>
  </si>
  <si>
    <t>DALJE GJITH V 11</t>
  </si>
  <si>
    <t>GJENDJE ME 31.12.11</t>
  </si>
  <si>
    <t>Detyrime 2010</t>
  </si>
  <si>
    <t>N D E R T E S A  2</t>
  </si>
  <si>
    <t>N D E R T E S A  3</t>
  </si>
  <si>
    <t>Referenca - Nr llogar</t>
  </si>
  <si>
    <t>Periudha Raportuse</t>
  </si>
  <si>
    <t xml:space="preserve">Periudha  paraardhese </t>
  </si>
  <si>
    <t>Shenime tab koresp</t>
  </si>
  <si>
    <t xml:space="preserve">KREDI AFATGJATA  ETJ </t>
  </si>
  <si>
    <t xml:space="preserve">Detyrime 2010 - Celje </t>
  </si>
  <si>
    <t>Furnizime  v 2011</t>
  </si>
  <si>
    <t>Likujdime  V  2011</t>
  </si>
  <si>
    <t>Detyrim i mbetur 31.12.11</t>
  </si>
  <si>
    <t xml:space="preserve">    Standartet Kombetare te kontabilitetit zbatohen per vitin e  katert  ne  Shqiperi</t>
  </si>
  <si>
    <t xml:space="preserve">Administrator </t>
  </si>
  <si>
    <t xml:space="preserve"> Relatuar ne pozicionet e gjendjeve te 31,12,2010</t>
  </si>
  <si>
    <t xml:space="preserve">Te TJERA </t>
  </si>
  <si>
    <t>Celje e 31.12.2010</t>
  </si>
  <si>
    <t xml:space="preserve">12.1  Te ardhura e shpenz financ nga invest te tjera e financ afat gjata </t>
  </si>
  <si>
    <t xml:space="preserve">12.2  Te ardhura e shpenzimet nga interesat </t>
  </si>
  <si>
    <t xml:space="preserve">12.3 Fitime  ( humbje ) nga kurset e e kembimit </t>
  </si>
  <si>
    <t>12.4  Te ardhura e shpenzime te tjera financiare</t>
  </si>
  <si>
    <t>Toke</t>
  </si>
  <si>
    <t>Dalje  Amort ( koresp daljeve Akt)</t>
  </si>
  <si>
    <t xml:space="preserve">Periudha  Raportuse </t>
  </si>
  <si>
    <t xml:space="preserve">Periudha Paraardhese </t>
  </si>
  <si>
    <t xml:space="preserve">Dalje  A A GJ materiale me V K M </t>
  </si>
  <si>
    <t xml:space="preserve">17.1  Te ardhura e shpenz financ nga invest te tjera e financ afat gjata </t>
  </si>
  <si>
    <t xml:space="preserve">17.2  Te ardhura e shpenzimet nga interesat </t>
  </si>
  <si>
    <t xml:space="preserve">17.3 Fitime  ( humbje ) nga kurset e e kembimit </t>
  </si>
  <si>
    <t>17.4  Te ardhura e shpenzime te tjera financiare</t>
  </si>
  <si>
    <t>Likujduar bIlanc11</t>
  </si>
  <si>
    <t xml:space="preserve">         Shuma e parapaguar per  blerje e sherbime </t>
  </si>
  <si>
    <t>Te tjera  shpenzime te panjohura  ( specifikuar   ne tab V  )</t>
  </si>
  <si>
    <t xml:space="preserve">Shpenzime te panjohura ( sipas  B - 14 ) + tjera - format </t>
  </si>
  <si>
    <t xml:space="preserve">pagesat e detyrimeve te qerase financiare - interesa </t>
  </si>
  <si>
    <t>Per Periudhen 01 Janar Deri ne 31 Dhjetor 2011</t>
  </si>
  <si>
    <t xml:space="preserve">Periudha   Paraardhese </t>
  </si>
  <si>
    <t xml:space="preserve">EURO </t>
  </si>
  <si>
    <t xml:space="preserve">U S D </t>
  </si>
  <si>
    <t>TJERA</t>
  </si>
  <si>
    <t xml:space="preserve">SINTETIKE  - Ne analize  shif  INVENTARET </t>
  </si>
  <si>
    <t xml:space="preserve">&gt;  Tvsh  e ndertimit </t>
  </si>
  <si>
    <t xml:space="preserve">MUAJI </t>
  </si>
  <si>
    <t xml:space="preserve"> NGA  KETO </t>
  </si>
  <si>
    <t xml:space="preserve">Ardhurat   Gjithesej ( sipas P ) </t>
  </si>
  <si>
    <t>Gjendje fillest</t>
  </si>
  <si>
    <t xml:space="preserve">SHUMA  </t>
  </si>
  <si>
    <t>Nga 01.01.2012</t>
  </si>
  <si>
    <t>Deri 31.12.2012</t>
  </si>
  <si>
    <t>10.03.2013</t>
  </si>
  <si>
    <t>tep e V 11</t>
  </si>
  <si>
    <t>Banesa Nr 1</t>
  </si>
  <si>
    <t>Banesa Nr 2</t>
  </si>
  <si>
    <t xml:space="preserve">&gt;  Inventare  e te  etj ,   te tjera </t>
  </si>
  <si>
    <t xml:space="preserve">&gt;  Te  tjera  e ne  proces </t>
  </si>
  <si>
    <t>Totali 31/12/2012</t>
  </si>
  <si>
    <t>Amortizim i akumuluar deri ne 31.12. 11</t>
  </si>
  <si>
    <t>Amortizim i llogaritur ne 31.12.2012</t>
  </si>
  <si>
    <t>Dalje amortizimi 31/12/2012</t>
  </si>
  <si>
    <t>Gjithsej amortizim  + dalje ne 31.12.2012</t>
  </si>
  <si>
    <t>Vlera e mbetur 31.12.2012</t>
  </si>
  <si>
    <t xml:space="preserve">Te Tjera e ne PROCES </t>
  </si>
  <si>
    <t>Inventar  zyre</t>
  </si>
  <si>
    <t>L  2</t>
  </si>
  <si>
    <t>Pozicioni me 31 Dhjetor 2012</t>
  </si>
  <si>
    <t>Pasq e # kap</t>
  </si>
  <si>
    <t>Ardh e shpenz</t>
  </si>
  <si>
    <t>P e Nder</t>
  </si>
  <si>
    <t xml:space="preserve">&gt; Shitje  NETO,ose  ME KOSTO NDERTIMORE </t>
  </si>
  <si>
    <t xml:space="preserve">&gt;  Te  ardhura  nga aktiviteti  baze  I shfrytezimit </t>
  </si>
  <si>
    <t xml:space="preserve">P  </t>
  </si>
  <si>
    <t>Shitje   mallra e   materialesh</t>
  </si>
  <si>
    <t xml:space="preserve">Te  ardhura  te tjera </t>
  </si>
  <si>
    <t>NDERTIM  BANESE  Nr  1</t>
  </si>
  <si>
    <t>NDERTIM  BANESE  Nr 2</t>
  </si>
  <si>
    <t xml:space="preserve">Shiteje AAGJM  etj etj </t>
  </si>
  <si>
    <t>Shuma  AAGJM</t>
  </si>
  <si>
    <t xml:space="preserve">          Pasqyra e vleresimit te A A GJ M   per vitin 2012</t>
  </si>
  <si>
    <t>Ardhur nga V 2011</t>
  </si>
  <si>
    <t>VITI  2012</t>
  </si>
  <si>
    <t>KALUAR NE KOSTO PER VITIN 2012</t>
  </si>
  <si>
    <t>SHUMA E KALIMIT TE V 2012</t>
  </si>
  <si>
    <t>SHPENZIME PER TU SHPERNDARE NE V 2013</t>
  </si>
  <si>
    <t xml:space="preserve">Ardhur nga   S  -  V   apo bankat  etj </t>
  </si>
  <si>
    <t>TE  ARDHURAT NE ANALIZE   PER  VITIN  2012</t>
  </si>
  <si>
    <t xml:space="preserve">                           ETJ , PER VITIN USHTRIMOR 2012</t>
  </si>
  <si>
    <t>Aktivet Afatgjate Materiale me vlere fillestare  2012</t>
  </si>
  <si>
    <t>Gjendje 31/12/2012</t>
  </si>
  <si>
    <t>Amortizimi A.A.Materiale 2012</t>
  </si>
  <si>
    <t>Vlera Kontabl Neto  A.A.Materiale 2012</t>
  </si>
  <si>
    <t>Gjendje 1/1/2012</t>
  </si>
  <si>
    <t>Te punesuar mesatarisht per vitin 2012</t>
  </si>
  <si>
    <t>D 6</t>
  </si>
  <si>
    <t>D 1</t>
  </si>
  <si>
    <t>D 2</t>
  </si>
  <si>
    <t>D 3</t>
  </si>
  <si>
    <t>D 4</t>
  </si>
  <si>
    <t>D 5</t>
  </si>
  <si>
    <t>Kujdes . Nuk eshte mbledh det I V 11</t>
  </si>
  <si>
    <t xml:space="preserve">Humbje  te  mbartura </t>
  </si>
  <si>
    <t xml:space="preserve">Parapagimi  I arketimeve  te  ndertimit  etj  </t>
  </si>
  <si>
    <t>&gt; Mjete  trasporti</t>
  </si>
  <si>
    <t xml:space="preserve">&gt;  Paisje  zyre  etj  etj </t>
  </si>
  <si>
    <t xml:space="preserve">VERIFIKUESI  I  A A GJ M </t>
  </si>
  <si>
    <t xml:space="preserve">Te  tjera  e ne proces </t>
  </si>
  <si>
    <t>Makineri  -  paisje</t>
  </si>
  <si>
    <t>ARDHUR  NGA  BANKAT  ETJ</t>
  </si>
  <si>
    <t xml:space="preserve">ARDHUR  NGA  S </t>
  </si>
  <si>
    <t>KALUAR TE  E 2</t>
  </si>
  <si>
    <t xml:space="preserve">ARDHUR  NGA  PASQ E SHITJES TE NDERTIMIT </t>
  </si>
  <si>
    <t>TVSH  E NDERTIMIT</t>
  </si>
  <si>
    <t>4 %  I BASHKISE</t>
  </si>
  <si>
    <t>TOKA E PRONAREVE</t>
  </si>
  <si>
    <t xml:space="preserve">E U R O   -  LEKE </t>
  </si>
  <si>
    <t>Kursi I dates 31.12.2012</t>
  </si>
  <si>
    <t xml:space="preserve">     Pasqyrat financiare te vitit ushtrimor 01 Janar deri ne 31 Dhjetor 2012  jane detajuar ne baze</t>
  </si>
  <si>
    <t>Politikat kontabel te perdorura per vleresimin e te gjithe elementeve te pasqyrave per vitin 2012</t>
  </si>
  <si>
    <t>1- Mjetet Monetare  jane pasqyra me vleren e drejte . Llogarit bankare gjendje ne 31,12,2012  Gjithsej</t>
  </si>
  <si>
    <t>01.01.2012</t>
  </si>
  <si>
    <t>V 2012</t>
  </si>
  <si>
    <t>e V 12</t>
  </si>
  <si>
    <t>me 31.12.12</t>
  </si>
  <si>
    <t>Leke  gjendje 31.12.2012</t>
  </si>
  <si>
    <t xml:space="preserve"> 1- Lista e furnitoreve te vitit 31,12,2012</t>
  </si>
  <si>
    <t xml:space="preserve"> D 6</t>
  </si>
  <si>
    <t>Detyrime 2011</t>
  </si>
  <si>
    <t xml:space="preserve">TE  ARDHURA  TE NDERTIMIT </t>
  </si>
  <si>
    <t xml:space="preserve">P  A SH </t>
  </si>
  <si>
    <t>Viti ushtrimor 01,01,2012 deri me 31,12,2012</t>
  </si>
  <si>
    <t>Gjendja ne 31.12,2011</t>
  </si>
  <si>
    <t>Gjendje ne 31,12,2012</t>
  </si>
  <si>
    <t>Amorizimi  i mbartur  deri 01,01,2011</t>
  </si>
  <si>
    <t>Amortizimi  31,12,2012</t>
  </si>
  <si>
    <t xml:space="preserve">&gt; Te ardhura    TE PERHASHTUARA TE SHITJES </t>
  </si>
  <si>
    <t>PASQYRA E RAKORDIMIT PER T V SH  PER  VITIN  2012</t>
  </si>
  <si>
    <t>Nr.</t>
  </si>
  <si>
    <t>Lloji automjetit</t>
  </si>
  <si>
    <t>Kapaciteti</t>
  </si>
  <si>
    <t>Targa</t>
  </si>
  <si>
    <t>Vlera</t>
  </si>
  <si>
    <t>Inventari automjeteve ne pronesi te subjektit   2012</t>
  </si>
  <si>
    <t>Eskeld</t>
  </si>
  <si>
    <t>Libri i Shitjeve</t>
  </si>
  <si>
    <t xml:space="preserve">Shoqeria </t>
  </si>
  <si>
    <t>ESKELD</t>
  </si>
  <si>
    <t>K86607207N</t>
  </si>
  <si>
    <t>Viti</t>
  </si>
  <si>
    <t>2012</t>
  </si>
  <si>
    <t>01</t>
  </si>
  <si>
    <t xml:space="preserve">Pa veprimtari </t>
  </si>
  <si>
    <r>
      <t xml:space="preserve">Ploteso </t>
    </r>
    <r>
      <rPr>
        <b/>
        <sz val="12"/>
        <color indexed="8"/>
        <rFont val="Agency FB"/>
        <family val="2"/>
      </rPr>
      <t xml:space="preserve">PO </t>
    </r>
    <r>
      <rPr>
        <sz val="12"/>
        <color indexed="8"/>
        <rFont val="Agency FB"/>
        <family val="2"/>
      </rPr>
      <t xml:space="preserve">nese gjate muajit nuk eshte bere asnje transaksion. </t>
    </r>
  </si>
  <si>
    <t>Fatura</t>
  </si>
  <si>
    <t>Bleresi</t>
  </si>
  <si>
    <t xml:space="preserve">Totali Shitjeve </t>
  </si>
  <si>
    <t xml:space="preserve">Nr Fatures </t>
  </si>
  <si>
    <t>Numri Serial</t>
  </si>
  <si>
    <t>Data (dd/mm/yyyy)</t>
  </si>
  <si>
    <t>Emri tregtar /personi</t>
  </si>
  <si>
    <t xml:space="preserve">Rrethi </t>
  </si>
  <si>
    <t>g= (h+i+j+k+l+m)</t>
  </si>
  <si>
    <t>16/01/2012</t>
  </si>
  <si>
    <t>NXENES 9 VJECARE</t>
  </si>
  <si>
    <t>VLORE</t>
  </si>
  <si>
    <t>SKA</t>
  </si>
  <si>
    <t>30/01/2012</t>
  </si>
  <si>
    <t>NXENES GJIMNAZI</t>
  </si>
  <si>
    <t>NXENES ME KORESPODENCE</t>
  </si>
  <si>
    <t>Shuma totale</t>
  </si>
  <si>
    <t>Kutia sipas Formularit te Deklarimit dhe Pageses se TVSH-se</t>
  </si>
  <si>
    <t>kutia (9)</t>
  </si>
  <si>
    <t>kutia (10)</t>
  </si>
  <si>
    <t>kutia (11)</t>
  </si>
  <si>
    <t>kutia (12)</t>
  </si>
  <si>
    <t>kutia (13)</t>
  </si>
  <si>
    <t>kutia (14)</t>
  </si>
  <si>
    <t xml:space="preserve">Emri           Mbiemri </t>
  </si>
  <si>
    <t>ESMERALDA MUSKAJ</t>
  </si>
  <si>
    <t>Shpjegim:</t>
  </si>
  <si>
    <t xml:space="preserve">Ne rastin kur ky liber do te printohet, per qellime te ruajtjes/ mbajtjes se dokumentacionit, cdo faqe e printuar duhet te kete ne krye permbajtjen / rreshtat nga 1 ne 12. </t>
  </si>
  <si>
    <t>Nr i rreshtave mund te shtohet ne perputhje me nr e transaksioneve</t>
  </si>
  <si>
    <t>02</t>
  </si>
  <si>
    <t>OO530018</t>
  </si>
  <si>
    <t>27/02/2012</t>
  </si>
  <si>
    <t>OO530019</t>
  </si>
  <si>
    <t>29/02/2012</t>
  </si>
  <si>
    <t>OO530020</t>
  </si>
  <si>
    <t>28/02/2012</t>
  </si>
  <si>
    <t>NXENES 9-VJECARE</t>
  </si>
  <si>
    <t>28/02/2011</t>
  </si>
  <si>
    <t>FEMIJE KOPESHTI</t>
  </si>
  <si>
    <t>03</t>
  </si>
  <si>
    <t>27/03/2012</t>
  </si>
  <si>
    <t>00530021</t>
  </si>
  <si>
    <t>00530022</t>
  </si>
  <si>
    <t>00530023</t>
  </si>
  <si>
    <t>NXENES  KORESPODENCE</t>
  </si>
  <si>
    <t>04</t>
  </si>
  <si>
    <t>30/4/2012</t>
  </si>
  <si>
    <t>00530024</t>
  </si>
  <si>
    <t>00530025</t>
  </si>
  <si>
    <t>00530026</t>
  </si>
  <si>
    <t>00530027</t>
  </si>
  <si>
    <t>05</t>
  </si>
  <si>
    <t>30/05/2012</t>
  </si>
  <si>
    <t>00530028</t>
  </si>
  <si>
    <t>00530029</t>
  </si>
  <si>
    <t>00530030</t>
  </si>
  <si>
    <t>31/05/2012</t>
  </si>
  <si>
    <t>00530031</t>
  </si>
  <si>
    <t>00530032</t>
  </si>
  <si>
    <t>00530033</t>
  </si>
  <si>
    <t>72646127</t>
  </si>
  <si>
    <t>72646128</t>
  </si>
  <si>
    <t>72646129</t>
  </si>
  <si>
    <t>72646130</t>
  </si>
  <si>
    <t>06</t>
  </si>
  <si>
    <t>00530034</t>
  </si>
  <si>
    <t>00530035</t>
  </si>
  <si>
    <t>13/06/2012</t>
  </si>
  <si>
    <t>00530036</t>
  </si>
  <si>
    <t>15/06/2012</t>
  </si>
  <si>
    <t>00530037</t>
  </si>
  <si>
    <t>00530038</t>
  </si>
  <si>
    <t>29/06/2012</t>
  </si>
  <si>
    <t>00530039</t>
  </si>
  <si>
    <t>72646131</t>
  </si>
  <si>
    <t>72646132</t>
  </si>
  <si>
    <t>72646133</t>
  </si>
  <si>
    <t>07</t>
  </si>
  <si>
    <t>08</t>
  </si>
  <si>
    <t>PO</t>
  </si>
  <si>
    <t>09</t>
  </si>
  <si>
    <t>28/09/2012</t>
  </si>
  <si>
    <t>00530040</t>
  </si>
  <si>
    <t>00530041</t>
  </si>
  <si>
    <t>10</t>
  </si>
  <si>
    <t>00530042</t>
  </si>
  <si>
    <t>00530043</t>
  </si>
  <si>
    <t>00530044</t>
  </si>
  <si>
    <t>18/10/2012</t>
  </si>
  <si>
    <t>00530045</t>
  </si>
  <si>
    <t>31/10/2012</t>
  </si>
  <si>
    <t>67903725</t>
  </si>
  <si>
    <t>67903726</t>
  </si>
  <si>
    <t>69420120</t>
  </si>
  <si>
    <t>NXENES ME KORISPODENCE</t>
  </si>
  <si>
    <t>72646136</t>
  </si>
  <si>
    <t>72646137</t>
  </si>
  <si>
    <t xml:space="preserve">Eskeld </t>
  </si>
  <si>
    <t>11</t>
  </si>
  <si>
    <t>91</t>
  </si>
  <si>
    <t>00530046</t>
  </si>
  <si>
    <t>06/11/2012</t>
  </si>
  <si>
    <t>Nxënës Gjimnazi</t>
  </si>
  <si>
    <t>Vlore</t>
  </si>
  <si>
    <t>S'ka</t>
  </si>
  <si>
    <t>92</t>
  </si>
  <si>
    <t>00530047</t>
  </si>
  <si>
    <t>19/11/2012</t>
  </si>
  <si>
    <t>58</t>
  </si>
  <si>
    <t>72646138</t>
  </si>
  <si>
    <t>Nxënës 9- Vjeçare</t>
  </si>
  <si>
    <t>67903727</t>
  </si>
  <si>
    <t>Fëmijë Kopshti</t>
  </si>
  <si>
    <t>12</t>
  </si>
  <si>
    <t>Libri i Blerjeve</t>
  </si>
  <si>
    <t xml:space="preserve">Shitesi </t>
  </si>
  <si>
    <t>Totali Blerjeve (perfshire TVSH)</t>
  </si>
  <si>
    <t>Emri tregtar / personi</t>
  </si>
  <si>
    <t>NIPT       /Kodi Fermerit</t>
  </si>
  <si>
    <t>g=(h+i+j+k+l+m+n+o+p+q+r)</t>
  </si>
  <si>
    <t>n</t>
  </si>
  <si>
    <t>o</t>
  </si>
  <si>
    <t>p</t>
  </si>
  <si>
    <t>q</t>
  </si>
  <si>
    <t>r</t>
  </si>
  <si>
    <t>ALBTELECOM SHA</t>
  </si>
  <si>
    <t>TIRANE</t>
  </si>
  <si>
    <t>J61824053N</t>
  </si>
  <si>
    <t>NEPTUN SHPK</t>
  </si>
  <si>
    <t>K12222001B</t>
  </si>
  <si>
    <t>kutia (15)</t>
  </si>
  <si>
    <t>kutia (16)</t>
  </si>
  <si>
    <t>kutia (17)</t>
  </si>
  <si>
    <t>kutia (18)</t>
  </si>
  <si>
    <t>kutia (19)</t>
  </si>
  <si>
    <t>kutia (20)</t>
  </si>
  <si>
    <t>kutia (21)</t>
  </si>
  <si>
    <t>kutia (22)</t>
  </si>
  <si>
    <t>kutia (23)</t>
  </si>
  <si>
    <t>kutia (24)</t>
  </si>
  <si>
    <t>kutia (25)</t>
  </si>
  <si>
    <t xml:space="preserve">Emri Mbiemri </t>
  </si>
  <si>
    <t xml:space="preserve">ESMERALDA MUSKAJ </t>
  </si>
  <si>
    <t>OO140808</t>
  </si>
  <si>
    <t>24/02/2012</t>
  </si>
  <si>
    <t>ANA 2011</t>
  </si>
  <si>
    <t>K16604201M</t>
  </si>
  <si>
    <t>25/02/2012</t>
  </si>
  <si>
    <t>SECURITY SYSTEMS LICAJ</t>
  </si>
  <si>
    <t>K83018403B</t>
  </si>
  <si>
    <t>R.CENO SHPK</t>
  </si>
  <si>
    <t>L07308203S</t>
  </si>
  <si>
    <t>RAIMONDA CENO</t>
  </si>
  <si>
    <t>14/3/2012</t>
  </si>
  <si>
    <t>BOLENA SHPK</t>
  </si>
  <si>
    <t>J87416223M</t>
  </si>
  <si>
    <t>02304624</t>
  </si>
  <si>
    <t>ERMIRA JAHIQI  LULAJ</t>
  </si>
  <si>
    <t>FIER</t>
  </si>
  <si>
    <t>K42710403W</t>
  </si>
  <si>
    <t>88856742</t>
  </si>
  <si>
    <t>02246002</t>
  </si>
  <si>
    <t>17/05/2012</t>
  </si>
  <si>
    <t>ANA 2001</t>
  </si>
  <si>
    <t>88856775</t>
  </si>
  <si>
    <t>21/05/2012</t>
  </si>
  <si>
    <t>88856787</t>
  </si>
  <si>
    <t>25/05/2012</t>
  </si>
  <si>
    <t>705835866</t>
  </si>
  <si>
    <t>02246016</t>
  </si>
  <si>
    <t>88856828</t>
  </si>
  <si>
    <t>01130042</t>
  </si>
  <si>
    <t>19/06/2012</t>
  </si>
  <si>
    <t>02246020</t>
  </si>
  <si>
    <t>26/06/2012</t>
  </si>
  <si>
    <t>706262335</t>
  </si>
  <si>
    <t>706742139</t>
  </si>
  <si>
    <t>ALBTELEKOM SHA</t>
  </si>
  <si>
    <t>04958012</t>
  </si>
  <si>
    <t>COPIER COMPUTER CENTER</t>
  </si>
  <si>
    <t>L12120015F</t>
  </si>
  <si>
    <t>04958013</t>
  </si>
  <si>
    <t>707621767</t>
  </si>
  <si>
    <t>05890591</t>
  </si>
  <si>
    <t>NISATEL SHPK</t>
  </si>
  <si>
    <t>K26330201T</t>
  </si>
  <si>
    <t>02246058</t>
  </si>
  <si>
    <t>13/10/2012</t>
  </si>
  <si>
    <t>707151761</t>
  </si>
  <si>
    <t>03375636</t>
  </si>
  <si>
    <t>18/09/2012</t>
  </si>
  <si>
    <t>03375649</t>
  </si>
  <si>
    <t>22/09/2012</t>
  </si>
  <si>
    <t>03375668</t>
  </si>
  <si>
    <t>708091761</t>
  </si>
  <si>
    <t>02/11/2012</t>
  </si>
  <si>
    <t>Albtelekom</t>
  </si>
  <si>
    <t>Tirane</t>
  </si>
  <si>
    <t>2688</t>
  </si>
  <si>
    <t>05387572</t>
  </si>
  <si>
    <t>07/11/2012</t>
  </si>
  <si>
    <t>Nisatel</t>
  </si>
  <si>
    <t>1442</t>
  </si>
  <si>
    <t>04992892</t>
  </si>
  <si>
    <t>09/11/2012</t>
  </si>
  <si>
    <t>Itirana</t>
  </si>
  <si>
    <t>K81722014G</t>
  </si>
  <si>
    <t>2830</t>
  </si>
  <si>
    <t>05387713</t>
  </si>
  <si>
    <t>16/11/2012</t>
  </si>
  <si>
    <t>5791</t>
  </si>
  <si>
    <t>03375791</t>
  </si>
  <si>
    <t>11/11/2012</t>
  </si>
  <si>
    <t xml:space="preserve">Bolena </t>
  </si>
  <si>
    <t>vlore</t>
  </si>
  <si>
    <t>J87416223N</t>
  </si>
  <si>
    <t>5810</t>
  </si>
  <si>
    <t>03375810</t>
  </si>
  <si>
    <t>17/11/2012</t>
  </si>
  <si>
    <t>2851</t>
  </si>
  <si>
    <t>05387735</t>
  </si>
  <si>
    <t>20/11/2012</t>
  </si>
  <si>
    <t>Nisateli</t>
  </si>
  <si>
    <t>5823</t>
  </si>
  <si>
    <t>03375823</t>
  </si>
  <si>
    <t>22/11/2012</t>
  </si>
  <si>
    <r>
      <t xml:space="preserve">Ploteso </t>
    </r>
    <r>
      <rPr>
        <b/>
        <sz val="12"/>
        <color indexed="8"/>
        <rFont val="Agency FB"/>
        <family val="2"/>
      </rPr>
      <t xml:space="preserve">PO </t>
    </r>
    <r>
      <rPr>
        <sz val="12"/>
        <color indexed="8"/>
        <rFont val="Agency FB"/>
        <family val="2"/>
      </rPr>
      <t xml:space="preserve">nese gjate muajit nuk eshte bere asnje transaksion. </t>
    </r>
  </si>
  <si>
    <t>708543746</t>
  </si>
  <si>
    <t>04/12/2012</t>
  </si>
  <si>
    <t>Albtelekom Sh.a</t>
  </si>
  <si>
    <t>Tiran</t>
  </si>
  <si>
    <t>2920</t>
  </si>
  <si>
    <t>05387803</t>
  </si>
  <si>
    <t>03/12/2012</t>
  </si>
  <si>
    <t>Nisatel sh.p.k</t>
  </si>
  <si>
    <t>Te ardhura nga arsimi</t>
  </si>
  <si>
    <t>&gt; Te  ardhura nga  sherbimi Shkollor</t>
  </si>
  <si>
    <t>UJESJELLESI</t>
  </si>
  <si>
    <t>ATLANTIK SHA</t>
  </si>
  <si>
    <t>KRISTALINA SHPK</t>
  </si>
  <si>
    <t>UNIVERSI 1 SHPK</t>
  </si>
  <si>
    <t>FJORTES SHPK</t>
  </si>
  <si>
    <t>D&amp;T CATERING</t>
  </si>
  <si>
    <t>EMKO SHPK</t>
  </si>
  <si>
    <t>ATLANTIK 3</t>
  </si>
  <si>
    <t>Intesa San paolo</t>
  </si>
  <si>
    <t>Raiffeisen</t>
  </si>
  <si>
    <t>QKR</t>
  </si>
  <si>
    <t>Shkolle jo publike</t>
  </si>
  <si>
    <t>Esmeralda Muskaj</t>
  </si>
  <si>
    <t>&gt; Investime te tjera  financiare  Kerkese Rimbursim TVSH je</t>
  </si>
  <si>
    <t>Telefoni</t>
  </si>
  <si>
    <t>Neptun</t>
  </si>
  <si>
    <t>Kondicioner</t>
  </si>
  <si>
    <t>Janar</t>
  </si>
  <si>
    <t xml:space="preserve"> Ana 2001</t>
  </si>
  <si>
    <t>Leter + dosje</t>
  </si>
  <si>
    <t>Bardhosh Licaj</t>
  </si>
  <si>
    <t>Kabel  + kamera vezhguse</t>
  </si>
  <si>
    <t>Raimonda Ceno</t>
  </si>
  <si>
    <t>Gaz i lengshem</t>
  </si>
  <si>
    <t>Bolena</t>
  </si>
  <si>
    <t>Diesel</t>
  </si>
  <si>
    <t>Emira Jahoqi</t>
  </si>
  <si>
    <t>Libra</t>
  </si>
  <si>
    <t>Printer + frigo+ Kabell print</t>
  </si>
  <si>
    <t>Rregjistra + Amza</t>
  </si>
  <si>
    <t>Copier Compiuter Ceneter</t>
  </si>
  <si>
    <t>Kompiuter</t>
  </si>
  <si>
    <t>Sherbim Interneta</t>
  </si>
  <si>
    <t xml:space="preserve">Tirana </t>
  </si>
  <si>
    <t>Fikse Zjarri</t>
  </si>
  <si>
    <t>Intesa San Paolo</t>
  </si>
  <si>
    <t>Al322082602600000063028735303</t>
  </si>
  <si>
    <t>USD</t>
  </si>
  <si>
    <t>Al59208260260000063028735302</t>
  </si>
  <si>
    <t>Al86208260260000063028735301</t>
  </si>
  <si>
    <t>Objekti Shkolla</t>
  </si>
  <si>
    <t>Banak</t>
  </si>
  <si>
    <t>Bidon 60 l</t>
  </si>
  <si>
    <t>Frigorifer</t>
  </si>
  <si>
    <t>Kaldaja</t>
  </si>
  <si>
    <t>Makine Mishi</t>
  </si>
  <si>
    <t>Peshore</t>
  </si>
  <si>
    <t>Share Mishi</t>
  </si>
  <si>
    <t>Tave Alumini</t>
  </si>
  <si>
    <t>2011</t>
  </si>
  <si>
    <t>Autobus</t>
  </si>
  <si>
    <t>2008</t>
  </si>
  <si>
    <t xml:space="preserve">Paisje  zyre </t>
  </si>
  <si>
    <t>Tavoline</t>
  </si>
  <si>
    <t>2008-2009-2010</t>
  </si>
  <si>
    <t>karrike</t>
  </si>
  <si>
    <t>Karrige</t>
  </si>
  <si>
    <t>kase</t>
  </si>
  <si>
    <t>20.01.10</t>
  </si>
  <si>
    <t>maket tapet</t>
  </si>
  <si>
    <t>08.11.08</t>
  </si>
  <si>
    <t>monitor</t>
  </si>
  <si>
    <t>17.03.10</t>
  </si>
  <si>
    <t>Pasqyre</t>
  </si>
  <si>
    <t>01.06.10</t>
  </si>
  <si>
    <t>Port met 8x2.5</t>
  </si>
  <si>
    <t>12.04.10</t>
  </si>
  <si>
    <t>Porte met 6x2.5</t>
  </si>
  <si>
    <t>08.04.10</t>
  </si>
  <si>
    <t>Portmando</t>
  </si>
  <si>
    <t>28.08.10</t>
  </si>
  <si>
    <t>printer</t>
  </si>
  <si>
    <t>projektor acer</t>
  </si>
  <si>
    <t>09.06.10</t>
  </si>
  <si>
    <t>prozh kinemaje</t>
  </si>
  <si>
    <t>tapet i madh</t>
  </si>
  <si>
    <t>29.09.08</t>
  </si>
  <si>
    <t>tavoline ,karrike</t>
  </si>
  <si>
    <t>07-28.12.09</t>
  </si>
  <si>
    <t>kompjuter</t>
  </si>
  <si>
    <t>2008-2010</t>
  </si>
  <si>
    <t>Kompjuter + Laptop</t>
  </si>
  <si>
    <t>mjete mesimore</t>
  </si>
  <si>
    <t>04.10.08</t>
  </si>
  <si>
    <t>mjete laburatori</t>
  </si>
  <si>
    <t>strukture amfiteatri</t>
  </si>
  <si>
    <t>pajisje zyre</t>
  </si>
  <si>
    <t>29.11.09</t>
  </si>
  <si>
    <t>te tjera paj zyre</t>
  </si>
  <si>
    <t>23.06.09</t>
  </si>
  <si>
    <t>Vlere e mbetur per 01.01.2012</t>
  </si>
  <si>
    <t>kamera vezhguse</t>
  </si>
  <si>
    <t>Dt</t>
  </si>
  <si>
    <t>Pershkrimi</t>
  </si>
  <si>
    <t>Balanca</t>
  </si>
  <si>
    <t>Debi</t>
  </si>
  <si>
    <t>Kredi</t>
  </si>
  <si>
    <t>Reald</t>
  </si>
  <si>
    <t>31.12.2011</t>
  </si>
  <si>
    <t>Gjendje</t>
  </si>
  <si>
    <t>Derdhje ne llogari</t>
  </si>
  <si>
    <t>Komision Bankar</t>
  </si>
  <si>
    <t>Sig</t>
  </si>
  <si>
    <t xml:space="preserve">Reald </t>
  </si>
  <si>
    <t>Tap</t>
  </si>
  <si>
    <t>Cez</t>
  </si>
  <si>
    <t>PAga</t>
  </si>
  <si>
    <t>Sig Shoq</t>
  </si>
  <si>
    <t>Kalim kleal</t>
  </si>
  <si>
    <t>Terheqe ne llogari</t>
  </si>
  <si>
    <t>Shkelqimi 07</t>
  </si>
  <si>
    <t>Reald Akrep nga akademia e studimeve</t>
  </si>
  <si>
    <t>Listepagesa</t>
  </si>
  <si>
    <t>Tatim Fitimi</t>
  </si>
  <si>
    <t>Komision bankar</t>
  </si>
  <si>
    <t>Klient</t>
  </si>
  <si>
    <t>Granit  Sokolaj Rexhepi</t>
  </si>
  <si>
    <t xml:space="preserve">Sig </t>
  </si>
  <si>
    <t xml:space="preserve">Tatim Fitimi </t>
  </si>
  <si>
    <t>Fokus TV</t>
  </si>
  <si>
    <t>Kleal</t>
  </si>
  <si>
    <t>Tatim fitimi</t>
  </si>
  <si>
    <t>A &amp; E</t>
  </si>
  <si>
    <t>Kthim paga</t>
  </si>
  <si>
    <t>Reald Eagle</t>
  </si>
  <si>
    <t>TAp</t>
  </si>
  <si>
    <t>Akreditim iarsimit + fizioterapi</t>
  </si>
  <si>
    <t>Kalim fondi</t>
  </si>
  <si>
    <t>Pellumb Shahmetaj</t>
  </si>
  <si>
    <t>Taxa bashkie</t>
  </si>
  <si>
    <t>Endriu  08 Reald</t>
  </si>
  <si>
    <t>Reald Dogana</t>
  </si>
  <si>
    <t xml:space="preserve">Tap </t>
  </si>
  <si>
    <t>reald</t>
  </si>
  <si>
    <t>Serrik</t>
  </si>
  <si>
    <t>Kalim Fondi</t>
  </si>
  <si>
    <t>Derdhe Klient</t>
  </si>
  <si>
    <t>Rald kredi</t>
  </si>
  <si>
    <t>Pellumb Shametaj</t>
  </si>
  <si>
    <t xml:space="preserve">Florian Zguro </t>
  </si>
  <si>
    <t>Reald Genti Sheko</t>
  </si>
  <si>
    <t>Kleal orest Sinani</t>
  </si>
  <si>
    <t>Kleal Irena Bimo</t>
  </si>
  <si>
    <t>Kleal kom ( Interesa</t>
  </si>
  <si>
    <t>Reald ( Kredi e pjesshme</t>
  </si>
  <si>
    <t>Caro Francesko</t>
  </si>
  <si>
    <t>Derdhje ( Genti sheko)</t>
  </si>
  <si>
    <t>Reald Police of credi</t>
  </si>
  <si>
    <t>Derdhje</t>
  </si>
  <si>
    <t>Reald kredi</t>
  </si>
  <si>
    <t>Intersa kredie ???????</t>
  </si>
  <si>
    <t xml:space="preserve">Derdhje </t>
  </si>
  <si>
    <t>Reald B&amp;C</t>
  </si>
  <si>
    <t>Kleal Rudina Qendro</t>
  </si>
  <si>
    <t>Keal</t>
  </si>
  <si>
    <t>nisatel</t>
  </si>
  <si>
    <t>Komision banmkar</t>
  </si>
  <si>
    <t>Kaluar nga Eskeld te KLEAL</t>
  </si>
  <si>
    <t>Kalim nga Eskeldi te Realdi</t>
  </si>
  <si>
    <t>komision bankar</t>
  </si>
  <si>
    <t>Kalim nga  xxxxte Eskeldi</t>
  </si>
  <si>
    <t>Kaluaer nda Eskeldi te XXX</t>
  </si>
  <si>
    <t>Kaluar nga xxx te eskeld</t>
  </si>
  <si>
    <t>Nga Kleali te Eskeldi</t>
  </si>
  <si>
    <t>Likujduar</t>
  </si>
  <si>
    <t>Nga kleal te Eskeld Ell</t>
  </si>
  <si>
    <t>Nga Eskeld te Kleal</t>
  </si>
  <si>
    <t>Nga Eskeldi te Realdi</t>
  </si>
  <si>
    <t>Nga realdi te Eskeldi</t>
  </si>
  <si>
    <t>Derdhje all</t>
  </si>
  <si>
    <t>Nga eskeldi te Realdi</t>
  </si>
  <si>
    <t>Marre hua Eur 15.900</t>
  </si>
  <si>
    <t>Marre hua All</t>
  </si>
  <si>
    <t xml:space="preserve">LIKUIDIME </t>
  </si>
  <si>
    <t>Likujduar  hua Eur 850</t>
  </si>
  <si>
    <t xml:space="preserve">Likujduar hua All </t>
  </si>
  <si>
    <t>2 muaj</t>
  </si>
  <si>
    <t>&gt; Huara te tjera Kleal</t>
  </si>
  <si>
    <t>Likujduar  hua Eur 79166</t>
  </si>
  <si>
    <r>
      <t xml:space="preserve">&gt; Instumenta te tjera  borxhi </t>
    </r>
    <r>
      <rPr>
        <b/>
        <sz val="11"/>
        <rFont val="Arial"/>
        <family val="2"/>
      </rPr>
      <t>Reald</t>
    </r>
  </si>
  <si>
    <t xml:space="preserve"> Huadhenie ESKELD</t>
  </si>
  <si>
    <t xml:space="preserve">Huadhenie All   </t>
  </si>
  <si>
    <t>Likujduar  hua Eur  5329</t>
  </si>
  <si>
    <t>CELJA   01.01.2012</t>
  </si>
  <si>
    <t>Huadhenie Eur 39521.52</t>
  </si>
  <si>
    <t xml:space="preserve">BILANCI FISKAL 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</si>
</sst>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(* #,##0.0_);_(* \(#,##0.0\);_(* &quot;-&quot;??_);_(@_)"/>
    <numFmt numFmtId="167" formatCode="0.0"/>
  </numFmts>
  <fonts count="10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26"/>
      <name val="Algerian"/>
      <family val="5"/>
    </font>
    <font>
      <b/>
      <sz val="10"/>
      <name val="Algerian"/>
      <family val="5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 Black"/>
      <family val="2"/>
      <charset val="238"/>
    </font>
    <font>
      <b/>
      <sz val="8"/>
      <color indexed="10"/>
      <name val="Arial"/>
      <family val="2"/>
    </font>
    <font>
      <b/>
      <sz val="7"/>
      <name val="Arial"/>
      <family val="2"/>
    </font>
    <font>
      <b/>
      <sz val="10"/>
      <name val="Cooper Black"/>
      <family val="1"/>
    </font>
    <font>
      <b/>
      <sz val="14"/>
      <name val="Cooper Black"/>
      <family val="1"/>
    </font>
    <font>
      <b/>
      <sz val="12"/>
      <name val="Castellar"/>
      <family val="1"/>
    </font>
    <font>
      <sz val="9"/>
      <name val="Times New Roman"/>
      <family val="1"/>
    </font>
    <font>
      <sz val="10"/>
      <name val="Castellar"/>
      <family val="1"/>
    </font>
    <font>
      <b/>
      <sz val="16"/>
      <name val="Bell MT"/>
      <family val="1"/>
    </font>
    <font>
      <b/>
      <sz val="10"/>
      <name val="Times New Roman"/>
      <family val="1"/>
    </font>
    <font>
      <b/>
      <sz val="12"/>
      <name val="Arial Rounded MT Bold"/>
      <family val="2"/>
    </font>
    <font>
      <b/>
      <sz val="10"/>
      <name val="Tw Cen MT Condensed"/>
      <family val="2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i/>
      <sz val="9"/>
      <name val="Times New Roman"/>
      <family val="1"/>
    </font>
    <font>
      <sz val="7"/>
      <name val="Arial"/>
      <family val="2"/>
    </font>
    <font>
      <b/>
      <sz val="7"/>
      <color indexed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gency FB"/>
      <family val="2"/>
    </font>
    <font>
      <b/>
      <i/>
      <sz val="12"/>
      <name val="Agency FB"/>
      <family val="2"/>
    </font>
    <font>
      <b/>
      <u/>
      <sz val="12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8.5"/>
      <color indexed="8"/>
      <name val="Arial BoldMT"/>
    </font>
    <font>
      <sz val="10"/>
      <name val="Arial"/>
      <family val="2"/>
    </font>
    <font>
      <b/>
      <sz val="16"/>
      <color indexed="8"/>
      <name val="Agency FB"/>
      <family val="2"/>
    </font>
    <font>
      <sz val="12"/>
      <color indexed="8"/>
      <name val="Agency FB"/>
      <family val="2"/>
    </font>
    <font>
      <b/>
      <sz val="12"/>
      <color indexed="8"/>
      <name val="Agency FB"/>
      <family val="2"/>
    </font>
    <font>
      <b/>
      <sz val="9"/>
      <name val="Arial Unicode MS"/>
      <family val="2"/>
    </font>
    <font>
      <b/>
      <sz val="11"/>
      <name val="Arial Rounded MT Bold"/>
      <family val="2"/>
    </font>
    <font>
      <b/>
      <i/>
      <sz val="6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gency FB"/>
      <family val="2"/>
    </font>
    <font>
      <b/>
      <sz val="10"/>
      <color theme="1"/>
      <name val="Agency FB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sz val="9"/>
      <name val="Calibri"/>
      <family val="2"/>
      <scheme val="minor"/>
    </font>
    <font>
      <b/>
      <sz val="18"/>
      <color theme="1"/>
      <name val="Agency FB"/>
      <family val="2"/>
    </font>
    <font>
      <sz val="8.5"/>
      <color rgb="FF000000"/>
      <name val="Arial"/>
      <family val="2"/>
    </font>
    <font>
      <b/>
      <sz val="14"/>
      <name val="Bodoni"/>
      <family val="1"/>
    </font>
    <font>
      <b/>
      <sz val="22"/>
      <name val="Algerian"/>
      <family val="5"/>
    </font>
    <font>
      <u/>
      <sz val="8"/>
      <name val="Arial"/>
      <family val="2"/>
    </font>
    <font>
      <sz val="8"/>
      <name val="Calibri"/>
      <family val="2"/>
    </font>
    <font>
      <b/>
      <u/>
      <sz val="12"/>
      <name val="Bodoni"/>
      <family val="1"/>
    </font>
    <font>
      <b/>
      <sz val="12"/>
      <name val="Bodoni"/>
      <family val="1"/>
    </font>
    <font>
      <sz val="10"/>
      <name val="Arial"/>
      <family val="2"/>
      <charset val="238"/>
    </font>
    <font>
      <b/>
      <sz val="14"/>
      <name val="Algerian"/>
      <family val="5"/>
    </font>
    <font>
      <sz val="8"/>
      <name val="Times New Roman"/>
      <family val="1"/>
    </font>
    <font>
      <b/>
      <sz val="12"/>
      <color indexed="8"/>
      <name val="Agency FB"/>
      <family val="2"/>
    </font>
    <font>
      <sz val="12"/>
      <name val="Agency FB"/>
      <family val="2"/>
    </font>
    <font>
      <sz val="12"/>
      <color indexed="8"/>
      <name val="Agency FB"/>
      <family val="2"/>
    </font>
    <font>
      <sz val="11"/>
      <name val="Agency FB"/>
      <family val="2"/>
    </font>
    <font>
      <sz val="12"/>
      <color indexed="10"/>
      <name val="Agency FB"/>
      <family val="2"/>
    </font>
    <font>
      <sz val="10"/>
      <color indexed="8"/>
      <name val="Agency FB"/>
      <family val="2"/>
    </font>
    <font>
      <sz val="11"/>
      <color indexed="8"/>
      <name val="Agency FB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7030A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1" fillId="0" borderId="6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12" fillId="0" borderId="0" xfId="0" applyFont="1"/>
    <xf numFmtId="0" fontId="1" fillId="0" borderId="0" xfId="0" applyFont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2" fillId="0" borderId="6" xfId="0" applyFont="1" applyBorder="1"/>
    <xf numFmtId="0" fontId="1" fillId="0" borderId="0" xfId="0" applyFont="1" applyBorder="1"/>
    <xf numFmtId="0" fontId="12" fillId="0" borderId="0" xfId="0" applyFont="1" applyAlignment="1"/>
    <xf numFmtId="0" fontId="10" fillId="0" borderId="0" xfId="0" applyFont="1" applyAlignment="1"/>
    <xf numFmtId="0" fontId="0" fillId="0" borderId="7" xfId="0" applyBorder="1"/>
    <xf numFmtId="0" fontId="0" fillId="0" borderId="8" xfId="0" applyBorder="1"/>
    <xf numFmtId="0" fontId="2" fillId="0" borderId="7" xfId="0" applyFont="1" applyBorder="1"/>
    <xf numFmtId="0" fontId="13" fillId="0" borderId="6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0" xfId="0" applyFont="1" applyBorder="1"/>
    <xf numFmtId="0" fontId="4" fillId="0" borderId="2" xfId="0" applyFont="1" applyBorder="1"/>
    <xf numFmtId="0" fontId="4" fillId="0" borderId="24" xfId="0" applyFont="1" applyBorder="1"/>
    <xf numFmtId="0" fontId="4" fillId="0" borderId="20" xfId="0" applyFont="1" applyBorder="1"/>
    <xf numFmtId="0" fontId="4" fillId="0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3" xfId="0" applyBorder="1"/>
    <xf numFmtId="0" fontId="0" fillId="0" borderId="26" xfId="0" applyBorder="1"/>
    <xf numFmtId="0" fontId="17" fillId="0" borderId="0" xfId="0" applyFont="1" applyFill="1"/>
    <xf numFmtId="0" fontId="18" fillId="0" borderId="0" xfId="0" applyFont="1" applyFill="1"/>
    <xf numFmtId="0" fontId="0" fillId="0" borderId="0" xfId="0" applyFill="1" applyBorder="1"/>
    <xf numFmtId="0" fontId="0" fillId="0" borderId="27" xfId="0" applyFill="1" applyBorder="1"/>
    <xf numFmtId="0" fontId="21" fillId="0" borderId="0" xfId="0" applyFont="1" applyBorder="1" applyAlignment="1">
      <alignment vertical="center"/>
    </xf>
    <xf numFmtId="0" fontId="1" fillId="0" borderId="0" xfId="0" applyFont="1" applyFill="1" applyBorder="1"/>
    <xf numFmtId="0" fontId="10" fillId="0" borderId="0" xfId="0" applyFont="1" applyBorder="1"/>
    <xf numFmtId="0" fontId="2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10" fillId="0" borderId="1" xfId="0" applyFont="1" applyBorder="1"/>
    <xf numFmtId="164" fontId="20" fillId="0" borderId="6" xfId="0" applyNumberFormat="1" applyFont="1" applyFill="1" applyBorder="1" applyAlignment="1">
      <alignment horizontal="right"/>
    </xf>
    <xf numFmtId="0" fontId="0" fillId="0" borderId="28" xfId="0" applyBorder="1"/>
    <xf numFmtId="43" fontId="0" fillId="0" borderId="19" xfId="0" applyNumberFormat="1" applyBorder="1"/>
    <xf numFmtId="43" fontId="0" fillId="0" borderId="6" xfId="0" applyNumberFormat="1" applyBorder="1"/>
    <xf numFmtId="0" fontId="1" fillId="0" borderId="19" xfId="0" applyFont="1" applyBorder="1"/>
    <xf numFmtId="0" fontId="1" fillId="0" borderId="6" xfId="0" applyFont="1" applyBorder="1"/>
    <xf numFmtId="0" fontId="1" fillId="0" borderId="28" xfId="0" applyFont="1" applyBorder="1"/>
    <xf numFmtId="0" fontId="1" fillId="0" borderId="6" xfId="0" applyFont="1" applyFill="1" applyBorder="1"/>
    <xf numFmtId="0" fontId="1" fillId="0" borderId="30" xfId="0" applyFont="1" applyFill="1" applyBorder="1"/>
    <xf numFmtId="3" fontId="0" fillId="0" borderId="0" xfId="0" applyNumberFormat="1"/>
    <xf numFmtId="3" fontId="12" fillId="0" borderId="0" xfId="0" applyNumberFormat="1" applyFont="1" applyAlignment="1"/>
    <xf numFmtId="3" fontId="12" fillId="0" borderId="0" xfId="0" applyNumberFormat="1" applyFont="1" applyAlignment="1">
      <alignment horizontal="center"/>
    </xf>
    <xf numFmtId="3" fontId="5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3" fontId="0" fillId="0" borderId="31" xfId="0" applyNumberFormat="1" applyBorder="1" applyAlignment="1">
      <alignment horizontal="right"/>
    </xf>
    <xf numFmtId="3" fontId="0" fillId="0" borderId="0" xfId="0" applyNumberFormat="1" applyBorder="1"/>
    <xf numFmtId="3" fontId="0" fillId="0" borderId="0" xfId="0" applyNumberFormat="1" applyFill="1" applyBorder="1"/>
    <xf numFmtId="3" fontId="12" fillId="0" borderId="0" xfId="0" applyNumberFormat="1" applyFont="1"/>
    <xf numFmtId="3" fontId="3" fillId="0" borderId="0" xfId="0" applyNumberFormat="1" applyFont="1" applyAlignment="1">
      <alignment horizontal="center"/>
    </xf>
    <xf numFmtId="0" fontId="0" fillId="0" borderId="6" xfId="0" applyFill="1" applyBorder="1"/>
    <xf numFmtId="0" fontId="0" fillId="0" borderId="0" xfId="0" applyFill="1"/>
    <xf numFmtId="0" fontId="2" fillId="3" borderId="32" xfId="0" applyFont="1" applyFill="1" applyBorder="1" applyAlignment="1">
      <alignment horizontal="center"/>
    </xf>
    <xf numFmtId="0" fontId="1" fillId="3" borderId="7" xfId="0" applyFont="1" applyFill="1" applyBorder="1"/>
    <xf numFmtId="0" fontId="2" fillId="3" borderId="6" xfId="0" applyFont="1" applyFill="1" applyBorder="1" applyAlignment="1">
      <alignment horizontal="center"/>
    </xf>
    <xf numFmtId="0" fontId="13" fillId="4" borderId="6" xfId="0" applyFont="1" applyFill="1" applyBorder="1"/>
    <xf numFmtId="0" fontId="27" fillId="0" borderId="0" xfId="0" applyFont="1" applyBorder="1"/>
    <xf numFmtId="0" fontId="27" fillId="0" borderId="0" xfId="0" applyFont="1" applyBorder="1" applyAlignment="1"/>
    <xf numFmtId="0" fontId="28" fillId="0" borderId="0" xfId="0" applyFont="1"/>
    <xf numFmtId="0" fontId="28" fillId="0" borderId="0" xfId="0" applyFont="1" applyBorder="1"/>
    <xf numFmtId="0" fontId="27" fillId="0" borderId="0" xfId="0" applyFont="1"/>
    <xf numFmtId="165" fontId="28" fillId="0" borderId="6" xfId="1" applyNumberFormat="1" applyFont="1" applyBorder="1"/>
    <xf numFmtId="0" fontId="29" fillId="0" borderId="0" xfId="0" applyFont="1" applyBorder="1"/>
    <xf numFmtId="0" fontId="30" fillId="0" borderId="0" xfId="0" applyFont="1" applyBorder="1"/>
    <xf numFmtId="0" fontId="30" fillId="0" borderId="0" xfId="0" applyFont="1"/>
    <xf numFmtId="0" fontId="16" fillId="0" borderId="0" xfId="0" applyFont="1"/>
    <xf numFmtId="164" fontId="20" fillId="0" borderId="6" xfId="0" applyNumberFormat="1" applyFont="1" applyFill="1" applyBorder="1"/>
    <xf numFmtId="0" fontId="15" fillId="0" borderId="0" xfId="0" applyFont="1" applyFill="1" applyBorder="1"/>
    <xf numFmtId="0" fontId="4" fillId="0" borderId="0" xfId="0" applyFont="1" applyFill="1" applyBorder="1"/>
    <xf numFmtId="165" fontId="16" fillId="0" borderId="0" xfId="1" applyNumberFormat="1" applyFont="1"/>
    <xf numFmtId="0" fontId="20" fillId="0" borderId="18" xfId="0" applyFont="1" applyFill="1" applyBorder="1"/>
    <xf numFmtId="0" fontId="20" fillId="0" borderId="19" xfId="0" applyFont="1" applyFill="1" applyBorder="1"/>
    <xf numFmtId="164" fontId="20" fillId="0" borderId="19" xfId="0" applyNumberFormat="1" applyFont="1" applyFill="1" applyBorder="1"/>
    <xf numFmtId="0" fontId="20" fillId="0" borderId="6" xfId="0" applyFont="1" applyFill="1" applyBorder="1"/>
    <xf numFmtId="164" fontId="24" fillId="0" borderId="0" xfId="0" applyNumberFormat="1" applyFont="1" applyFill="1" applyBorder="1"/>
    <xf numFmtId="0" fontId="17" fillId="0" borderId="0" xfId="0" applyFont="1" applyFill="1" applyBorder="1"/>
    <xf numFmtId="165" fontId="30" fillId="0" borderId="6" xfId="1" applyNumberFormat="1" applyFont="1" applyBorder="1"/>
    <xf numFmtId="165" fontId="30" fillId="0" borderId="0" xfId="1" applyNumberFormat="1" applyFont="1"/>
    <xf numFmtId="165" fontId="30" fillId="0" borderId="0" xfId="1" applyNumberFormat="1" applyFont="1" applyBorder="1"/>
    <xf numFmtId="165" fontId="30" fillId="0" borderId="7" xfId="1" applyNumberFormat="1" applyFont="1" applyBorder="1"/>
    <xf numFmtId="165" fontId="0" fillId="0" borderId="0" xfId="1" applyNumberFormat="1" applyFont="1" applyBorder="1"/>
    <xf numFmtId="165" fontId="4" fillId="0" borderId="6" xfId="1" applyNumberFormat="1" applyFont="1" applyBorder="1"/>
    <xf numFmtId="165" fontId="4" fillId="0" borderId="0" xfId="1" applyNumberFormat="1" applyFont="1" applyBorder="1"/>
    <xf numFmtId="165" fontId="4" fillId="0" borderId="6" xfId="1" applyNumberFormat="1" applyFont="1" applyFill="1" applyBorder="1"/>
    <xf numFmtId="165" fontId="4" fillId="0" borderId="7" xfId="1" applyNumberFormat="1" applyFont="1" applyBorder="1"/>
    <xf numFmtId="165" fontId="4" fillId="0" borderId="34" xfId="1" applyNumberFormat="1" applyFont="1" applyBorder="1"/>
    <xf numFmtId="165" fontId="4" fillId="0" borderId="35" xfId="1" applyNumberFormat="1" applyFont="1" applyBorder="1"/>
    <xf numFmtId="165" fontId="4" fillId="0" borderId="30" xfId="1" applyNumberFormat="1" applyFont="1" applyFill="1" applyBorder="1"/>
    <xf numFmtId="165" fontId="4" fillId="0" borderId="30" xfId="1" applyNumberFormat="1" applyFont="1" applyBorder="1"/>
    <xf numFmtId="0" fontId="20" fillId="0" borderId="7" xfId="0" applyFont="1" applyBorder="1"/>
    <xf numFmtId="0" fontId="14" fillId="0" borderId="0" xfId="0" applyFont="1" applyBorder="1"/>
    <xf numFmtId="164" fontId="17" fillId="0" borderId="6" xfId="0" applyNumberFormat="1" applyFont="1" applyFill="1" applyBorder="1"/>
    <xf numFmtId="164" fontId="17" fillId="0" borderId="34" xfId="0" applyNumberFormat="1" applyFont="1" applyFill="1" applyBorder="1"/>
    <xf numFmtId="0" fontId="1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/>
    <xf numFmtId="0" fontId="9" fillId="0" borderId="0" xfId="0" applyFont="1" applyFill="1"/>
    <xf numFmtId="164" fontId="9" fillId="0" borderId="0" xfId="0" applyNumberFormat="1" applyFont="1" applyFill="1"/>
    <xf numFmtId="164" fontId="0" fillId="0" borderId="0" xfId="0" applyNumberFormat="1" applyFill="1"/>
    <xf numFmtId="0" fontId="20" fillId="0" borderId="26" xfId="0" applyFont="1" applyFill="1" applyBorder="1"/>
    <xf numFmtId="0" fontId="20" fillId="0" borderId="7" xfId="0" applyFont="1" applyFill="1" applyBorder="1"/>
    <xf numFmtId="164" fontId="20" fillId="0" borderId="34" xfId="0" applyNumberFormat="1" applyFont="1" applyFill="1" applyBorder="1"/>
    <xf numFmtId="0" fontId="15" fillId="0" borderId="0" xfId="0" applyFont="1" applyFill="1"/>
    <xf numFmtId="0" fontId="17" fillId="0" borderId="7" xfId="0" applyFont="1" applyFill="1" applyBorder="1"/>
    <xf numFmtId="0" fontId="17" fillId="0" borderId="6" xfId="0" applyFont="1" applyFill="1" applyBorder="1"/>
    <xf numFmtId="164" fontId="18" fillId="0" borderId="34" xfId="0" applyNumberFormat="1" applyFont="1" applyFill="1" applyBorder="1"/>
    <xf numFmtId="164" fontId="19" fillId="0" borderId="34" xfId="0" applyNumberFormat="1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30" xfId="0" applyFont="1" applyFill="1" applyBorder="1" applyAlignment="1">
      <alignment horizontal="right"/>
    </xf>
    <xf numFmtId="164" fontId="20" fillId="0" borderId="30" xfId="0" applyNumberFormat="1" applyFont="1" applyFill="1" applyBorder="1" applyAlignment="1">
      <alignment horizontal="right"/>
    </xf>
    <xf numFmtId="164" fontId="17" fillId="0" borderId="0" xfId="0" applyNumberFormat="1" applyFont="1" applyFill="1" applyBorder="1"/>
    <xf numFmtId="0" fontId="23" fillId="0" borderId="0" xfId="0" applyFont="1" applyFill="1" applyBorder="1"/>
    <xf numFmtId="0" fontId="22" fillId="0" borderId="0" xfId="0" applyFont="1" applyFill="1" applyBorder="1"/>
    <xf numFmtId="21" fontId="22" fillId="0" borderId="0" xfId="0" applyNumberFormat="1" applyFont="1" applyFill="1" applyBorder="1"/>
    <xf numFmtId="164" fontId="22" fillId="0" borderId="0" xfId="0" applyNumberFormat="1" applyFont="1" applyFill="1" applyBorder="1"/>
    <xf numFmtId="164" fontId="17" fillId="0" borderId="0" xfId="0" applyNumberFormat="1" applyFont="1" applyFill="1"/>
    <xf numFmtId="165" fontId="0" fillId="0" borderId="0" xfId="1" applyNumberFormat="1" applyFont="1"/>
    <xf numFmtId="165" fontId="2" fillId="0" borderId="0" xfId="1" applyNumberFormat="1" applyFont="1" applyBorder="1"/>
    <xf numFmtId="165" fontId="2" fillId="0" borderId="0" xfId="1" applyNumberFormat="1" applyFont="1" applyBorder="1" applyAlignment="1">
      <alignment horizontal="center"/>
    </xf>
    <xf numFmtId="165" fontId="0" fillId="0" borderId="11" xfId="1" applyNumberFormat="1" applyFont="1" applyBorder="1"/>
    <xf numFmtId="165" fontId="0" fillId="0" borderId="6" xfId="1" applyNumberFormat="1" applyFont="1" applyBorder="1"/>
    <xf numFmtId="165" fontId="0" fillId="0" borderId="6" xfId="1" applyNumberFormat="1" applyFont="1" applyFill="1" applyBorder="1"/>
    <xf numFmtId="165" fontId="0" fillId="0" borderId="4" xfId="1" applyNumberFormat="1" applyFont="1" applyBorder="1"/>
    <xf numFmtId="0" fontId="0" fillId="0" borderId="11" xfId="0" applyFill="1" applyBorder="1"/>
    <xf numFmtId="0" fontId="0" fillId="0" borderId="12" xfId="0" applyFill="1" applyBorder="1"/>
    <xf numFmtId="0" fontId="0" fillId="0" borderId="2" xfId="0" applyFill="1" applyBorder="1"/>
    <xf numFmtId="0" fontId="30" fillId="0" borderId="37" xfId="0" applyFont="1" applyFill="1" applyBorder="1"/>
    <xf numFmtId="0" fontId="30" fillId="0" borderId="38" xfId="0" applyFont="1" applyFill="1" applyBorder="1"/>
    <xf numFmtId="0" fontId="30" fillId="0" borderId="39" xfId="0" applyFont="1" applyFill="1" applyBorder="1"/>
    <xf numFmtId="0" fontId="0" fillId="0" borderId="40" xfId="0" applyFill="1" applyBorder="1"/>
    <xf numFmtId="0" fontId="0" fillId="0" borderId="10" xfId="0" applyFill="1" applyBorder="1"/>
    <xf numFmtId="0" fontId="30" fillId="0" borderId="13" xfId="0" applyFont="1" applyFill="1" applyBorder="1"/>
    <xf numFmtId="165" fontId="30" fillId="0" borderId="33" xfId="1" applyNumberFormat="1" applyFont="1" applyBorder="1"/>
    <xf numFmtId="0" fontId="30" fillId="0" borderId="7" xfId="0" applyFont="1" applyFill="1" applyBorder="1"/>
    <xf numFmtId="0" fontId="29" fillId="0" borderId="0" xfId="0" applyFont="1" applyFill="1" applyBorder="1"/>
    <xf numFmtId="0" fontId="30" fillId="0" borderId="0" xfId="0" applyFont="1" applyFill="1" applyBorder="1"/>
    <xf numFmtId="0" fontId="30" fillId="0" borderId="11" xfId="0" applyFont="1" applyFill="1" applyBorder="1"/>
    <xf numFmtId="41" fontId="30" fillId="0" borderId="0" xfId="0" applyNumberFormat="1" applyFont="1" applyFill="1" applyBorder="1"/>
    <xf numFmtId="0" fontId="30" fillId="0" borderId="0" xfId="0" applyFont="1" applyFill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30" fillId="0" borderId="4" xfId="0" applyFont="1" applyFill="1" applyBorder="1"/>
    <xf numFmtId="0" fontId="0" fillId="0" borderId="5" xfId="0" applyFill="1" applyBorder="1"/>
    <xf numFmtId="41" fontId="15" fillId="0" borderId="23" xfId="0" applyNumberFormat="1" applyFont="1" applyFill="1" applyBorder="1"/>
    <xf numFmtId="165" fontId="23" fillId="0" borderId="19" xfId="1" applyNumberFormat="1" applyFont="1" applyBorder="1"/>
    <xf numFmtId="0" fontId="0" fillId="0" borderId="34" xfId="0" applyBorder="1"/>
    <xf numFmtId="165" fontId="2" fillId="0" borderId="23" xfId="0" applyNumberFormat="1" applyFont="1" applyBorder="1"/>
    <xf numFmtId="165" fontId="4" fillId="0" borderId="0" xfId="1" applyNumberFormat="1" applyFont="1" applyFill="1" applyBorder="1"/>
    <xf numFmtId="165" fontId="4" fillId="0" borderId="21" xfId="1" applyNumberFormat="1" applyFont="1" applyFill="1" applyBorder="1"/>
    <xf numFmtId="0" fontId="30" fillId="0" borderId="8" xfId="0" applyFont="1" applyFill="1" applyBorder="1"/>
    <xf numFmtId="165" fontId="30" fillId="0" borderId="9" xfId="1" applyNumberFormat="1" applyFont="1" applyBorder="1"/>
    <xf numFmtId="41" fontId="30" fillId="0" borderId="31" xfId="0" applyNumberFormat="1" applyFont="1" applyFill="1" applyBorder="1"/>
    <xf numFmtId="41" fontId="30" fillId="0" borderId="42" xfId="0" applyNumberFormat="1" applyFont="1" applyFill="1" applyBorder="1"/>
    <xf numFmtId="0" fontId="15" fillId="0" borderId="0" xfId="0" applyFont="1"/>
    <xf numFmtId="0" fontId="20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 applyFill="1"/>
    <xf numFmtId="0" fontId="38" fillId="0" borderId="0" xfId="0" applyFont="1"/>
    <xf numFmtId="0" fontId="39" fillId="0" borderId="0" xfId="0" applyFont="1" applyFill="1"/>
    <xf numFmtId="0" fontId="8" fillId="0" borderId="0" xfId="0" applyFont="1" applyFill="1" applyAlignment="1">
      <alignment horizontal="left"/>
    </xf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/>
    <xf numFmtId="0" fontId="0" fillId="0" borderId="33" xfId="0" applyBorder="1"/>
    <xf numFmtId="0" fontId="43" fillId="0" borderId="0" xfId="0" applyFont="1" applyFill="1"/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42" fillId="0" borderId="0" xfId="0" applyFont="1" applyFill="1" applyBorder="1"/>
    <xf numFmtId="0" fontId="43" fillId="0" borderId="0" xfId="0" applyFont="1" applyFill="1" applyBorder="1"/>
    <xf numFmtId="0" fontId="0" fillId="3" borderId="46" xfId="0" applyFill="1" applyBorder="1"/>
    <xf numFmtId="0" fontId="0" fillId="3" borderId="47" xfId="0" applyFill="1" applyBorder="1"/>
    <xf numFmtId="0" fontId="0" fillId="0" borderId="6" xfId="0" applyBorder="1" applyAlignment="1">
      <alignment horizontal="left"/>
    </xf>
    <xf numFmtId="0" fontId="0" fillId="0" borderId="48" xfId="0" applyBorder="1"/>
    <xf numFmtId="0" fontId="0" fillId="0" borderId="48" xfId="0" applyFill="1" applyBorder="1"/>
    <xf numFmtId="0" fontId="0" fillId="0" borderId="22" xfId="0" applyFill="1" applyBorder="1"/>
    <xf numFmtId="0" fontId="1" fillId="0" borderId="26" xfId="0" applyFont="1" applyBorder="1"/>
    <xf numFmtId="0" fontId="0" fillId="0" borderId="19" xfId="0" applyBorder="1" applyAlignment="1">
      <alignment horizontal="left"/>
    </xf>
    <xf numFmtId="0" fontId="1" fillId="3" borderId="26" xfId="0" applyFont="1" applyFill="1" applyBorder="1"/>
    <xf numFmtId="0" fontId="1" fillId="0" borderId="37" xfId="0" applyFont="1" applyBorder="1"/>
    <xf numFmtId="0" fontId="2" fillId="3" borderId="6" xfId="0" applyFont="1" applyFill="1" applyBorder="1" applyAlignment="1">
      <alignment horizontal="left"/>
    </xf>
    <xf numFmtId="0" fontId="0" fillId="3" borderId="48" xfId="0" applyFill="1" applyBorder="1"/>
    <xf numFmtId="0" fontId="0" fillId="3" borderId="22" xfId="0" applyFill="1" applyBorder="1"/>
    <xf numFmtId="0" fontId="2" fillId="0" borderId="19" xfId="0" applyFont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9" xfId="0" applyBorder="1"/>
    <xf numFmtId="0" fontId="0" fillId="0" borderId="49" xfId="0" applyFill="1" applyBorder="1"/>
    <xf numFmtId="0" fontId="0" fillId="0" borderId="50" xfId="0" applyFill="1" applyBorder="1"/>
    <xf numFmtId="0" fontId="43" fillId="0" borderId="0" xfId="0" applyFont="1" applyFill="1" applyBorder="1" applyAlignment="1">
      <alignment horizontal="center"/>
    </xf>
    <xf numFmtId="3" fontId="43" fillId="0" borderId="0" xfId="0" applyNumberFormat="1" applyFont="1" applyFill="1" applyBorder="1" applyAlignment="1">
      <alignment horizontal="right"/>
    </xf>
    <xf numFmtId="165" fontId="0" fillId="0" borderId="0" xfId="1" applyNumberFormat="1" applyFont="1" applyFill="1" applyBorder="1"/>
    <xf numFmtId="0" fontId="8" fillId="4" borderId="13" xfId="0" applyFont="1" applyFill="1" applyBorder="1"/>
    <xf numFmtId="0" fontId="6" fillId="4" borderId="33" xfId="0" applyFont="1" applyFill="1" applyBorder="1"/>
    <xf numFmtId="0" fontId="0" fillId="4" borderId="51" xfId="0" applyFill="1" applyBorder="1"/>
    <xf numFmtId="0" fontId="0" fillId="4" borderId="52" xfId="0" applyFill="1" applyBorder="1"/>
    <xf numFmtId="0" fontId="8" fillId="0" borderId="26" xfId="0" applyFont="1" applyBorder="1"/>
    <xf numFmtId="0" fontId="8" fillId="0" borderId="7" xfId="0" applyFont="1" applyBorder="1"/>
    <xf numFmtId="0" fontId="8" fillId="4" borderId="26" xfId="0" applyFont="1" applyFill="1" applyBorder="1"/>
    <xf numFmtId="0" fontId="6" fillId="4" borderId="19" xfId="0" applyFont="1" applyFill="1" applyBorder="1"/>
    <xf numFmtId="0" fontId="0" fillId="4" borderId="0" xfId="0" applyFill="1" applyBorder="1"/>
    <xf numFmtId="0" fontId="8" fillId="0" borderId="37" xfId="0" applyFont="1" applyBorder="1"/>
    <xf numFmtId="0" fontId="13" fillId="0" borderId="19" xfId="0" applyFont="1" applyBorder="1"/>
    <xf numFmtId="0" fontId="8" fillId="4" borderId="7" xfId="0" applyFont="1" applyFill="1" applyBorder="1"/>
    <xf numFmtId="0" fontId="6" fillId="4" borderId="6" xfId="0" applyFont="1" applyFill="1" applyBorder="1"/>
    <xf numFmtId="0" fontId="0" fillId="4" borderId="48" xfId="0" applyFill="1" applyBorder="1"/>
    <xf numFmtId="0" fontId="2" fillId="0" borderId="26" xfId="0" applyFont="1" applyBorder="1"/>
    <xf numFmtId="0" fontId="0" fillId="4" borderId="7" xfId="0" applyFill="1" applyBorder="1"/>
    <xf numFmtId="0" fontId="2" fillId="0" borderId="19" xfId="0" applyFont="1" applyFill="1" applyBorder="1"/>
    <xf numFmtId="0" fontId="0" fillId="4" borderId="8" xfId="0" applyFill="1" applyBorder="1"/>
    <xf numFmtId="0" fontId="2" fillId="4" borderId="9" xfId="0" applyFont="1" applyFill="1" applyBorder="1"/>
    <xf numFmtId="0" fontId="0" fillId="4" borderId="49" xfId="0" applyFill="1" applyBorder="1"/>
    <xf numFmtId="0" fontId="39" fillId="0" borderId="0" xfId="0" applyFont="1"/>
    <xf numFmtId="0" fontId="47" fillId="0" borderId="0" xfId="0" applyFont="1" applyFill="1" applyBorder="1"/>
    <xf numFmtId="0" fontId="4" fillId="0" borderId="13" xfId="0" applyFont="1" applyBorder="1"/>
    <xf numFmtId="0" fontId="4" fillId="0" borderId="7" xfId="0" applyFont="1" applyBorder="1"/>
    <xf numFmtId="3" fontId="4" fillId="0" borderId="6" xfId="0" applyNumberFormat="1" applyFont="1" applyBorder="1"/>
    <xf numFmtId="0" fontId="4" fillId="0" borderId="6" xfId="0" applyFont="1" applyBorder="1"/>
    <xf numFmtId="165" fontId="30" fillId="5" borderId="53" xfId="1" applyNumberFormat="1" applyFont="1" applyFill="1" applyBorder="1"/>
    <xf numFmtId="165" fontId="30" fillId="5" borderId="53" xfId="1" applyNumberFormat="1" applyFont="1" applyFill="1" applyBorder="1" applyAlignment="1">
      <alignment horizontal="center"/>
    </xf>
    <xf numFmtId="165" fontId="30" fillId="5" borderId="12" xfId="1" applyNumberFormat="1" applyFont="1" applyFill="1" applyBorder="1" applyAlignment="1">
      <alignment horizontal="center"/>
    </xf>
    <xf numFmtId="165" fontId="30" fillId="2" borderId="55" xfId="1" applyNumberFormat="1" applyFont="1" applyFill="1" applyBorder="1"/>
    <xf numFmtId="165" fontId="30" fillId="2" borderId="56" xfId="1" applyNumberFormat="1" applyFont="1" applyFill="1" applyBorder="1"/>
    <xf numFmtId="165" fontId="30" fillId="0" borderId="23" xfId="1" applyNumberFormat="1" applyFont="1" applyBorder="1"/>
    <xf numFmtId="165" fontId="30" fillId="2" borderId="23" xfId="1" applyNumberFormat="1" applyFont="1" applyFill="1" applyBorder="1"/>
    <xf numFmtId="43" fontId="30" fillId="0" borderId="0" xfId="0" applyNumberFormat="1" applyFont="1" applyFill="1" applyBorder="1"/>
    <xf numFmtId="0" fontId="48" fillId="0" borderId="13" xfId="0" applyFont="1" applyFill="1" applyBorder="1"/>
    <xf numFmtId="165" fontId="48" fillId="0" borderId="33" xfId="1" applyNumberFormat="1" applyFont="1" applyBorder="1"/>
    <xf numFmtId="0" fontId="48" fillId="0" borderId="7" xfId="0" applyFont="1" applyFill="1" applyBorder="1"/>
    <xf numFmtId="3" fontId="0" fillId="0" borderId="0" xfId="0" applyNumberFormat="1" applyFill="1"/>
    <xf numFmtId="0" fontId="1" fillId="0" borderId="7" xfId="0" applyFont="1" applyFill="1" applyBorder="1"/>
    <xf numFmtId="165" fontId="0" fillId="0" borderId="30" xfId="1" applyNumberFormat="1" applyFont="1" applyBorder="1"/>
    <xf numFmtId="165" fontId="15" fillId="0" borderId="36" xfId="1" applyNumberFormat="1" applyFont="1" applyFill="1" applyBorder="1"/>
    <xf numFmtId="165" fontId="15" fillId="0" borderId="6" xfId="1" applyNumberFormat="1" applyFont="1" applyBorder="1"/>
    <xf numFmtId="165" fontId="15" fillId="0" borderId="42" xfId="1" applyNumberFormat="1" applyFont="1" applyFill="1" applyBorder="1"/>
    <xf numFmtId="165" fontId="30" fillId="0" borderId="6" xfId="1" applyNumberFormat="1" applyFont="1" applyFill="1" applyBorder="1"/>
    <xf numFmtId="0" fontId="0" fillId="0" borderId="31" xfId="0" applyBorder="1"/>
    <xf numFmtId="0" fontId="20" fillId="0" borderId="0" xfId="0" applyFont="1" applyFill="1" applyBorder="1"/>
    <xf numFmtId="164" fontId="20" fillId="0" borderId="0" xfId="0" applyNumberFormat="1" applyFont="1" applyFill="1" applyBorder="1"/>
    <xf numFmtId="164" fontId="14" fillId="0" borderId="0" xfId="0" applyNumberFormat="1" applyFont="1" applyFill="1" applyBorder="1"/>
    <xf numFmtId="164" fontId="31" fillId="0" borderId="0" xfId="0" applyNumberFormat="1" applyFont="1" applyFill="1" applyBorder="1"/>
    <xf numFmtId="0" fontId="14" fillId="0" borderId="0" xfId="0" applyFont="1" applyFill="1" applyBorder="1"/>
    <xf numFmtId="2" fontId="20" fillId="0" borderId="0" xfId="0" applyNumberFormat="1" applyFont="1" applyFill="1" applyBorder="1"/>
    <xf numFmtId="0" fontId="14" fillId="0" borderId="0" xfId="0" applyFont="1" applyFill="1" applyBorder="1" applyAlignment="1"/>
    <xf numFmtId="0" fontId="31" fillId="0" borderId="0" xfId="0" applyFont="1" applyFill="1" applyBorder="1" applyAlignment="1"/>
    <xf numFmtId="0" fontId="2" fillId="7" borderId="23" xfId="0" applyFont="1" applyFill="1" applyBorder="1"/>
    <xf numFmtId="0" fontId="5" fillId="0" borderId="6" xfId="0" applyFont="1" applyFill="1" applyBorder="1"/>
    <xf numFmtId="0" fontId="6" fillId="8" borderId="13" xfId="0" applyFont="1" applyFill="1" applyBorder="1" applyAlignment="1">
      <alignment horizontal="center"/>
    </xf>
    <xf numFmtId="0" fontId="6" fillId="8" borderId="33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5" fillId="8" borderId="7" xfId="0" applyFont="1" applyFill="1" applyBorder="1"/>
    <xf numFmtId="0" fontId="5" fillId="8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8" borderId="33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65" fontId="9" fillId="8" borderId="33" xfId="1" applyNumberFormat="1" applyFont="1" applyFill="1" applyBorder="1"/>
    <xf numFmtId="165" fontId="5" fillId="0" borderId="6" xfId="1" applyNumberFormat="1" applyFont="1" applyBorder="1"/>
    <xf numFmtId="165" fontId="5" fillId="0" borderId="34" xfId="1" applyNumberFormat="1" applyFont="1" applyBorder="1"/>
    <xf numFmtId="165" fontId="9" fillId="8" borderId="6" xfId="1" applyNumberFormat="1" applyFont="1" applyFill="1" applyBorder="1"/>
    <xf numFmtId="165" fontId="9" fillId="8" borderId="34" xfId="1" applyNumberFormat="1" applyFont="1" applyFill="1" applyBorder="1"/>
    <xf numFmtId="165" fontId="5" fillId="0" borderId="9" xfId="1" applyNumberFormat="1" applyFont="1" applyBorder="1"/>
    <xf numFmtId="165" fontId="5" fillId="0" borderId="31" xfId="1" applyNumberFormat="1" applyFont="1" applyBorder="1"/>
    <xf numFmtId="165" fontId="6" fillId="8" borderId="13" xfId="1" applyNumberFormat="1" applyFont="1" applyFill="1" applyBorder="1" applyAlignment="1">
      <alignment horizontal="center"/>
    </xf>
    <xf numFmtId="165" fontId="6" fillId="8" borderId="33" xfId="1" applyNumberFormat="1" applyFont="1" applyFill="1" applyBorder="1" applyAlignment="1">
      <alignment horizontal="center"/>
    </xf>
    <xf numFmtId="165" fontId="9" fillId="8" borderId="33" xfId="1" applyNumberFormat="1" applyFont="1" applyFill="1" applyBorder="1" applyAlignment="1">
      <alignment horizontal="center"/>
    </xf>
    <xf numFmtId="165" fontId="5" fillId="0" borderId="7" xfId="1" applyNumberFormat="1" applyFont="1" applyBorder="1"/>
    <xf numFmtId="165" fontId="4" fillId="0" borderId="6" xfId="1" applyNumberFormat="1" applyFont="1" applyBorder="1" applyAlignment="1">
      <alignment horizontal="center"/>
    </xf>
    <xf numFmtId="165" fontId="10" fillId="0" borderId="6" xfId="1" applyNumberFormat="1" applyFont="1" applyBorder="1"/>
    <xf numFmtId="165" fontId="9" fillId="0" borderId="6" xfId="1" applyNumberFormat="1" applyFont="1" applyBorder="1" applyAlignment="1">
      <alignment horizontal="center"/>
    </xf>
    <xf numFmtId="165" fontId="6" fillId="0" borderId="6" xfId="1" applyNumberFormat="1" applyFont="1" applyBorder="1" applyAlignment="1">
      <alignment horizontal="center"/>
    </xf>
    <xf numFmtId="165" fontId="5" fillId="0" borderId="6" xfId="1" applyNumberFormat="1" applyFont="1" applyFill="1" applyBorder="1"/>
    <xf numFmtId="165" fontId="11" fillId="0" borderId="6" xfId="1" applyNumberFormat="1" applyFont="1" applyBorder="1"/>
    <xf numFmtId="165" fontId="9" fillId="8" borderId="7" xfId="1" applyNumberFormat="1" applyFont="1" applyFill="1" applyBorder="1"/>
    <xf numFmtId="165" fontId="9" fillId="0" borderId="7" xfId="1" applyNumberFormat="1" applyFont="1" applyBorder="1"/>
    <xf numFmtId="165" fontId="9" fillId="8" borderId="7" xfId="1" applyNumberFormat="1" applyFont="1" applyFill="1" applyBorder="1" applyAlignment="1">
      <alignment horizontal="center"/>
    </xf>
    <xf numFmtId="165" fontId="6" fillId="8" borderId="6" xfId="1" applyNumberFormat="1" applyFont="1" applyFill="1" applyBorder="1" applyAlignment="1">
      <alignment horizontal="center"/>
    </xf>
    <xf numFmtId="165" fontId="6" fillId="0" borderId="6" xfId="1" applyNumberFormat="1" applyFont="1" applyFill="1" applyBorder="1"/>
    <xf numFmtId="165" fontId="9" fillId="0" borderId="6" xfId="1" applyNumberFormat="1" applyFont="1" applyFill="1" applyBorder="1" applyAlignment="1">
      <alignment horizontal="center"/>
    </xf>
    <xf numFmtId="165" fontId="5" fillId="0" borderId="34" xfId="1" applyNumberFormat="1" applyFont="1" applyFill="1" applyBorder="1"/>
    <xf numFmtId="165" fontId="6" fillId="8" borderId="6" xfId="1" applyNumberFormat="1" applyFont="1" applyFill="1" applyBorder="1"/>
    <xf numFmtId="165" fontId="5" fillId="8" borderId="7" xfId="1" applyNumberFormat="1" applyFont="1" applyFill="1" applyBorder="1"/>
    <xf numFmtId="165" fontId="5" fillId="0" borderId="8" xfId="1" applyNumberFormat="1" applyFont="1" applyBorder="1"/>
    <xf numFmtId="165" fontId="9" fillId="0" borderId="9" xfId="1" applyNumberFormat="1" applyFont="1" applyBorder="1" applyAlignment="1">
      <alignment horizontal="center"/>
    </xf>
    <xf numFmtId="0" fontId="2" fillId="9" borderId="32" xfId="0" applyFont="1" applyFill="1" applyBorder="1" applyAlignment="1">
      <alignment horizontal="center"/>
    </xf>
    <xf numFmtId="0" fontId="2" fillId="9" borderId="27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" fillId="8" borderId="7" xfId="0" applyFont="1" applyFill="1" applyBorder="1"/>
    <xf numFmtId="0" fontId="2" fillId="8" borderId="6" xfId="0" applyFont="1" applyFill="1" applyBorder="1"/>
    <xf numFmtId="0" fontId="2" fillId="8" borderId="6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165" fontId="0" fillId="0" borderId="6" xfId="1" applyNumberFormat="1" applyFont="1" applyBorder="1" applyAlignment="1">
      <alignment horizontal="right"/>
    </xf>
    <xf numFmtId="165" fontId="0" fillId="0" borderId="34" xfId="1" applyNumberFormat="1" applyFont="1" applyBorder="1" applyAlignment="1">
      <alignment horizontal="right"/>
    </xf>
    <xf numFmtId="165" fontId="2" fillId="8" borderId="6" xfId="1" applyNumberFormat="1" applyFont="1" applyFill="1" applyBorder="1" applyAlignment="1">
      <alignment horizontal="right"/>
    </xf>
    <xf numFmtId="165" fontId="2" fillId="0" borderId="6" xfId="1" applyNumberFormat="1" applyFont="1" applyFill="1" applyBorder="1" applyAlignment="1">
      <alignment horizontal="right"/>
    </xf>
    <xf numFmtId="165" fontId="2" fillId="0" borderId="34" xfId="1" applyNumberFormat="1" applyFont="1" applyFill="1" applyBorder="1" applyAlignment="1">
      <alignment horizontal="right"/>
    </xf>
    <xf numFmtId="165" fontId="2" fillId="8" borderId="34" xfId="1" applyNumberFormat="1" applyFont="1" applyFill="1" applyBorder="1" applyAlignment="1">
      <alignment horizontal="right"/>
    </xf>
    <xf numFmtId="165" fontId="50" fillId="8" borderId="6" xfId="1" applyNumberFormat="1" applyFont="1" applyFill="1" applyBorder="1" applyAlignment="1">
      <alignment horizontal="right"/>
    </xf>
    <xf numFmtId="165" fontId="50" fillId="8" borderId="34" xfId="1" applyNumberFormat="1" applyFont="1" applyFill="1" applyBorder="1" applyAlignment="1">
      <alignment horizontal="right"/>
    </xf>
    <xf numFmtId="165" fontId="0" fillId="0" borderId="9" xfId="1" applyNumberFormat="1" applyFont="1" applyBorder="1" applyAlignment="1">
      <alignment horizontal="right"/>
    </xf>
    <xf numFmtId="165" fontId="0" fillId="0" borderId="31" xfId="1" applyNumberFormat="1" applyFont="1" applyBorder="1" applyAlignment="1">
      <alignment horizontal="right"/>
    </xf>
    <xf numFmtId="165" fontId="12" fillId="0" borderId="7" xfId="1" applyNumberFormat="1" applyFont="1" applyBorder="1"/>
    <xf numFmtId="165" fontId="0" fillId="0" borderId="34" xfId="1" applyNumberFormat="1" applyFont="1" applyBorder="1"/>
    <xf numFmtId="165" fontId="13" fillId="0" borderId="6" xfId="1" applyNumberFormat="1" applyFont="1" applyBorder="1"/>
    <xf numFmtId="165" fontId="13" fillId="0" borderId="34" xfId="1" applyNumberFormat="1" applyFont="1" applyBorder="1"/>
    <xf numFmtId="165" fontId="2" fillId="0" borderId="6" xfId="1" applyNumberFormat="1" applyFont="1" applyBorder="1"/>
    <xf numFmtId="165" fontId="2" fillId="0" borderId="34" xfId="1" applyNumberFormat="1" applyFont="1" applyBorder="1"/>
    <xf numFmtId="165" fontId="2" fillId="0" borderId="7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5" fontId="0" fillId="0" borderId="13" xfId="1" applyNumberFormat="1" applyFont="1" applyBorder="1"/>
    <xf numFmtId="165" fontId="13" fillId="0" borderId="33" xfId="1" applyNumberFormat="1" applyFont="1" applyBorder="1"/>
    <xf numFmtId="165" fontId="0" fillId="0" borderId="33" xfId="1" applyNumberFormat="1" applyFont="1" applyBorder="1"/>
    <xf numFmtId="165" fontId="0" fillId="0" borderId="42" xfId="1" applyNumberFormat="1" applyFont="1" applyBorder="1"/>
    <xf numFmtId="165" fontId="0" fillId="0" borderId="9" xfId="1" applyNumberFormat="1" applyFont="1" applyBorder="1"/>
    <xf numFmtId="165" fontId="0" fillId="0" borderId="31" xfId="1" applyNumberFormat="1" applyFont="1" applyBorder="1"/>
    <xf numFmtId="0" fontId="0" fillId="0" borderId="0" xfId="0" applyBorder="1" applyAlignment="1"/>
    <xf numFmtId="3" fontId="0" fillId="0" borderId="57" xfId="0" applyNumberFormat="1" applyBorder="1"/>
    <xf numFmtId="0" fontId="2" fillId="0" borderId="58" xfId="0" applyFont="1" applyBorder="1" applyAlignment="1"/>
    <xf numFmtId="0" fontId="2" fillId="0" borderId="59" xfId="0" applyFont="1" applyBorder="1" applyAlignment="1"/>
    <xf numFmtId="3" fontId="2" fillId="8" borderId="23" xfId="0" applyNumberFormat="1" applyFont="1" applyFill="1" applyBorder="1"/>
    <xf numFmtId="0" fontId="2" fillId="8" borderId="43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0" fontId="1" fillId="0" borderId="9" xfId="0" applyFont="1" applyBorder="1"/>
    <xf numFmtId="41" fontId="24" fillId="7" borderId="56" xfId="0" applyNumberFormat="1" applyFont="1" applyFill="1" applyBorder="1"/>
    <xf numFmtId="41" fontId="32" fillId="7" borderId="60" xfId="0" applyNumberFormat="1" applyFont="1" applyFill="1" applyBorder="1"/>
    <xf numFmtId="41" fontId="30" fillId="0" borderId="34" xfId="0" applyNumberFormat="1" applyFont="1" applyFill="1" applyBorder="1"/>
    <xf numFmtId="165" fontId="15" fillId="0" borderId="13" xfId="1" applyNumberFormat="1" applyFont="1" applyFill="1" applyBorder="1"/>
    <xf numFmtId="165" fontId="15" fillId="0" borderId="33" xfId="1" applyNumberFormat="1" applyFont="1" applyFill="1" applyBorder="1"/>
    <xf numFmtId="165" fontId="15" fillId="0" borderId="7" xfId="1" applyNumberFormat="1" applyFont="1" applyFill="1" applyBorder="1"/>
    <xf numFmtId="165" fontId="15" fillId="0" borderId="6" xfId="1" applyNumberFormat="1" applyFont="1" applyFill="1" applyBorder="1"/>
    <xf numFmtId="0" fontId="2" fillId="7" borderId="55" xfId="0" applyFont="1" applyFill="1" applyBorder="1" applyAlignment="1">
      <alignment horizontal="center"/>
    </xf>
    <xf numFmtId="0" fontId="0" fillId="7" borderId="56" xfId="0" applyFill="1" applyBorder="1" applyAlignment="1">
      <alignment horizontal="center"/>
    </xf>
    <xf numFmtId="165" fontId="14" fillId="7" borderId="60" xfId="1" applyNumberFormat="1" applyFont="1" applyFill="1" applyBorder="1" applyAlignment="1">
      <alignment horizontal="center"/>
    </xf>
    <xf numFmtId="165" fontId="15" fillId="0" borderId="34" xfId="1" applyNumberFormat="1" applyFont="1" applyFill="1" applyBorder="1"/>
    <xf numFmtId="0" fontId="0" fillId="0" borderId="8" xfId="0" applyFill="1" applyBorder="1"/>
    <xf numFmtId="0" fontId="0" fillId="0" borderId="9" xfId="0" applyFill="1" applyBorder="1"/>
    <xf numFmtId="165" fontId="14" fillId="0" borderId="31" xfId="1" applyNumberFormat="1" applyFont="1" applyFill="1" applyBorder="1"/>
    <xf numFmtId="165" fontId="4" fillId="0" borderId="26" xfId="1" applyNumberFormat="1" applyFont="1" applyBorder="1"/>
    <xf numFmtId="165" fontId="4" fillId="0" borderId="19" xfId="1" applyNumberFormat="1" applyFont="1" applyBorder="1"/>
    <xf numFmtId="165" fontId="4" fillId="0" borderId="19" xfId="1" applyNumberFormat="1" applyFont="1" applyFill="1" applyBorder="1"/>
    <xf numFmtId="165" fontId="4" fillId="0" borderId="36" xfId="1" applyNumberFormat="1" applyFont="1" applyBorder="1"/>
    <xf numFmtId="165" fontId="15" fillId="9" borderId="27" xfId="1" applyNumberFormat="1" applyFont="1" applyFill="1" applyBorder="1"/>
    <xf numFmtId="165" fontId="15" fillId="9" borderId="21" xfId="1" applyNumberFormat="1" applyFont="1" applyFill="1" applyBorder="1"/>
    <xf numFmtId="165" fontId="15" fillId="9" borderId="41" xfId="1" applyNumberFormat="1" applyFont="1" applyFill="1" applyBorder="1"/>
    <xf numFmtId="165" fontId="4" fillId="0" borderId="61" xfId="1" applyNumberFormat="1" applyFont="1" applyBorder="1"/>
    <xf numFmtId="165" fontId="15" fillId="2" borderId="27" xfId="1" applyNumberFormat="1" applyFont="1" applyFill="1" applyBorder="1"/>
    <xf numFmtId="165" fontId="15" fillId="2" borderId="21" xfId="1" applyNumberFormat="1" applyFont="1" applyFill="1" applyBorder="1"/>
    <xf numFmtId="165" fontId="15" fillId="2" borderId="41" xfId="1" applyNumberFormat="1" applyFont="1" applyFill="1" applyBorder="1"/>
    <xf numFmtId="0" fontId="2" fillId="9" borderId="41" xfId="0" applyFont="1" applyFill="1" applyBorder="1" applyAlignment="1">
      <alignment horizontal="center"/>
    </xf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0" fontId="0" fillId="7" borderId="41" xfId="0" applyFill="1" applyBorder="1"/>
    <xf numFmtId="0" fontId="0" fillId="9" borderId="43" xfId="0" applyFill="1" applyBorder="1"/>
    <xf numFmtId="0" fontId="0" fillId="9" borderId="44" xfId="0" applyFill="1" applyBorder="1"/>
    <xf numFmtId="0" fontId="0" fillId="9" borderId="45" xfId="0" applyFill="1" applyBorder="1"/>
    <xf numFmtId="0" fontId="2" fillId="7" borderId="27" xfId="0" applyFont="1" applyFill="1" applyBorder="1"/>
    <xf numFmtId="0" fontId="2" fillId="7" borderId="21" xfId="0" applyFont="1" applyFill="1" applyBorder="1"/>
    <xf numFmtId="0" fontId="0" fillId="7" borderId="62" xfId="0" applyFill="1" applyBorder="1"/>
    <xf numFmtId="165" fontId="2" fillId="7" borderId="27" xfId="0" applyNumberFormat="1" applyFont="1" applyFill="1" applyBorder="1"/>
    <xf numFmtId="165" fontId="16" fillId="7" borderId="23" xfId="1" applyNumberFormat="1" applyFont="1" applyFill="1" applyBorder="1"/>
    <xf numFmtId="0" fontId="14" fillId="8" borderId="32" xfId="0" applyFont="1" applyFill="1" applyBorder="1" applyAlignment="1">
      <alignment horizontal="center"/>
    </xf>
    <xf numFmtId="164" fontId="14" fillId="8" borderId="53" xfId="0" applyNumberFormat="1" applyFont="1" applyFill="1" applyBorder="1" applyAlignment="1">
      <alignment horizontal="center"/>
    </xf>
    <xf numFmtId="164" fontId="14" fillId="8" borderId="12" xfId="0" applyNumberFormat="1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164" fontId="14" fillId="8" borderId="54" xfId="0" applyNumberFormat="1" applyFont="1" applyFill="1" applyBorder="1" applyAlignment="1">
      <alignment horizontal="center"/>
    </xf>
    <xf numFmtId="164" fontId="14" fillId="8" borderId="5" xfId="0" applyNumberFormat="1" applyFont="1" applyFill="1" applyBorder="1" applyAlignment="1">
      <alignment horizontal="center"/>
    </xf>
    <xf numFmtId="0" fontId="15" fillId="8" borderId="12" xfId="0" applyFont="1" applyFill="1" applyBorder="1" applyAlignment="1">
      <alignment horizontal="center"/>
    </xf>
    <xf numFmtId="0" fontId="15" fillId="8" borderId="54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164" fontId="15" fillId="0" borderId="6" xfId="0" applyNumberFormat="1" applyFont="1" applyFill="1" applyBorder="1"/>
    <xf numFmtId="0" fontId="17" fillId="0" borderId="13" xfId="0" applyFont="1" applyFill="1" applyBorder="1"/>
    <xf numFmtId="0" fontId="17" fillId="0" borderId="33" xfId="0" applyFont="1" applyFill="1" applyBorder="1"/>
    <xf numFmtId="164" fontId="18" fillId="0" borderId="42" xfId="0" applyNumberFormat="1" applyFont="1" applyFill="1" applyBorder="1"/>
    <xf numFmtId="164" fontId="15" fillId="0" borderId="34" xfId="0" applyNumberFormat="1" applyFont="1" applyFill="1" applyBorder="1"/>
    <xf numFmtId="0" fontId="17" fillId="0" borderId="8" xfId="0" applyFont="1" applyFill="1" applyBorder="1"/>
    <xf numFmtId="164" fontId="15" fillId="0" borderId="9" xfId="0" applyNumberFormat="1" applyFont="1" applyFill="1" applyBorder="1"/>
    <xf numFmtId="164" fontId="15" fillId="0" borderId="31" xfId="0" applyNumberFormat="1" applyFont="1" applyFill="1" applyBorder="1"/>
    <xf numFmtId="164" fontId="15" fillId="9" borderId="6" xfId="0" applyNumberFormat="1" applyFont="1" applyFill="1" applyBorder="1"/>
    <xf numFmtId="164" fontId="15" fillId="9" borderId="34" xfId="0" applyNumberFormat="1" applyFont="1" applyFill="1" applyBorder="1"/>
    <xf numFmtId="164" fontId="10" fillId="0" borderId="19" xfId="0" applyNumberFormat="1" applyFont="1" applyFill="1" applyBorder="1"/>
    <xf numFmtId="164" fontId="20" fillId="0" borderId="19" xfId="0" applyNumberFormat="1" applyFont="1" applyFill="1" applyBorder="1" applyAlignment="1">
      <alignment horizontal="right"/>
    </xf>
    <xf numFmtId="164" fontId="20" fillId="0" borderId="25" xfId="0" applyNumberFormat="1" applyFont="1" applyFill="1" applyBorder="1" applyAlignment="1">
      <alignment horizontal="right"/>
    </xf>
    <xf numFmtId="0" fontId="15" fillId="8" borderId="46" xfId="0" applyFont="1" applyFill="1" applyBorder="1" applyAlignment="1">
      <alignment horizontal="center"/>
    </xf>
    <xf numFmtId="0" fontId="15" fillId="8" borderId="65" xfId="0" applyFont="1" applyFill="1" applyBorder="1" applyAlignment="1">
      <alignment horizontal="center"/>
    </xf>
    <xf numFmtId="0" fontId="15" fillId="8" borderId="23" xfId="0" applyFont="1" applyFill="1" applyBorder="1" applyAlignment="1">
      <alignment horizontal="center"/>
    </xf>
    <xf numFmtId="0" fontId="0" fillId="0" borderId="61" xfId="0" applyFill="1" applyBorder="1"/>
    <xf numFmtId="164" fontId="14" fillId="7" borderId="21" xfId="0" applyNumberFormat="1" applyFont="1" applyFill="1" applyBorder="1" applyAlignment="1">
      <alignment horizontal="right"/>
    </xf>
    <xf numFmtId="0" fontId="2" fillId="9" borderId="44" xfId="0" applyFont="1" applyFill="1" applyBorder="1"/>
    <xf numFmtId="165" fontId="50" fillId="7" borderId="23" xfId="1" applyNumberFormat="1" applyFont="1" applyFill="1" applyBorder="1"/>
    <xf numFmtId="0" fontId="6" fillId="0" borderId="0" xfId="0" applyFont="1" applyFill="1"/>
    <xf numFmtId="0" fontId="2" fillId="9" borderId="53" xfId="0" applyFont="1" applyFill="1" applyBorder="1" applyAlignment="1">
      <alignment horizontal="center"/>
    </xf>
    <xf numFmtId="0" fontId="2" fillId="9" borderId="65" xfId="0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center"/>
    </xf>
    <xf numFmtId="164" fontId="2" fillId="9" borderId="53" xfId="0" applyNumberFormat="1" applyFont="1" applyFill="1" applyBorder="1" applyAlignment="1">
      <alignment horizontal="center"/>
    </xf>
    <xf numFmtId="0" fontId="2" fillId="9" borderId="54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164" fontId="15" fillId="9" borderId="54" xfId="0" applyNumberFormat="1" applyFont="1" applyFill="1" applyBorder="1" applyAlignment="1">
      <alignment horizontal="center"/>
    </xf>
    <xf numFmtId="164" fontId="2" fillId="9" borderId="54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4" fillId="9" borderId="9" xfId="0" applyNumberFormat="1" applyFont="1" applyFill="1" applyBorder="1" applyAlignment="1">
      <alignment vertical="justify"/>
    </xf>
    <xf numFmtId="0" fontId="4" fillId="0" borderId="27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51" fillId="0" borderId="21" xfId="0" applyNumberFormat="1" applyFont="1" applyFill="1" applyBorder="1" applyAlignment="1">
      <alignment horizontal="center"/>
    </xf>
    <xf numFmtId="3" fontId="4" fillId="0" borderId="62" xfId="0" applyNumberFormat="1" applyFont="1" applyFill="1" applyBorder="1" applyAlignment="1">
      <alignment horizontal="center"/>
    </xf>
    <xf numFmtId="3" fontId="0" fillId="0" borderId="41" xfId="0" applyNumberFormat="1" applyFill="1" applyBorder="1"/>
    <xf numFmtId="0" fontId="4" fillId="0" borderId="26" xfId="0" applyFont="1" applyBorder="1"/>
    <xf numFmtId="165" fontId="4" fillId="0" borderId="25" xfId="1" applyNumberFormat="1" applyFont="1" applyBorder="1"/>
    <xf numFmtId="165" fontId="0" fillId="0" borderId="36" xfId="1" applyNumberFormat="1" applyFont="1" applyBorder="1"/>
    <xf numFmtId="49" fontId="4" fillId="0" borderId="6" xfId="0" applyNumberFormat="1" applyFont="1" applyBorder="1" applyAlignment="1">
      <alignment horizontal="right"/>
    </xf>
    <xf numFmtId="165" fontId="4" fillId="0" borderId="22" xfId="1" applyNumberFormat="1" applyFont="1" applyBorder="1"/>
    <xf numFmtId="165" fontId="4" fillId="0" borderId="64" xfId="1" applyNumberFormat="1" applyFont="1" applyBorder="1"/>
    <xf numFmtId="165" fontId="1" fillId="0" borderId="34" xfId="1" applyNumberFormat="1" applyFont="1" applyFill="1" applyBorder="1"/>
    <xf numFmtId="0" fontId="15" fillId="10" borderId="30" xfId="0" applyFont="1" applyFill="1" applyBorder="1"/>
    <xf numFmtId="49" fontId="4" fillId="10" borderId="14" xfId="0" applyNumberFormat="1" applyFont="1" applyFill="1" applyBorder="1" applyAlignment="1">
      <alignment horizontal="right"/>
    </xf>
    <xf numFmtId="165" fontId="4" fillId="10" borderId="32" xfId="1" applyNumberFormat="1" applyFont="1" applyFill="1" applyBorder="1"/>
    <xf numFmtId="0" fontId="15" fillId="0" borderId="6" xfId="0" applyFont="1" applyBorder="1"/>
    <xf numFmtId="49" fontId="15" fillId="0" borderId="6" xfId="0" applyNumberFormat="1" applyFont="1" applyBorder="1" applyAlignment="1">
      <alignment horizontal="right"/>
    </xf>
    <xf numFmtId="0" fontId="4" fillId="0" borderId="35" xfId="0" applyFont="1" applyBorder="1"/>
    <xf numFmtId="0" fontId="4" fillId="7" borderId="30" xfId="0" applyFont="1" applyFill="1" applyBorder="1"/>
    <xf numFmtId="49" fontId="4" fillId="0" borderId="30" xfId="0" applyNumberFormat="1" applyFont="1" applyBorder="1" applyAlignment="1">
      <alignment horizontal="right"/>
    </xf>
    <xf numFmtId="0" fontId="20" fillId="0" borderId="19" xfId="0" applyFont="1" applyFill="1" applyBorder="1" applyAlignment="1">
      <alignment horizontal="left"/>
    </xf>
    <xf numFmtId="49" fontId="20" fillId="0" borderId="19" xfId="0" applyNumberFormat="1" applyFont="1" applyFill="1" applyBorder="1" applyAlignment="1">
      <alignment horizontal="right"/>
    </xf>
    <xf numFmtId="49" fontId="20" fillId="0" borderId="6" xfId="0" applyNumberFormat="1" applyFont="1" applyFill="1" applyBorder="1" applyAlignment="1">
      <alignment horizontal="right"/>
    </xf>
    <xf numFmtId="0" fontId="4" fillId="7" borderId="6" xfId="0" applyFont="1" applyFill="1" applyBorder="1"/>
    <xf numFmtId="165" fontId="20" fillId="0" borderId="6" xfId="1" applyNumberFormat="1" applyFont="1" applyFill="1" applyBorder="1"/>
    <xf numFmtId="0" fontId="15" fillId="10" borderId="6" xfId="0" applyFont="1" applyFill="1" applyBorder="1"/>
    <xf numFmtId="49" fontId="20" fillId="10" borderId="6" xfId="0" applyNumberFormat="1" applyFont="1" applyFill="1" applyBorder="1" applyAlignment="1">
      <alignment horizontal="right"/>
    </xf>
    <xf numFmtId="165" fontId="15" fillId="10" borderId="47" xfId="1" applyNumberFormat="1" applyFont="1" applyFill="1" applyBorder="1"/>
    <xf numFmtId="165" fontId="15" fillId="10" borderId="65" xfId="1" applyNumberFormat="1" applyFont="1" applyFill="1" applyBorder="1"/>
    <xf numFmtId="1" fontId="15" fillId="0" borderId="6" xfId="0" applyNumberFormat="1" applyFont="1" applyFill="1" applyBorder="1" applyAlignment="1">
      <alignment horizontal="left" vertical="justify"/>
    </xf>
    <xf numFmtId="49" fontId="15" fillId="0" borderId="6" xfId="0" applyNumberFormat="1" applyFont="1" applyFill="1" applyBorder="1" applyAlignment="1">
      <alignment horizontal="right"/>
    </xf>
    <xf numFmtId="165" fontId="20" fillId="0" borderId="18" xfId="1" applyNumberFormat="1" applyFont="1" applyFill="1" applyBorder="1"/>
    <xf numFmtId="165" fontId="20" fillId="0" borderId="19" xfId="1" applyNumberFormat="1" applyFont="1" applyFill="1" applyBorder="1"/>
    <xf numFmtId="165" fontId="4" fillId="0" borderId="63" xfId="1" applyNumberFormat="1" applyFont="1" applyBorder="1"/>
    <xf numFmtId="165" fontId="4" fillId="0" borderId="68" xfId="1" applyNumberFormat="1" applyFont="1" applyBorder="1"/>
    <xf numFmtId="1" fontId="4" fillId="0" borderId="6" xfId="0" applyNumberFormat="1" applyFont="1" applyFill="1" applyBorder="1" applyAlignment="1">
      <alignment horizontal="left"/>
    </xf>
    <xf numFmtId="49" fontId="4" fillId="0" borderId="6" xfId="0" applyNumberFormat="1" applyFont="1" applyFill="1" applyBorder="1" applyAlignment="1">
      <alignment horizontal="right"/>
    </xf>
    <xf numFmtId="165" fontId="20" fillId="0" borderId="22" xfId="1" applyNumberFormat="1" applyFont="1" applyFill="1" applyBorder="1"/>
    <xf numFmtId="0" fontId="20" fillId="0" borderId="22" xfId="0" applyFont="1" applyFill="1" applyBorder="1"/>
    <xf numFmtId="165" fontId="20" fillId="0" borderId="28" xfId="1" applyNumberFormat="1" applyFont="1" applyFill="1" applyBorder="1"/>
    <xf numFmtId="0" fontId="4" fillId="0" borderId="6" xfId="0" applyFont="1" applyFill="1" applyBorder="1" applyAlignment="1">
      <alignment horizontal="left"/>
    </xf>
    <xf numFmtId="165" fontId="4" fillId="0" borderId="6" xfId="1" applyNumberFormat="1" applyFont="1" applyFill="1" applyBorder="1" applyAlignment="1">
      <alignment horizontal="left"/>
    </xf>
    <xf numFmtId="49" fontId="4" fillId="0" borderId="6" xfId="1" applyNumberFormat="1" applyFont="1" applyFill="1" applyBorder="1" applyAlignment="1">
      <alignment horizontal="right"/>
    </xf>
    <xf numFmtId="165" fontId="15" fillId="10" borderId="6" xfId="1" applyNumberFormat="1" applyFont="1" applyFill="1" applyBorder="1" applyAlignment="1">
      <alignment horizontal="left"/>
    </xf>
    <xf numFmtId="49" fontId="4" fillId="10" borderId="64" xfId="1" applyNumberFormat="1" applyFont="1" applyFill="1" applyBorder="1" applyAlignment="1">
      <alignment horizontal="right"/>
    </xf>
    <xf numFmtId="165" fontId="20" fillId="10" borderId="27" xfId="1" applyNumberFormat="1" applyFont="1" applyFill="1" applyBorder="1"/>
    <xf numFmtId="165" fontId="20" fillId="10" borderId="23" xfId="1" applyNumberFormat="1" applyFont="1" applyFill="1" applyBorder="1"/>
    <xf numFmtId="165" fontId="15" fillId="0" borderId="6" xfId="1" applyNumberFormat="1" applyFont="1" applyFill="1" applyBorder="1" applyAlignment="1">
      <alignment horizontal="left"/>
    </xf>
    <xf numFmtId="49" fontId="15" fillId="0" borderId="6" xfId="1" applyNumberFormat="1" applyFont="1" applyFill="1" applyBorder="1" applyAlignment="1">
      <alignment horizontal="right"/>
    </xf>
    <xf numFmtId="165" fontId="15" fillId="10" borderId="46" xfId="1" applyNumberFormat="1" applyFont="1" applyFill="1" applyBorder="1"/>
    <xf numFmtId="0" fontId="4" fillId="0" borderId="55" xfId="0" applyFont="1" applyBorder="1"/>
    <xf numFmtId="0" fontId="4" fillId="0" borderId="69" xfId="0" applyFont="1" applyBorder="1"/>
    <xf numFmtId="165" fontId="4" fillId="0" borderId="69" xfId="1" applyNumberFormat="1" applyFont="1" applyBorder="1"/>
    <xf numFmtId="165" fontId="4" fillId="0" borderId="56" xfId="1" applyNumberFormat="1" applyFont="1" applyBorder="1"/>
    <xf numFmtId="165" fontId="4" fillId="0" borderId="67" xfId="1" applyNumberFormat="1" applyFont="1" applyBorder="1"/>
    <xf numFmtId="3" fontId="4" fillId="0" borderId="56" xfId="0" applyNumberFormat="1" applyFont="1" applyBorder="1"/>
    <xf numFmtId="0" fontId="4" fillId="9" borderId="43" xfId="0" applyFont="1" applyFill="1" applyBorder="1" applyAlignment="1">
      <alignment horizontal="center" vertical="justify"/>
    </xf>
    <xf numFmtId="0" fontId="4" fillId="9" borderId="44" xfId="0" applyFont="1" applyFill="1" applyBorder="1" applyAlignment="1">
      <alignment horizontal="center" vertical="justify"/>
    </xf>
    <xf numFmtId="0" fontId="4" fillId="9" borderId="55" xfId="0" applyFont="1" applyFill="1" applyBorder="1" applyAlignment="1">
      <alignment horizontal="center" vertical="justify"/>
    </xf>
    <xf numFmtId="0" fontId="4" fillId="9" borderId="56" xfId="0" applyFont="1" applyFill="1" applyBorder="1" applyAlignment="1">
      <alignment horizontal="center" vertical="justify"/>
    </xf>
    <xf numFmtId="165" fontId="0" fillId="0" borderId="34" xfId="1" applyNumberFormat="1" applyFont="1" applyFill="1" applyBorder="1"/>
    <xf numFmtId="0" fontId="69" fillId="0" borderId="0" xfId="0" applyFont="1"/>
    <xf numFmtId="0" fontId="69" fillId="0" borderId="6" xfId="0" applyFont="1" applyBorder="1"/>
    <xf numFmtId="0" fontId="70" fillId="0" borderId="0" xfId="0" applyFont="1"/>
    <xf numFmtId="0" fontId="71" fillId="0" borderId="0" xfId="0" applyFont="1"/>
    <xf numFmtId="0" fontId="52" fillId="0" borderId="6" xfId="0" applyFont="1" applyFill="1" applyBorder="1" applyAlignment="1">
      <alignment horizontal="center"/>
    </xf>
    <xf numFmtId="0" fontId="52" fillId="0" borderId="6" xfId="0" applyFont="1" applyBorder="1"/>
    <xf numFmtId="0" fontId="52" fillId="0" borderId="6" xfId="0" applyFont="1" applyBorder="1" applyAlignment="1">
      <alignment horizontal="center"/>
    </xf>
    <xf numFmtId="0" fontId="52" fillId="0" borderId="6" xfId="0" applyFont="1" applyBorder="1" applyAlignment="1">
      <alignment horizontal="left" indent="1"/>
    </xf>
    <xf numFmtId="3" fontId="52" fillId="0" borderId="6" xfId="0" applyNumberFormat="1" applyFont="1" applyBorder="1"/>
    <xf numFmtId="0" fontId="52" fillId="0" borderId="6" xfId="0" applyFont="1" applyBorder="1" applyAlignment="1">
      <alignment vertical="center"/>
    </xf>
    <xf numFmtId="0" fontId="52" fillId="0" borderId="6" xfId="0" applyFont="1" applyBorder="1" applyAlignment="1">
      <alignment vertical="center" wrapText="1"/>
    </xf>
    <xf numFmtId="0" fontId="52" fillId="0" borderId="6" xfId="0" applyFont="1" applyBorder="1" applyAlignment="1">
      <alignment horizontal="center" wrapText="1"/>
    </xf>
    <xf numFmtId="0" fontId="52" fillId="0" borderId="6" xfId="0" applyFont="1" applyBorder="1" applyAlignment="1">
      <alignment horizontal="left" vertical="center" wrapText="1"/>
    </xf>
    <xf numFmtId="0" fontId="53" fillId="0" borderId="6" xfId="0" applyFont="1" applyBorder="1" applyAlignment="1">
      <alignment horizontal="center" wrapText="1"/>
    </xf>
    <xf numFmtId="0" fontId="52" fillId="0" borderId="6" xfId="0" applyFont="1" applyBorder="1" applyAlignment="1">
      <alignment wrapText="1"/>
    </xf>
    <xf numFmtId="0" fontId="54" fillId="0" borderId="6" xfId="0" applyFont="1" applyBorder="1" applyAlignment="1">
      <alignment horizontal="center"/>
    </xf>
    <xf numFmtId="0" fontId="55" fillId="0" borderId="6" xfId="0" applyFont="1" applyFill="1" applyBorder="1" applyAlignment="1">
      <alignment horizontal="center"/>
    </xf>
    <xf numFmtId="0" fontId="55" fillId="0" borderId="6" xfId="0" applyFont="1" applyFill="1" applyBorder="1"/>
    <xf numFmtId="3" fontId="55" fillId="0" borderId="6" xfId="0" applyNumberFormat="1" applyFont="1" applyFill="1" applyBorder="1"/>
    <xf numFmtId="0" fontId="55" fillId="0" borderId="6" xfId="0" applyFont="1" applyBorder="1"/>
    <xf numFmtId="0" fontId="55" fillId="0" borderId="6" xfId="0" applyFont="1" applyFill="1" applyBorder="1" applyAlignment="1">
      <alignment horizontal="right"/>
    </xf>
    <xf numFmtId="3" fontId="55" fillId="0" borderId="6" xfId="0" applyNumberFormat="1" applyFont="1" applyBorder="1"/>
    <xf numFmtId="0" fontId="55" fillId="0" borderId="6" xfId="0" applyFont="1" applyBorder="1" applyAlignment="1">
      <alignment horizontal="left" indent="2"/>
    </xf>
    <xf numFmtId="0" fontId="56" fillId="0" borderId="6" xfId="0" applyFont="1" applyBorder="1"/>
    <xf numFmtId="0" fontId="56" fillId="0" borderId="0" xfId="0" applyFont="1" applyBorder="1"/>
    <xf numFmtId="0" fontId="72" fillId="0" borderId="6" xfId="0" applyFont="1" applyBorder="1"/>
    <xf numFmtId="0" fontId="73" fillId="0" borderId="6" xfId="0" applyFont="1" applyBorder="1"/>
    <xf numFmtId="0" fontId="73" fillId="0" borderId="6" xfId="0" applyFont="1" applyBorder="1" applyAlignment="1">
      <alignment horizontal="left" indent="2"/>
    </xf>
    <xf numFmtId="0" fontId="56" fillId="0" borderId="6" xfId="0" applyFont="1" applyBorder="1" applyAlignment="1">
      <alignment horizontal="left" vertical="top" wrapText="1"/>
    </xf>
    <xf numFmtId="0" fontId="55" fillId="0" borderId="6" xfId="0" applyFont="1" applyBorder="1" applyAlignment="1">
      <alignment horizontal="left" vertical="top" wrapText="1"/>
    </xf>
    <xf numFmtId="0" fontId="74" fillId="0" borderId="0" xfId="0" applyFont="1" applyAlignment="1"/>
    <xf numFmtId="0" fontId="74" fillId="0" borderId="0" xfId="0" applyFont="1"/>
    <xf numFmtId="0" fontId="14" fillId="0" borderId="0" xfId="0" applyFont="1" applyFill="1"/>
    <xf numFmtId="0" fontId="1" fillId="0" borderId="0" xfId="0" applyFont="1" applyFill="1"/>
    <xf numFmtId="165" fontId="4" fillId="0" borderId="0" xfId="1" applyNumberFormat="1" applyFont="1"/>
    <xf numFmtId="165" fontId="15" fillId="0" borderId="0" xfId="1" applyNumberFormat="1" applyFont="1" applyBorder="1" applyAlignment="1"/>
    <xf numFmtId="165" fontId="15" fillId="0" borderId="0" xfId="1" applyNumberFormat="1" applyFont="1" applyBorder="1"/>
    <xf numFmtId="165" fontId="15" fillId="0" borderId="0" xfId="1" applyNumberFormat="1" applyFont="1"/>
    <xf numFmtId="165" fontId="15" fillId="9" borderId="43" xfId="1" applyNumberFormat="1" applyFont="1" applyFill="1" applyBorder="1" applyAlignment="1">
      <alignment horizontal="center"/>
    </xf>
    <xf numFmtId="165" fontId="15" fillId="9" borderId="44" xfId="1" applyNumberFormat="1" applyFont="1" applyFill="1" applyBorder="1" applyAlignment="1">
      <alignment horizontal="center"/>
    </xf>
    <xf numFmtId="165" fontId="15" fillId="9" borderId="71" xfId="1" applyNumberFormat="1" applyFont="1" applyFill="1" applyBorder="1" applyAlignment="1">
      <alignment horizontal="center"/>
    </xf>
    <xf numFmtId="165" fontId="15" fillId="9" borderId="72" xfId="1" applyNumberFormat="1" applyFont="1" applyFill="1" applyBorder="1" applyAlignment="1">
      <alignment horizontal="center"/>
    </xf>
    <xf numFmtId="165" fontId="15" fillId="9" borderId="63" xfId="1" applyNumberFormat="1" applyFont="1" applyFill="1" applyBorder="1" applyAlignment="1">
      <alignment horizontal="center"/>
    </xf>
    <xf numFmtId="165" fontId="15" fillId="9" borderId="30" xfId="1" applyNumberFormat="1" applyFont="1" applyFill="1" applyBorder="1" applyAlignment="1">
      <alignment horizontal="center"/>
    </xf>
    <xf numFmtId="165" fontId="15" fillId="9" borderId="24" xfId="1" applyNumberFormat="1" applyFont="1" applyFill="1" applyBorder="1" applyAlignment="1">
      <alignment horizontal="center"/>
    </xf>
    <xf numFmtId="165" fontId="4" fillId="0" borderId="13" xfId="1" applyNumberFormat="1" applyFont="1" applyBorder="1"/>
    <xf numFmtId="165" fontId="4" fillId="0" borderId="33" xfId="1" applyNumberFormat="1" applyFont="1" applyBorder="1"/>
    <xf numFmtId="165" fontId="75" fillId="7" borderId="0" xfId="1" applyNumberFormat="1" applyFont="1" applyFill="1"/>
    <xf numFmtId="0" fontId="60" fillId="0" borderId="0" xfId="0" applyFont="1"/>
    <xf numFmtId="0" fontId="3" fillId="0" borderId="0" xfId="0" applyFont="1"/>
    <xf numFmtId="0" fontId="8" fillId="0" borderId="35" xfId="0" applyFont="1" applyBorder="1"/>
    <xf numFmtId="167" fontId="0" fillId="0" borderId="0" xfId="0" applyNumberFormat="1"/>
    <xf numFmtId="43" fontId="0" fillId="0" borderId="0" xfId="0" applyNumberFormat="1"/>
    <xf numFmtId="166" fontId="62" fillId="0" borderId="0" xfId="1" applyNumberFormat="1" applyFont="1"/>
    <xf numFmtId="0" fontId="3" fillId="0" borderId="0" xfId="0" applyFont="1" applyBorder="1"/>
    <xf numFmtId="166" fontId="63" fillId="0" borderId="0" xfId="0" applyNumberFormat="1" applyFont="1" applyBorder="1"/>
    <xf numFmtId="165" fontId="1" fillId="0" borderId="6" xfId="1" applyNumberFormat="1" applyFont="1" applyBorder="1"/>
    <xf numFmtId="3" fontId="73" fillId="0" borderId="6" xfId="0" applyNumberFormat="1" applyFont="1" applyBorder="1" applyAlignment="1">
      <alignment horizontal="center"/>
    </xf>
    <xf numFmtId="37" fontId="55" fillId="0" borderId="6" xfId="0" applyNumberFormat="1" applyFont="1" applyFill="1" applyBorder="1" applyAlignment="1">
      <alignment horizontal="center"/>
    </xf>
    <xf numFmtId="4" fontId="0" fillId="0" borderId="6" xfId="0" applyNumberFormat="1" applyBorder="1"/>
    <xf numFmtId="4" fontId="0" fillId="0" borderId="33" xfId="0" applyNumberFormat="1" applyBorder="1"/>
    <xf numFmtId="0" fontId="1" fillId="0" borderId="6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46" fillId="0" borderId="0" xfId="0" applyFont="1" applyFill="1" applyBorder="1" applyAlignment="1">
      <alignment vertical="justify"/>
    </xf>
    <xf numFmtId="3" fontId="0" fillId="0" borderId="0" xfId="0" applyNumberFormat="1" applyFill="1" applyBorder="1" applyAlignment="1">
      <alignment vertical="center"/>
    </xf>
    <xf numFmtId="3" fontId="43" fillId="0" borderId="0" xfId="0" applyNumberFormat="1" applyFont="1" applyFill="1" applyBorder="1" applyAlignment="1">
      <alignment vertical="center"/>
    </xf>
    <xf numFmtId="0" fontId="6" fillId="12" borderId="6" xfId="0" applyFont="1" applyFill="1" applyBorder="1"/>
    <xf numFmtId="0" fontId="9" fillId="12" borderId="6" xfId="0" applyFont="1" applyFill="1" applyBorder="1" applyAlignment="1">
      <alignment horizontal="center"/>
    </xf>
    <xf numFmtId="165" fontId="5" fillId="12" borderId="6" xfId="1" applyNumberFormat="1" applyFont="1" applyFill="1" applyBorder="1"/>
    <xf numFmtId="0" fontId="1" fillId="12" borderId="13" xfId="0" applyFont="1" applyFill="1" applyBorder="1"/>
    <xf numFmtId="0" fontId="0" fillId="12" borderId="33" xfId="0" applyFill="1" applyBorder="1"/>
    <xf numFmtId="0" fontId="1" fillId="12" borderId="7" xfId="0" applyFont="1" applyFill="1" applyBorder="1"/>
    <xf numFmtId="0" fontId="0" fillId="12" borderId="6" xfId="0" applyFill="1" applyBorder="1"/>
    <xf numFmtId="0" fontId="1" fillId="0" borderId="73" xfId="0" applyFont="1" applyBorder="1"/>
    <xf numFmtId="0" fontId="2" fillId="3" borderId="43" xfId="0" applyFont="1" applyFill="1" applyBorder="1" applyAlignment="1">
      <alignment horizontal="left"/>
    </xf>
    <xf numFmtId="0" fontId="0" fillId="3" borderId="11" xfId="0" applyFill="1" applyBorder="1"/>
    <xf numFmtId="0" fontId="0" fillId="0" borderId="17" xfId="0" applyBorder="1" applyAlignment="1">
      <alignment horizontal="left"/>
    </xf>
    <xf numFmtId="0" fontId="2" fillId="0" borderId="4" xfId="0" applyFont="1" applyBorder="1"/>
    <xf numFmtId="3" fontId="6" fillId="0" borderId="0" xfId="0" applyNumberFormat="1" applyFont="1"/>
    <xf numFmtId="165" fontId="4" fillId="7" borderId="23" xfId="1" applyNumberFormat="1" applyFont="1" applyFill="1" applyBorder="1"/>
    <xf numFmtId="165" fontId="4" fillId="7" borderId="41" xfId="1" applyNumberFormat="1" applyFont="1" applyFill="1" applyBorder="1"/>
    <xf numFmtId="3" fontId="15" fillId="3" borderId="34" xfId="0" applyNumberFormat="1" applyFont="1" applyFill="1" applyBorder="1" applyAlignment="1">
      <alignment horizontal="right"/>
    </xf>
    <xf numFmtId="3" fontId="15" fillId="0" borderId="34" xfId="0" applyNumberFormat="1" applyFont="1" applyFill="1" applyBorder="1" applyAlignment="1">
      <alignment horizontal="right"/>
    </xf>
    <xf numFmtId="3" fontId="4" fillId="0" borderId="34" xfId="0" applyNumberFormat="1" applyFont="1" applyBorder="1" applyAlignment="1">
      <alignment horizontal="right"/>
    </xf>
    <xf numFmtId="3" fontId="4" fillId="3" borderId="34" xfId="0" applyNumberFormat="1" applyFont="1" applyFill="1" applyBorder="1" applyAlignment="1">
      <alignment horizontal="right"/>
    </xf>
    <xf numFmtId="3" fontId="4" fillId="0" borderId="34" xfId="0" applyNumberFormat="1" applyFont="1" applyFill="1" applyBorder="1" applyAlignment="1">
      <alignment horizontal="right"/>
    </xf>
    <xf numFmtId="0" fontId="28" fillId="0" borderId="6" xfId="0" applyFont="1" applyBorder="1"/>
    <xf numFmtId="165" fontId="28" fillId="0" borderId="6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4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37" fontId="55" fillId="0" borderId="6" xfId="1" applyNumberFormat="1" applyFont="1" applyBorder="1" applyAlignment="1">
      <alignment horizontal="center"/>
    </xf>
    <xf numFmtId="37" fontId="55" fillId="0" borderId="6" xfId="0" applyNumberFormat="1" applyFont="1" applyBorder="1" applyAlignment="1">
      <alignment horizontal="center"/>
    </xf>
    <xf numFmtId="37" fontId="55" fillId="6" borderId="6" xfId="1" applyNumberFormat="1" applyFont="1" applyFill="1" applyBorder="1" applyAlignment="1">
      <alignment horizontal="center"/>
    </xf>
    <xf numFmtId="3" fontId="56" fillId="0" borderId="0" xfId="0" applyNumberFormat="1" applyFont="1" applyBorder="1" applyAlignment="1">
      <alignment horizontal="center"/>
    </xf>
    <xf numFmtId="3" fontId="56" fillId="0" borderId="0" xfId="1" applyNumberFormat="1" applyFont="1" applyBorder="1" applyAlignment="1">
      <alignment horizontal="center"/>
    </xf>
    <xf numFmtId="3" fontId="56" fillId="0" borderId="6" xfId="0" applyNumberFormat="1" applyFont="1" applyBorder="1" applyAlignment="1">
      <alignment horizontal="center"/>
    </xf>
    <xf numFmtId="3" fontId="56" fillId="0" borderId="6" xfId="1" applyNumberFormat="1" applyFont="1" applyBorder="1" applyAlignment="1">
      <alignment horizontal="center"/>
    </xf>
    <xf numFmtId="0" fontId="72" fillId="0" borderId="6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5" fillId="0" borderId="6" xfId="0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72" fillId="0" borderId="6" xfId="0" applyNumberFormat="1" applyFont="1" applyBorder="1" applyAlignment="1">
      <alignment horizontal="center"/>
    </xf>
    <xf numFmtId="3" fontId="7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70" fillId="0" borderId="0" xfId="0" applyFont="1" applyAlignment="1">
      <alignment horizontal="center"/>
    </xf>
    <xf numFmtId="3" fontId="52" fillId="0" borderId="6" xfId="1" applyNumberFormat="1" applyFont="1" applyBorder="1" applyAlignment="1">
      <alignment horizontal="center"/>
    </xf>
    <xf numFmtId="3" fontId="52" fillId="0" borderId="6" xfId="0" applyNumberFormat="1" applyFont="1" applyBorder="1" applyAlignment="1">
      <alignment horizontal="center"/>
    </xf>
    <xf numFmtId="3" fontId="52" fillId="0" borderId="6" xfId="0" applyNumberFormat="1" applyFont="1" applyBorder="1" applyAlignment="1">
      <alignment horizontal="center" vertical="center"/>
    </xf>
    <xf numFmtId="3" fontId="52" fillId="0" borderId="6" xfId="1" applyNumberFormat="1" applyFont="1" applyBorder="1" applyAlignment="1">
      <alignment horizontal="center" vertical="center"/>
    </xf>
    <xf numFmtId="0" fontId="15" fillId="0" borderId="56" xfId="0" applyFont="1" applyBorder="1"/>
    <xf numFmtId="49" fontId="15" fillId="10" borderId="6" xfId="0" applyNumberFormat="1" applyFont="1" applyFill="1" applyBorder="1" applyAlignment="1">
      <alignment horizontal="right"/>
    </xf>
    <xf numFmtId="165" fontId="15" fillId="10" borderId="22" xfId="1" applyNumberFormat="1" applyFont="1" applyFill="1" applyBorder="1"/>
    <xf numFmtId="0" fontId="6" fillId="16" borderId="6" xfId="0" applyFont="1" applyFill="1" applyBorder="1"/>
    <xf numFmtId="0" fontId="9" fillId="16" borderId="6" xfId="0" applyFont="1" applyFill="1" applyBorder="1" applyAlignment="1">
      <alignment horizontal="center"/>
    </xf>
    <xf numFmtId="165" fontId="5" fillId="16" borderId="6" xfId="1" applyNumberFormat="1" applyFont="1" applyFill="1" applyBorder="1"/>
    <xf numFmtId="0" fontId="7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65" fontId="5" fillId="16" borderId="34" xfId="1" applyNumberFormat="1" applyFont="1" applyFill="1" applyBorder="1"/>
    <xf numFmtId="165" fontId="9" fillId="16" borderId="6" xfId="1" applyNumberFormat="1" applyFont="1" applyFill="1" applyBorder="1"/>
    <xf numFmtId="165" fontId="9" fillId="16" borderId="34" xfId="1" applyNumberFormat="1" applyFont="1" applyFill="1" applyBorder="1"/>
    <xf numFmtId="0" fontId="9" fillId="16" borderId="6" xfId="0" applyFont="1" applyFill="1" applyBorder="1"/>
    <xf numFmtId="0" fontId="4" fillId="16" borderId="6" xfId="0" applyFont="1" applyFill="1" applyBorder="1" applyAlignment="1">
      <alignment horizontal="center"/>
    </xf>
    <xf numFmtId="165" fontId="6" fillId="16" borderId="6" xfId="1" applyNumberFormat="1" applyFont="1" applyFill="1" applyBorder="1"/>
    <xf numFmtId="165" fontId="6" fillId="16" borderId="6" xfId="1" applyNumberFormat="1" applyFont="1" applyFill="1" applyBorder="1" applyAlignment="1">
      <alignment horizontal="center"/>
    </xf>
    <xf numFmtId="165" fontId="6" fillId="16" borderId="34" xfId="1" applyNumberFormat="1" applyFont="1" applyFill="1" applyBorder="1"/>
    <xf numFmtId="165" fontId="15" fillId="16" borderId="6" xfId="1" applyNumberFormat="1" applyFont="1" applyFill="1" applyBorder="1" applyAlignment="1">
      <alignment horizontal="center"/>
    </xf>
    <xf numFmtId="165" fontId="4" fillId="16" borderId="6" xfId="1" applyNumberFormat="1" applyFont="1" applyFill="1" applyBorder="1" applyAlignment="1">
      <alignment horizontal="center"/>
    </xf>
    <xf numFmtId="165" fontId="9" fillId="16" borderId="6" xfId="1" applyNumberFormat="1" applyFont="1" applyFill="1" applyBorder="1" applyAlignment="1">
      <alignment horizontal="center"/>
    </xf>
    <xf numFmtId="165" fontId="2" fillId="16" borderId="27" xfId="1" applyNumberFormat="1" applyFont="1" applyFill="1" applyBorder="1" applyAlignment="1">
      <alignment horizontal="center"/>
    </xf>
    <xf numFmtId="165" fontId="2" fillId="16" borderId="21" xfId="1" applyNumberFormat="1" applyFont="1" applyFill="1" applyBorder="1" applyAlignment="1">
      <alignment horizontal="center"/>
    </xf>
    <xf numFmtId="49" fontId="2" fillId="16" borderId="21" xfId="1" applyNumberFormat="1" applyFont="1" applyFill="1" applyBorder="1" applyAlignment="1">
      <alignment horizontal="center" wrapText="1"/>
    </xf>
    <xf numFmtId="165" fontId="2" fillId="16" borderId="41" xfId="1" applyNumberFormat="1" applyFont="1" applyFill="1" applyBorder="1" applyAlignment="1">
      <alignment horizontal="center"/>
    </xf>
    <xf numFmtId="165" fontId="12" fillId="16" borderId="13" xfId="1" applyNumberFormat="1" applyFont="1" applyFill="1" applyBorder="1"/>
    <xf numFmtId="165" fontId="9" fillId="16" borderId="33" xfId="1" applyNumberFormat="1" applyFont="1" applyFill="1" applyBorder="1"/>
    <xf numFmtId="165" fontId="58" fillId="16" borderId="33" xfId="1" applyNumberFormat="1" applyFont="1" applyFill="1" applyBorder="1"/>
    <xf numFmtId="165" fontId="58" fillId="16" borderId="42" xfId="1" applyNumberFormat="1" applyFont="1" applyFill="1" applyBorder="1"/>
    <xf numFmtId="165" fontId="12" fillId="16" borderId="7" xfId="1" applyNumberFormat="1" applyFont="1" applyFill="1" applyBorder="1"/>
    <xf numFmtId="165" fontId="58" fillId="16" borderId="6" xfId="1" applyNumberFormat="1" applyFont="1" applyFill="1" applyBorder="1"/>
    <xf numFmtId="165" fontId="58" fillId="16" borderId="34" xfId="1" applyNumberFormat="1" applyFont="1" applyFill="1" applyBorder="1"/>
    <xf numFmtId="165" fontId="50" fillId="16" borderId="7" xfId="1" applyNumberFormat="1" applyFont="1" applyFill="1" applyBorder="1"/>
    <xf numFmtId="165" fontId="13" fillId="16" borderId="6" xfId="1" applyNumberFormat="1" applyFont="1" applyFill="1" applyBorder="1"/>
    <xf numFmtId="165" fontId="2" fillId="16" borderId="6" xfId="1" applyNumberFormat="1" applyFont="1" applyFill="1" applyBorder="1"/>
    <xf numFmtId="165" fontId="2" fillId="16" borderId="34" xfId="1" applyNumberFormat="1" applyFont="1" applyFill="1" applyBorder="1"/>
    <xf numFmtId="165" fontId="50" fillId="16" borderId="8" xfId="1" applyNumberFormat="1" applyFont="1" applyFill="1" applyBorder="1"/>
    <xf numFmtId="165" fontId="2" fillId="16" borderId="9" xfId="1" applyNumberFormat="1" applyFont="1" applyFill="1" applyBorder="1"/>
    <xf numFmtId="165" fontId="50" fillId="16" borderId="9" xfId="1" applyNumberFormat="1" applyFont="1" applyFill="1" applyBorder="1"/>
    <xf numFmtId="165" fontId="50" fillId="16" borderId="31" xfId="1" applyNumberFormat="1" applyFont="1" applyFill="1" applyBorder="1"/>
    <xf numFmtId="164" fontId="14" fillId="7" borderId="56" xfId="0" applyNumberFormat="1" applyFont="1" applyFill="1" applyBorder="1" applyAlignment="1">
      <alignment horizontal="right"/>
    </xf>
    <xf numFmtId="0" fontId="0" fillId="7" borderId="60" xfId="0" applyFill="1" applyBorder="1"/>
    <xf numFmtId="0" fontId="14" fillId="0" borderId="6" xfId="0" applyFont="1" applyFill="1" applyBorder="1" applyAlignment="1">
      <alignment horizontal="right"/>
    </xf>
    <xf numFmtId="0" fontId="14" fillId="0" borderId="7" xfId="0" applyFont="1" applyBorder="1"/>
    <xf numFmtId="0" fontId="2" fillId="0" borderId="6" xfId="0" applyFont="1" applyFill="1" applyBorder="1"/>
    <xf numFmtId="0" fontId="1" fillId="13" borderId="7" xfId="0" applyFont="1" applyFill="1" applyBorder="1"/>
    <xf numFmtId="0" fontId="0" fillId="13" borderId="6" xfId="0" applyFill="1" applyBorder="1"/>
    <xf numFmtId="0" fontId="1" fillId="0" borderId="17" xfId="0" applyFont="1" applyBorder="1" applyAlignment="1">
      <alignment horizontal="left"/>
    </xf>
    <xf numFmtId="0" fontId="1" fillId="0" borderId="17" xfId="0" applyFont="1" applyBorder="1"/>
    <xf numFmtId="0" fontId="4" fillId="0" borderId="37" xfId="0" applyFont="1" applyBorder="1"/>
    <xf numFmtId="165" fontId="0" fillId="0" borderId="60" xfId="1" applyNumberFormat="1" applyFont="1" applyBorder="1"/>
    <xf numFmtId="0" fontId="15" fillId="10" borderId="27" xfId="0" applyFont="1" applyFill="1" applyBorder="1"/>
    <xf numFmtId="0" fontId="4" fillId="10" borderId="21" xfId="0" applyFont="1" applyFill="1" applyBorder="1"/>
    <xf numFmtId="165" fontId="9" fillId="8" borderId="42" xfId="1" applyNumberFormat="1" applyFont="1" applyFill="1" applyBorder="1"/>
    <xf numFmtId="165" fontId="5" fillId="12" borderId="34" xfId="1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8" borderId="5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79" fillId="0" borderId="0" xfId="0" applyNumberFormat="1" applyFont="1" applyAlignment="1">
      <alignment horizontal="left"/>
    </xf>
    <xf numFmtId="0" fontId="79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1" fillId="9" borderId="23" xfId="0" applyFont="1" applyFill="1" applyBorder="1" applyAlignment="1">
      <alignment horizontal="center" vertical="center" wrapText="1"/>
    </xf>
    <xf numFmtId="0" fontId="61" fillId="9" borderId="65" xfId="0" applyFont="1" applyFill="1" applyBorder="1" applyAlignment="1">
      <alignment horizontal="center" vertical="center" wrapText="1"/>
    </xf>
    <xf numFmtId="0" fontId="52" fillId="17" borderId="23" xfId="0" applyFont="1" applyFill="1" applyBorder="1" applyAlignment="1">
      <alignment horizontal="center" vertical="center" wrapText="1"/>
    </xf>
    <xf numFmtId="0" fontId="52" fillId="17" borderId="65" xfId="0" applyFont="1" applyFill="1" applyBorder="1" applyAlignment="1">
      <alignment horizontal="center" vertical="center" wrapText="1"/>
    </xf>
    <xf numFmtId="0" fontId="61" fillId="9" borderId="3" xfId="0" applyFont="1" applyFill="1" applyBorder="1" applyAlignment="1">
      <alignment horizontal="center" vertical="center" wrapText="1"/>
    </xf>
    <xf numFmtId="0" fontId="61" fillId="9" borderId="54" xfId="0" applyFont="1" applyFill="1" applyBorder="1" applyAlignment="1">
      <alignment horizontal="center" vertical="center" wrapText="1"/>
    </xf>
    <xf numFmtId="0" fontId="52" fillId="17" borderId="3" xfId="0" applyFont="1" applyFill="1" applyBorder="1" applyAlignment="1">
      <alignment horizontal="center" vertical="center" wrapText="1"/>
    </xf>
    <xf numFmtId="0" fontId="52" fillId="17" borderId="54" xfId="0" applyFont="1" applyFill="1" applyBorder="1" applyAlignment="1">
      <alignment horizontal="center" vertical="center" wrapText="1"/>
    </xf>
    <xf numFmtId="165" fontId="4" fillId="18" borderId="19" xfId="1" applyNumberFormat="1" applyFont="1" applyFill="1" applyBorder="1"/>
    <xf numFmtId="1" fontId="4" fillId="0" borderId="30" xfId="0" applyNumberFormat="1" applyFont="1" applyBorder="1"/>
    <xf numFmtId="1" fontId="15" fillId="2" borderId="21" xfId="0" applyNumberFormat="1" applyFont="1" applyFill="1" applyBorder="1"/>
    <xf numFmtId="1" fontId="60" fillId="0" borderId="0" xfId="0" applyNumberFormat="1" applyFont="1"/>
    <xf numFmtId="165" fontId="0" fillId="0" borderId="0" xfId="0" applyNumberFormat="1"/>
    <xf numFmtId="0" fontId="15" fillId="0" borderId="26" xfId="0" applyFont="1" applyBorder="1"/>
    <xf numFmtId="0" fontId="15" fillId="0" borderId="7" xfId="0" applyFont="1" applyBorder="1"/>
    <xf numFmtId="0" fontId="8" fillId="2" borderId="27" xfId="0" applyFont="1" applyFill="1" applyBorder="1"/>
    <xf numFmtId="1" fontId="15" fillId="2" borderId="41" xfId="0" applyNumberFormat="1" applyFont="1" applyFill="1" applyBorder="1"/>
    <xf numFmtId="0" fontId="16" fillId="19" borderId="27" xfId="0" applyFont="1" applyFill="1" applyBorder="1"/>
    <xf numFmtId="165" fontId="16" fillId="19" borderId="21" xfId="0" applyNumberFormat="1" applyFont="1" applyFill="1" applyBorder="1"/>
    <xf numFmtId="165" fontId="16" fillId="19" borderId="41" xfId="0" applyNumberFormat="1" applyFont="1" applyFill="1" applyBorder="1"/>
    <xf numFmtId="0" fontId="28" fillId="8" borderId="6" xfId="0" applyFont="1" applyFill="1" applyBorder="1"/>
    <xf numFmtId="0" fontId="28" fillId="0" borderId="13" xfId="0" applyFont="1" applyBorder="1" applyAlignment="1">
      <alignment horizontal="center"/>
    </xf>
    <xf numFmtId="165" fontId="28" fillId="0" borderId="33" xfId="0" applyNumberFormat="1" applyFont="1" applyBorder="1"/>
    <xf numFmtId="0" fontId="28" fillId="0" borderId="33" xfId="0" applyFont="1" applyBorder="1"/>
    <xf numFmtId="0" fontId="28" fillId="0" borderId="42" xfId="0" applyFont="1" applyBorder="1"/>
    <xf numFmtId="0" fontId="28" fillId="0" borderId="7" xfId="0" applyFont="1" applyBorder="1" applyAlignment="1">
      <alignment horizontal="center"/>
    </xf>
    <xf numFmtId="0" fontId="28" fillId="0" borderId="34" xfId="0" applyFont="1" applyBorder="1"/>
    <xf numFmtId="0" fontId="28" fillId="8" borderId="7" xfId="0" applyFont="1" applyFill="1" applyBorder="1" applyAlignment="1">
      <alignment horizontal="center"/>
    </xf>
    <xf numFmtId="0" fontId="28" fillId="8" borderId="34" xfId="0" applyFont="1" applyFill="1" applyBorder="1"/>
    <xf numFmtId="0" fontId="28" fillId="0" borderId="8" xfId="0" applyFont="1" applyBorder="1" applyAlignment="1">
      <alignment horizontal="center"/>
    </xf>
    <xf numFmtId="0" fontId="28" fillId="0" borderId="9" xfId="0" applyFont="1" applyBorder="1"/>
    <xf numFmtId="0" fontId="28" fillId="0" borderId="31" xfId="0" applyFont="1" applyBorder="1"/>
    <xf numFmtId="0" fontId="59" fillId="0" borderId="0" xfId="0" applyFont="1" applyFill="1" applyBorder="1" applyAlignment="1"/>
    <xf numFmtId="165" fontId="15" fillId="0" borderId="4" xfId="1" applyNumberFormat="1" applyFont="1" applyFill="1" applyBorder="1"/>
    <xf numFmtId="165" fontId="15" fillId="11" borderId="23" xfId="1" applyNumberFormat="1" applyFont="1" applyFill="1" applyBorder="1"/>
    <xf numFmtId="0" fontId="15" fillId="0" borderId="33" xfId="0" applyFont="1" applyBorder="1"/>
    <xf numFmtId="49" fontId="15" fillId="0" borderId="33" xfId="0" applyNumberFormat="1" applyFont="1" applyBorder="1" applyAlignment="1">
      <alignment horizontal="right"/>
    </xf>
    <xf numFmtId="165" fontId="4" fillId="0" borderId="52" xfId="1" applyNumberFormat="1" applyFont="1" applyBorder="1"/>
    <xf numFmtId="165" fontId="4" fillId="0" borderId="33" xfId="1" applyNumberFormat="1" applyFont="1" applyFill="1" applyBorder="1"/>
    <xf numFmtId="3" fontId="4" fillId="0" borderId="33" xfId="0" applyNumberFormat="1" applyFont="1" applyBorder="1"/>
    <xf numFmtId="165" fontId="4" fillId="0" borderId="70" xfId="1" applyNumberFormat="1" applyFont="1" applyBorder="1"/>
    <xf numFmtId="165" fontId="15" fillId="0" borderId="70" xfId="1" applyNumberFormat="1" applyFont="1" applyBorder="1"/>
    <xf numFmtId="165" fontId="15" fillId="10" borderId="28" xfId="1" applyNumberFormat="1" applyFont="1" applyFill="1" applyBorder="1"/>
    <xf numFmtId="165" fontId="4" fillId="10" borderId="23" xfId="1" applyNumberFormat="1" applyFont="1" applyFill="1" applyBorder="1"/>
    <xf numFmtId="0" fontId="14" fillId="0" borderId="19" xfId="0" applyFont="1" applyFill="1" applyBorder="1" applyAlignment="1">
      <alignment horizontal="right"/>
    </xf>
    <xf numFmtId="165" fontId="10" fillId="0" borderId="19" xfId="1" applyNumberFormat="1" applyFont="1" applyFill="1" applyBorder="1"/>
    <xf numFmtId="165" fontId="10" fillId="0" borderId="6" xfId="1" applyNumberFormat="1" applyFont="1" applyFill="1" applyBorder="1"/>
    <xf numFmtId="0" fontId="4" fillId="0" borderId="0" xfId="0" applyFont="1"/>
    <xf numFmtId="3" fontId="4" fillId="0" borderId="0" xfId="0" applyNumberFormat="1" applyFont="1"/>
    <xf numFmtId="0" fontId="82" fillId="0" borderId="0" xfId="0" applyFont="1"/>
    <xf numFmtId="0" fontId="4" fillId="9" borderId="53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3" xfId="0" applyFont="1" applyBorder="1"/>
    <xf numFmtId="0" fontId="4" fillId="0" borderId="33" xfId="0" applyFont="1" applyBorder="1" applyAlignment="1">
      <alignment horizontal="center"/>
    </xf>
    <xf numFmtId="165" fontId="4" fillId="0" borderId="42" xfId="1" applyNumberFormat="1" applyFont="1" applyBorder="1"/>
    <xf numFmtId="0" fontId="4" fillId="0" borderId="7" xfId="0" applyFont="1" applyBorder="1" applyAlignment="1">
      <alignment horizontal="center"/>
    </xf>
    <xf numFmtId="0" fontId="81" fillId="0" borderId="6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165" fontId="4" fillId="0" borderId="31" xfId="1" applyNumberFormat="1" applyFont="1" applyBorder="1"/>
    <xf numFmtId="0" fontId="4" fillId="7" borderId="5" xfId="0" applyFont="1" applyFill="1" applyBorder="1"/>
    <xf numFmtId="165" fontId="4" fillId="7" borderId="5" xfId="1" applyNumberFormat="1" applyFont="1" applyFill="1" applyBorder="1" applyAlignment="1">
      <alignment horizontal="right"/>
    </xf>
    <xf numFmtId="0" fontId="83" fillId="0" borderId="0" xfId="0" applyFont="1"/>
    <xf numFmtId="0" fontId="84" fillId="0" borderId="0" xfId="0" applyFont="1"/>
    <xf numFmtId="165" fontId="4" fillId="0" borderId="8" xfId="1" applyNumberFormat="1" applyFont="1" applyBorder="1"/>
    <xf numFmtId="165" fontId="4" fillId="0" borderId="9" xfId="1" applyNumberFormat="1" applyFont="1" applyBorder="1"/>
    <xf numFmtId="0" fontId="2" fillId="19" borderId="0" xfId="0" applyFont="1" applyFill="1" applyBorder="1"/>
    <xf numFmtId="0" fontId="2" fillId="7" borderId="0" xfId="0" applyFont="1" applyFill="1" applyBorder="1"/>
    <xf numFmtId="3" fontId="2" fillId="19" borderId="0" xfId="0" applyNumberFormat="1" applyFont="1" applyFill="1" applyBorder="1"/>
    <xf numFmtId="0" fontId="0" fillId="19" borderId="1" xfId="0" applyFill="1" applyBorder="1"/>
    <xf numFmtId="0" fontId="0" fillId="19" borderId="0" xfId="0" applyFill="1" applyBorder="1"/>
    <xf numFmtId="0" fontId="0" fillId="19" borderId="2" xfId="0" applyFill="1" applyBorder="1"/>
    <xf numFmtId="0" fontId="0" fillId="19" borderId="3" xfId="0" applyFill="1" applyBorder="1"/>
    <xf numFmtId="0" fontId="0" fillId="19" borderId="4" xfId="0" applyFill="1" applyBorder="1"/>
    <xf numFmtId="0" fontId="0" fillId="19" borderId="5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" xfId="0" applyFill="1" applyBorder="1"/>
    <xf numFmtId="0" fontId="0" fillId="7" borderId="0" xfId="0" applyFill="1" applyBorder="1"/>
    <xf numFmtId="0" fontId="0" fillId="7" borderId="2" xfId="0" applyFill="1" applyBorder="1"/>
    <xf numFmtId="165" fontId="0" fillId="7" borderId="0" xfId="1" applyNumberFormat="1" applyFont="1" applyFill="1" applyBorder="1"/>
    <xf numFmtId="165" fontId="2" fillId="7" borderId="23" xfId="1" applyNumberFormat="1" applyFont="1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20" borderId="10" xfId="0" applyFill="1" applyBorder="1"/>
    <xf numFmtId="0" fontId="0" fillId="20" borderId="11" xfId="0" applyFill="1" applyBorder="1"/>
    <xf numFmtId="0" fontId="0" fillId="20" borderId="12" xfId="0" applyFill="1" applyBorder="1"/>
    <xf numFmtId="0" fontId="0" fillId="20" borderId="1" xfId="0" applyFill="1" applyBorder="1"/>
    <xf numFmtId="0" fontId="0" fillId="20" borderId="0" xfId="0" applyFill="1" applyBorder="1"/>
    <xf numFmtId="0" fontId="0" fillId="20" borderId="2" xfId="0" applyFill="1" applyBorder="1"/>
    <xf numFmtId="165" fontId="0" fillId="20" borderId="0" xfId="1" applyNumberFormat="1" applyFont="1" applyFill="1" applyBorder="1"/>
    <xf numFmtId="165" fontId="0" fillId="7" borderId="23" xfId="1" applyNumberFormat="1" applyFont="1" applyFill="1" applyBorder="1"/>
    <xf numFmtId="0" fontId="1" fillId="20" borderId="0" xfId="0" applyFont="1" applyFill="1" applyBorder="1"/>
    <xf numFmtId="0" fontId="85" fillId="20" borderId="0" xfId="0" applyFont="1" applyFill="1" applyBorder="1"/>
    <xf numFmtId="0" fontId="0" fillId="20" borderId="3" xfId="0" applyFill="1" applyBorder="1"/>
    <xf numFmtId="0" fontId="0" fillId="20" borderId="4" xfId="0" applyFill="1" applyBorder="1"/>
    <xf numFmtId="0" fontId="0" fillId="20" borderId="5" xfId="0" applyFill="1" applyBorder="1"/>
    <xf numFmtId="165" fontId="0" fillId="19" borderId="6" xfId="1" applyNumberFormat="1" applyFont="1" applyFill="1" applyBorder="1"/>
    <xf numFmtId="0" fontId="2" fillId="7" borderId="65" xfId="0" applyFont="1" applyFill="1" applyBorder="1"/>
    <xf numFmtId="165" fontId="2" fillId="11" borderId="23" xfId="1" applyNumberFormat="1" applyFont="1" applyFill="1" applyBorder="1"/>
    <xf numFmtId="0" fontId="0" fillId="7" borderId="23" xfId="0" applyFill="1" applyBorder="1"/>
    <xf numFmtId="43" fontId="2" fillId="7" borderId="21" xfId="0" applyNumberFormat="1" applyFont="1" applyFill="1" applyBorder="1"/>
    <xf numFmtId="0" fontId="1" fillId="0" borderId="33" xfId="0" applyFont="1" applyBorder="1"/>
    <xf numFmtId="43" fontId="0" fillId="0" borderId="33" xfId="0" applyNumberFormat="1" applyBorder="1"/>
    <xf numFmtId="0" fontId="1" fillId="0" borderId="74" xfId="0" applyFont="1" applyBorder="1"/>
    <xf numFmtId="0" fontId="0" fillId="0" borderId="29" xfId="0" applyBorder="1"/>
    <xf numFmtId="0" fontId="2" fillId="8" borderId="41" xfId="0" applyFont="1" applyFill="1" applyBorder="1" applyAlignment="1">
      <alignment horizontal="center"/>
    </xf>
    <xf numFmtId="165" fontId="2" fillId="8" borderId="41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7" xfId="0" applyFill="1" applyBorder="1"/>
    <xf numFmtId="165" fontId="30" fillId="0" borderId="13" xfId="1" applyNumberFormat="1" applyFont="1" applyBorder="1"/>
    <xf numFmtId="165" fontId="30" fillId="0" borderId="42" xfId="1" applyNumberFormat="1" applyFont="1" applyBorder="1"/>
    <xf numFmtId="165" fontId="30" fillId="0" borderId="8" xfId="1" applyNumberFormat="1" applyFont="1" applyBorder="1"/>
    <xf numFmtId="165" fontId="30" fillId="5" borderId="66" xfId="1" applyNumberFormat="1" applyFont="1" applyFill="1" applyBorder="1"/>
    <xf numFmtId="165" fontId="4" fillId="5" borderId="66" xfId="1" applyNumberFormat="1" applyFont="1" applyFill="1" applyBorder="1" applyAlignment="1">
      <alignment horizontal="center"/>
    </xf>
    <xf numFmtId="165" fontId="4" fillId="5" borderId="2" xfId="1" applyNumberFormat="1" applyFont="1" applyFill="1" applyBorder="1" applyAlignment="1">
      <alignment horizontal="center"/>
    </xf>
    <xf numFmtId="165" fontId="30" fillId="0" borderId="34" xfId="1" applyNumberFormat="1" applyFont="1" applyBorder="1"/>
    <xf numFmtId="165" fontId="30" fillId="0" borderId="31" xfId="1" applyNumberFormat="1" applyFont="1" applyBorder="1"/>
    <xf numFmtId="165" fontId="48" fillId="0" borderId="6" xfId="1" applyNumberFormat="1" applyFont="1" applyBorder="1"/>
    <xf numFmtId="165" fontId="48" fillId="0" borderId="42" xfId="1" applyNumberFormat="1" applyFont="1" applyBorder="1"/>
    <xf numFmtId="165" fontId="48" fillId="0" borderId="34" xfId="1" applyNumberFormat="1" applyFont="1" applyBorder="1"/>
    <xf numFmtId="41" fontId="49" fillId="19" borderId="56" xfId="0" applyNumberFormat="1" applyFont="1" applyFill="1" applyBorder="1"/>
    <xf numFmtId="165" fontId="0" fillId="12" borderId="42" xfId="1" applyNumberFormat="1" applyFont="1" applyFill="1" applyBorder="1"/>
    <xf numFmtId="165" fontId="0" fillId="12" borderId="34" xfId="1" applyNumberFormat="1" applyFont="1" applyFill="1" applyBorder="1"/>
    <xf numFmtId="165" fontId="65" fillId="12" borderId="34" xfId="1" applyNumberFormat="1" applyFont="1" applyFill="1" applyBorder="1"/>
    <xf numFmtId="165" fontId="65" fillId="13" borderId="34" xfId="1" applyNumberFormat="1" applyFont="1" applyFill="1" applyBorder="1"/>
    <xf numFmtId="165" fontId="2" fillId="2" borderId="60" xfId="1" applyNumberFormat="1" applyFont="1" applyFill="1" applyBorder="1"/>
    <xf numFmtId="165" fontId="30" fillId="0" borderId="13" xfId="1" applyNumberFormat="1" applyFont="1" applyFill="1" applyBorder="1"/>
    <xf numFmtId="165" fontId="30" fillId="0" borderId="33" xfId="1" applyNumberFormat="1" applyFont="1" applyFill="1" applyBorder="1"/>
    <xf numFmtId="165" fontId="30" fillId="0" borderId="42" xfId="1" applyNumberFormat="1" applyFont="1" applyFill="1" applyBorder="1"/>
    <xf numFmtId="165" fontId="30" fillId="0" borderId="7" xfId="1" applyNumberFormat="1" applyFont="1" applyFill="1" applyBorder="1"/>
    <xf numFmtId="165" fontId="30" fillId="0" borderId="34" xfId="1" applyNumberFormat="1" applyFont="1" applyFill="1" applyBorder="1"/>
    <xf numFmtId="0" fontId="2" fillId="3" borderId="44" xfId="0" applyFont="1" applyFill="1" applyBorder="1" applyAlignment="1">
      <alignment horizontal="center"/>
    </xf>
    <xf numFmtId="3" fontId="15" fillId="3" borderId="45" xfId="0" applyNumberFormat="1" applyFont="1" applyFill="1" applyBorder="1" applyAlignment="1">
      <alignment horizontal="right"/>
    </xf>
    <xf numFmtId="3" fontId="15" fillId="0" borderId="6" xfId="0" applyNumberFormat="1" applyFont="1" applyBorder="1" applyAlignment="1">
      <alignment horizontal="right"/>
    </xf>
    <xf numFmtId="165" fontId="0" fillId="4" borderId="42" xfId="1" applyNumberFormat="1" applyFont="1" applyFill="1" applyBorder="1"/>
    <xf numFmtId="165" fontId="66" fillId="0" borderId="34" xfId="1" applyNumberFormat="1" applyFont="1" applyBorder="1"/>
    <xf numFmtId="165" fontId="4" fillId="4" borderId="34" xfId="1" applyNumberFormat="1" applyFont="1" applyFill="1" applyBorder="1"/>
    <xf numFmtId="165" fontId="15" fillId="4" borderId="34" xfId="1" applyNumberFormat="1" applyFont="1" applyFill="1" applyBorder="1"/>
    <xf numFmtId="165" fontId="15" fillId="4" borderId="31" xfId="1" applyNumberFormat="1" applyFont="1" applyFill="1" applyBorder="1"/>
    <xf numFmtId="0" fontId="45" fillId="0" borderId="33" xfId="0" applyFont="1" applyFill="1" applyBorder="1" applyAlignment="1">
      <alignment vertical="justify"/>
    </xf>
    <xf numFmtId="0" fontId="45" fillId="0" borderId="42" xfId="0" applyFont="1" applyFill="1" applyBorder="1" applyAlignment="1">
      <alignment vertical="justify"/>
    </xf>
    <xf numFmtId="0" fontId="30" fillId="19" borderId="27" xfId="0" applyFont="1" applyFill="1" applyBorder="1" applyAlignment="1">
      <alignment vertical="justify"/>
    </xf>
    <xf numFmtId="3" fontId="43" fillId="19" borderId="21" xfId="0" applyNumberFormat="1" applyFont="1" applyFill="1" applyBorder="1" applyAlignment="1">
      <alignment vertical="center"/>
    </xf>
    <xf numFmtId="3" fontId="43" fillId="19" borderId="41" xfId="0" applyNumberFormat="1" applyFont="1" applyFill="1" applyBorder="1" applyAlignment="1">
      <alignment vertical="center"/>
    </xf>
    <xf numFmtId="0" fontId="87" fillId="0" borderId="13" xfId="0" applyFont="1" applyFill="1" applyBorder="1" applyAlignment="1">
      <alignment vertical="justify"/>
    </xf>
    <xf numFmtId="0" fontId="4" fillId="0" borderId="7" xfId="0" applyFont="1" applyFill="1" applyBorder="1" applyAlignment="1">
      <alignment vertical="justify"/>
    </xf>
    <xf numFmtId="3" fontId="1" fillId="0" borderId="6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justify"/>
    </xf>
    <xf numFmtId="3" fontId="1" fillId="0" borderId="9" xfId="0" applyNumberFormat="1" applyFont="1" applyFill="1" applyBorder="1" applyAlignment="1">
      <alignment vertical="center"/>
    </xf>
    <xf numFmtId="3" fontId="1" fillId="0" borderId="31" xfId="0" applyNumberFormat="1" applyFont="1" applyFill="1" applyBorder="1" applyAlignment="1">
      <alignment vertical="center"/>
    </xf>
    <xf numFmtId="0" fontId="44" fillId="8" borderId="27" xfId="0" applyFont="1" applyFill="1" applyBorder="1" applyAlignment="1">
      <alignment vertical="justify"/>
    </xf>
    <xf numFmtId="0" fontId="40" fillId="8" borderId="21" xfId="0" applyFont="1" applyFill="1" applyBorder="1" applyAlignment="1">
      <alignment vertical="justify"/>
    </xf>
    <xf numFmtId="0" fontId="40" fillId="8" borderId="41" xfId="0" applyFont="1" applyFill="1" applyBorder="1" applyAlignment="1">
      <alignment vertical="justify"/>
    </xf>
    <xf numFmtId="0" fontId="4" fillId="19" borderId="27" xfId="0" applyFont="1" applyFill="1" applyBorder="1"/>
    <xf numFmtId="0" fontId="64" fillId="19" borderId="21" xfId="0" applyFont="1" applyFill="1" applyBorder="1" applyAlignment="1">
      <alignment wrapText="1"/>
    </xf>
    <xf numFmtId="0" fontId="4" fillId="7" borderId="27" xfId="0" applyFont="1" applyFill="1" applyBorder="1"/>
    <xf numFmtId="0" fontId="64" fillId="7" borderId="21" xfId="0" applyFont="1" applyFill="1" applyBorder="1" applyAlignment="1">
      <alignment wrapText="1"/>
    </xf>
    <xf numFmtId="0" fontId="51" fillId="0" borderId="6" xfId="0" applyFont="1" applyFill="1" applyBorder="1"/>
    <xf numFmtId="0" fontId="64" fillId="8" borderId="30" xfId="0" applyFont="1" applyFill="1" applyBorder="1"/>
    <xf numFmtId="0" fontId="15" fillId="7" borderId="43" xfId="0" applyFont="1" applyFill="1" applyBorder="1" applyAlignment="1">
      <alignment horizontal="center"/>
    </xf>
    <xf numFmtId="0" fontId="15" fillId="7" borderId="44" xfId="0" applyFont="1" applyFill="1" applyBorder="1" applyAlignment="1">
      <alignment horizontal="center"/>
    </xf>
    <xf numFmtId="49" fontId="15" fillId="7" borderId="44" xfId="0" applyNumberFormat="1" applyFont="1" applyFill="1" applyBorder="1" applyAlignment="1">
      <alignment horizontal="center" wrapText="1"/>
    </xf>
    <xf numFmtId="3" fontId="15" fillId="7" borderId="44" xfId="0" applyNumberFormat="1" applyFont="1" applyFill="1" applyBorder="1" applyAlignment="1">
      <alignment horizontal="center" wrapText="1"/>
    </xf>
    <xf numFmtId="3" fontId="15" fillId="7" borderId="45" xfId="0" applyNumberFormat="1" applyFont="1" applyFill="1" applyBorder="1" applyAlignment="1">
      <alignment horizontal="center"/>
    </xf>
    <xf numFmtId="0" fontId="51" fillId="0" borderId="30" xfId="0" applyFont="1" applyFill="1" applyBorder="1"/>
    <xf numFmtId="0" fontId="64" fillId="8" borderId="19" xfId="0" applyFont="1" applyFill="1" applyBorder="1"/>
    <xf numFmtId="0" fontId="51" fillId="0" borderId="19" xfId="0" applyFont="1" applyFill="1" applyBorder="1"/>
    <xf numFmtId="0" fontId="4" fillId="8" borderId="26" xfId="0" applyFont="1" applyFill="1" applyBorder="1"/>
    <xf numFmtId="0" fontId="4" fillId="8" borderId="35" xfId="0" applyFont="1" applyFill="1" applyBorder="1"/>
    <xf numFmtId="165" fontId="51" fillId="7" borderId="21" xfId="1" applyNumberFormat="1" applyFont="1" applyFill="1" applyBorder="1"/>
    <xf numFmtId="165" fontId="51" fillId="7" borderId="41" xfId="1" applyNumberFormat="1" applyFont="1" applyFill="1" applyBorder="1"/>
    <xf numFmtId="165" fontId="51" fillId="8" borderId="19" xfId="1" applyNumberFormat="1" applyFont="1" applyFill="1" applyBorder="1"/>
    <xf numFmtId="165" fontId="51" fillId="8" borderId="36" xfId="1" applyNumberFormat="1" applyFont="1" applyFill="1" applyBorder="1"/>
    <xf numFmtId="165" fontId="51" fillId="8" borderId="30" xfId="1" applyNumberFormat="1" applyFont="1" applyFill="1" applyBorder="1"/>
    <xf numFmtId="165" fontId="51" fillId="8" borderId="61" xfId="1" applyNumberFormat="1" applyFont="1" applyFill="1" applyBorder="1"/>
    <xf numFmtId="165" fontId="51" fillId="0" borderId="6" xfId="1" applyNumberFormat="1" applyFont="1" applyFill="1" applyBorder="1"/>
    <xf numFmtId="165" fontId="51" fillId="0" borderId="34" xfId="1" applyNumberFormat="1" applyFont="1" applyFill="1" applyBorder="1"/>
    <xf numFmtId="165" fontId="51" fillId="0" borderId="30" xfId="1" applyNumberFormat="1" applyFont="1" applyFill="1" applyBorder="1"/>
    <xf numFmtId="165" fontId="51" fillId="0" borderId="61" xfId="1" applyNumberFormat="1" applyFont="1" applyFill="1" applyBorder="1"/>
    <xf numFmtId="165" fontId="51" fillId="0" borderId="19" xfId="1" applyNumberFormat="1" applyFont="1" applyFill="1" applyBorder="1"/>
    <xf numFmtId="165" fontId="51" fillId="0" borderId="36" xfId="1" applyNumberFormat="1" applyFont="1" applyFill="1" applyBorder="1"/>
    <xf numFmtId="165" fontId="51" fillId="19" borderId="21" xfId="1" applyNumberFormat="1" applyFont="1" applyFill="1" applyBorder="1"/>
    <xf numFmtId="165" fontId="51" fillId="19" borderId="41" xfId="1" applyNumberFormat="1" applyFont="1" applyFill="1" applyBorder="1"/>
    <xf numFmtId="165" fontId="50" fillId="14" borderId="43" xfId="1" applyNumberFormat="1" applyFont="1" applyFill="1" applyBorder="1"/>
    <xf numFmtId="165" fontId="13" fillId="14" borderId="44" xfId="1" applyNumberFormat="1" applyFont="1" applyFill="1" applyBorder="1"/>
    <xf numFmtId="165" fontId="50" fillId="14" borderId="44" xfId="1" applyNumberFormat="1" applyFont="1" applyFill="1" applyBorder="1"/>
    <xf numFmtId="165" fontId="50" fillId="14" borderId="45" xfId="1" applyNumberFormat="1" applyFont="1" applyFill="1" applyBorder="1"/>
    <xf numFmtId="165" fontId="50" fillId="14" borderId="55" xfId="1" applyNumberFormat="1" applyFont="1" applyFill="1" applyBorder="1"/>
    <xf numFmtId="165" fontId="13" fillId="14" borderId="56" xfId="1" applyNumberFormat="1" applyFont="1" applyFill="1" applyBorder="1"/>
    <xf numFmtId="165" fontId="50" fillId="14" borderId="56" xfId="1" applyNumberFormat="1" applyFont="1" applyFill="1" applyBorder="1"/>
    <xf numFmtId="165" fontId="50" fillId="14" borderId="60" xfId="1" applyNumberFormat="1" applyFont="1" applyFill="1" applyBorder="1"/>
    <xf numFmtId="165" fontId="50" fillId="14" borderId="72" xfId="1" applyNumberFormat="1" applyFont="1" applyFill="1" applyBorder="1"/>
    <xf numFmtId="165" fontId="13" fillId="14" borderId="63" xfId="1" applyNumberFormat="1" applyFont="1" applyFill="1" applyBorder="1"/>
    <xf numFmtId="165" fontId="50" fillId="14" borderId="63" xfId="1" applyNumberFormat="1" applyFont="1" applyFill="1" applyBorder="1"/>
    <xf numFmtId="165" fontId="50" fillId="14" borderId="68" xfId="1" applyNumberFormat="1" applyFont="1" applyFill="1" applyBorder="1"/>
    <xf numFmtId="165" fontId="50" fillId="0" borderId="42" xfId="1" applyNumberFormat="1" applyFont="1" applyFill="1" applyBorder="1"/>
    <xf numFmtId="165" fontId="50" fillId="0" borderId="34" xfId="1" applyNumberFormat="1" applyFont="1" applyFill="1" applyBorder="1"/>
    <xf numFmtId="165" fontId="50" fillId="0" borderId="31" xfId="1" applyNumberFormat="1" applyFont="1" applyFill="1" applyBorder="1"/>
    <xf numFmtId="165" fontId="2" fillId="0" borderId="6" xfId="1" applyNumberFormat="1" applyFont="1" applyBorder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165" fontId="2" fillId="8" borderId="33" xfId="1" applyNumberFormat="1" applyFont="1" applyFill="1" applyBorder="1" applyAlignment="1">
      <alignment horizontal="right"/>
    </xf>
    <xf numFmtId="165" fontId="2" fillId="8" borderId="42" xfId="1" applyNumberFormat="1" applyFont="1" applyFill="1" applyBorder="1" applyAlignment="1">
      <alignment horizontal="right"/>
    </xf>
    <xf numFmtId="165" fontId="2" fillId="0" borderId="34" xfId="1" applyNumberFormat="1" applyFont="1" applyBorder="1" applyAlignment="1">
      <alignment horizontal="right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23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2" xfId="0" applyFont="1" applyFill="1" applyBorder="1" applyAlignment="1">
      <alignment horizontal="right"/>
    </xf>
    <xf numFmtId="14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19" borderId="10" xfId="0" applyFont="1" applyFill="1" applyBorder="1"/>
    <xf numFmtId="0" fontId="2" fillId="19" borderId="11" xfId="0" applyFont="1" applyFill="1" applyBorder="1"/>
    <xf numFmtId="0" fontId="2" fillId="19" borderId="12" xfId="0" applyFont="1" applyFill="1" applyBorder="1"/>
    <xf numFmtId="0" fontId="2" fillId="19" borderId="1" xfId="0" applyFont="1" applyFill="1" applyBorder="1"/>
    <xf numFmtId="0" fontId="2" fillId="19" borderId="2" xfId="0" applyFont="1" applyFill="1" applyBorder="1"/>
    <xf numFmtId="0" fontId="2" fillId="19" borderId="0" xfId="0" applyFont="1" applyFill="1" applyBorder="1" applyAlignment="1">
      <alignment horizontal="center"/>
    </xf>
    <xf numFmtId="0" fontId="2" fillId="19" borderId="0" xfId="0" applyFont="1" applyFill="1" applyBorder="1" applyAlignment="1"/>
    <xf numFmtId="0" fontId="25" fillId="19" borderId="0" xfId="0" applyFont="1" applyFill="1" applyBorder="1"/>
    <xf numFmtId="0" fontId="26" fillId="19" borderId="0" xfId="0" applyFont="1" applyFill="1" applyBorder="1" applyAlignment="1"/>
    <xf numFmtId="0" fontId="26" fillId="19" borderId="0" xfId="0" applyFont="1" applyFill="1" applyBorder="1"/>
    <xf numFmtId="0" fontId="3" fillId="19" borderId="0" xfId="0" applyFont="1" applyFill="1" applyBorder="1" applyAlignment="1">
      <alignment horizontal="center"/>
    </xf>
    <xf numFmtId="0" fontId="2" fillId="19" borderId="2" xfId="0" applyFont="1" applyFill="1" applyBorder="1" applyAlignment="1"/>
    <xf numFmtId="0" fontId="14" fillId="8" borderId="12" xfId="0" applyFont="1" applyFill="1" applyBorder="1" applyAlignment="1">
      <alignment horizontal="center"/>
    </xf>
    <xf numFmtId="0" fontId="59" fillId="0" borderId="0" xfId="0" applyFont="1"/>
    <xf numFmtId="0" fontId="60" fillId="0" borderId="0" xfId="0" applyFont="1" applyBorder="1"/>
    <xf numFmtId="49" fontId="60" fillId="0" borderId="0" xfId="0" applyNumberFormat="1" applyFont="1"/>
    <xf numFmtId="0" fontId="60" fillId="0" borderId="23" xfId="0" applyFont="1" applyBorder="1"/>
    <xf numFmtId="0" fontId="61" fillId="0" borderId="55" xfId="0" applyFont="1" applyBorder="1" applyAlignment="1">
      <alignment horizontal="center" vertical="center" wrapText="1"/>
    </xf>
    <xf numFmtId="0" fontId="61" fillId="0" borderId="56" xfId="0" applyFont="1" applyBorder="1" applyAlignment="1">
      <alignment horizontal="center" vertical="center" wrapText="1"/>
    </xf>
    <xf numFmtId="0" fontId="61" fillId="0" borderId="60" xfId="0" applyFont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23" xfId="0" applyFont="1" applyBorder="1" applyAlignment="1">
      <alignment horizontal="center" vertical="center" wrapText="1"/>
    </xf>
    <xf numFmtId="0" fontId="88" fillId="0" borderId="23" xfId="0" applyFont="1" applyBorder="1" applyAlignment="1">
      <alignment horizontal="center" vertical="center" wrapText="1"/>
    </xf>
    <xf numFmtId="0" fontId="88" fillId="0" borderId="65" xfId="0" applyFont="1" applyBorder="1" applyAlignment="1">
      <alignment horizontal="center" vertical="center" wrapText="1"/>
    </xf>
    <xf numFmtId="0" fontId="60" fillId="0" borderId="23" xfId="0" applyFont="1" applyBorder="1" applyAlignment="1">
      <alignment horizontal="center" vertical="center"/>
    </xf>
    <xf numFmtId="0" fontId="89" fillId="0" borderId="19" xfId="0" applyFont="1" applyBorder="1" applyAlignment="1">
      <alignment horizontal="center" vertical="center"/>
    </xf>
    <xf numFmtId="14" fontId="89" fillId="0" borderId="19" xfId="0" applyNumberFormat="1" applyFont="1" applyBorder="1" applyAlignment="1">
      <alignment horizontal="center" vertical="center"/>
    </xf>
    <xf numFmtId="165" fontId="89" fillId="0" borderId="19" xfId="1" applyNumberFormat="1" applyFont="1" applyBorder="1" applyAlignment="1">
      <alignment horizontal="center" vertical="center"/>
    </xf>
    <xf numFmtId="0" fontId="89" fillId="0" borderId="19" xfId="0" applyFont="1" applyFill="1" applyBorder="1" applyAlignment="1">
      <alignment horizontal="center" vertical="center"/>
    </xf>
    <xf numFmtId="0" fontId="89" fillId="0" borderId="6" xfId="0" applyFont="1" applyBorder="1" applyAlignment="1">
      <alignment horizontal="center" vertical="center"/>
    </xf>
    <xf numFmtId="165" fontId="89" fillId="0" borderId="6" xfId="1" applyNumberFormat="1" applyFont="1" applyBorder="1" applyAlignment="1">
      <alignment horizontal="center" vertical="center"/>
    </xf>
    <xf numFmtId="0" fontId="89" fillId="0" borderId="6" xfId="0" applyFont="1" applyFill="1" applyBorder="1" applyAlignment="1">
      <alignment horizontal="center" vertical="center"/>
    </xf>
    <xf numFmtId="14" fontId="89" fillId="0" borderId="6" xfId="0" applyNumberFormat="1" applyFont="1" applyBorder="1" applyAlignment="1">
      <alignment horizontal="center" vertical="center"/>
    </xf>
    <xf numFmtId="165" fontId="61" fillId="0" borderId="23" xfId="1" applyNumberFormat="1" applyFont="1" applyBorder="1"/>
    <xf numFmtId="165" fontId="61" fillId="0" borderId="23" xfId="0" applyNumberFormat="1" applyFont="1" applyBorder="1"/>
    <xf numFmtId="165" fontId="60" fillId="0" borderId="23" xfId="1" applyNumberFormat="1" applyFont="1" applyBorder="1"/>
    <xf numFmtId="165" fontId="61" fillId="0" borderId="23" xfId="0" applyNumberFormat="1" applyFont="1" applyFill="1" applyBorder="1"/>
    <xf numFmtId="165" fontId="60" fillId="0" borderId="23" xfId="1" applyNumberFormat="1" applyFont="1" applyFill="1" applyBorder="1"/>
    <xf numFmtId="0" fontId="90" fillId="0" borderId="23" xfId="0" applyFont="1" applyBorder="1" applyAlignment="1">
      <alignment horizontal="center"/>
    </xf>
    <xf numFmtId="165" fontId="60" fillId="0" borderId="0" xfId="0" applyNumberFormat="1" applyFont="1"/>
    <xf numFmtId="0" fontId="88" fillId="0" borderId="0" xfId="0" applyFont="1"/>
    <xf numFmtId="43" fontId="60" fillId="0" borderId="0" xfId="0" applyNumberFormat="1" applyFont="1"/>
    <xf numFmtId="165" fontId="89" fillId="0" borderId="19" xfId="1" applyNumberFormat="1" applyFont="1" applyFill="1" applyBorder="1" applyAlignment="1">
      <alignment horizontal="center" vertical="center"/>
    </xf>
    <xf numFmtId="165" fontId="89" fillId="0" borderId="6" xfId="1" applyNumberFormat="1" applyFont="1" applyFill="1" applyBorder="1" applyAlignment="1">
      <alignment horizontal="center" vertical="center"/>
    </xf>
    <xf numFmtId="0" fontId="89" fillId="0" borderId="26" xfId="0" applyFont="1" applyBorder="1" applyAlignment="1">
      <alignment horizontal="center" vertical="center"/>
    </xf>
    <xf numFmtId="0" fontId="91" fillId="0" borderId="19" xfId="0" applyFont="1" applyBorder="1" applyAlignment="1">
      <alignment horizontal="center" vertical="center"/>
    </xf>
    <xf numFmtId="0" fontId="89" fillId="0" borderId="36" xfId="0" applyFont="1" applyFill="1" applyBorder="1" applyAlignment="1">
      <alignment horizontal="center" vertical="center"/>
    </xf>
    <xf numFmtId="0" fontId="91" fillId="0" borderId="6" xfId="0" applyFont="1" applyBorder="1" applyAlignment="1">
      <alignment horizontal="center" vertical="center"/>
    </xf>
    <xf numFmtId="49" fontId="91" fillId="0" borderId="6" xfId="0" applyNumberFormat="1" applyFont="1" applyBorder="1" applyAlignment="1">
      <alignment horizontal="center"/>
    </xf>
    <xf numFmtId="0" fontId="89" fillId="0" borderId="7" xfId="0" applyFont="1" applyBorder="1" applyAlignment="1">
      <alignment horizontal="center" vertical="center"/>
    </xf>
    <xf numFmtId="0" fontId="89" fillId="0" borderId="34" xfId="0" applyFont="1" applyFill="1" applyBorder="1" applyAlignment="1">
      <alignment horizontal="center" vertical="center"/>
    </xf>
    <xf numFmtId="0" fontId="92" fillId="0" borderId="19" xfId="0" applyFont="1" applyBorder="1" applyAlignment="1">
      <alignment horizontal="center" vertical="center"/>
    </xf>
    <xf numFmtId="0" fontId="92" fillId="0" borderId="19" xfId="0" applyFont="1" applyFill="1" applyBorder="1" applyAlignment="1">
      <alignment horizontal="center" vertical="center"/>
    </xf>
    <xf numFmtId="0" fontId="92" fillId="0" borderId="36" xfId="0" applyFont="1" applyFill="1" applyBorder="1" applyAlignment="1">
      <alignment horizontal="center" vertical="center"/>
    </xf>
    <xf numFmtId="0" fontId="92" fillId="0" borderId="6" xfId="0" applyFont="1" applyBorder="1" applyAlignment="1">
      <alignment horizontal="center" vertical="center"/>
    </xf>
    <xf numFmtId="0" fontId="92" fillId="0" borderId="6" xfId="0" applyFont="1" applyFill="1" applyBorder="1" applyAlignment="1">
      <alignment horizontal="center" vertical="center"/>
    </xf>
    <xf numFmtId="49" fontId="89" fillId="0" borderId="6" xfId="0" applyNumberFormat="1" applyFont="1" applyBorder="1" applyAlignment="1">
      <alignment horizontal="center"/>
    </xf>
    <xf numFmtId="0" fontId="92" fillId="0" borderId="34" xfId="0" applyFont="1" applyFill="1" applyBorder="1" applyAlignment="1">
      <alignment horizontal="center" vertical="center"/>
    </xf>
    <xf numFmtId="0" fontId="89" fillId="0" borderId="35" xfId="0" applyFont="1" applyBorder="1" applyAlignment="1">
      <alignment horizontal="center" vertical="center"/>
    </xf>
    <xf numFmtId="0" fontId="91" fillId="0" borderId="30" xfId="0" applyFont="1" applyBorder="1" applyAlignment="1">
      <alignment horizontal="center" vertical="center"/>
    </xf>
    <xf numFmtId="0" fontId="89" fillId="0" borderId="30" xfId="0" applyFont="1" applyBorder="1" applyAlignment="1">
      <alignment horizontal="center" vertical="center"/>
    </xf>
    <xf numFmtId="165" fontId="89" fillId="0" borderId="30" xfId="1" applyNumberFormat="1" applyFont="1" applyFill="1" applyBorder="1" applyAlignment="1">
      <alignment horizontal="center" vertical="center"/>
    </xf>
    <xf numFmtId="165" fontId="89" fillId="0" borderId="30" xfId="1" applyNumberFormat="1" applyFont="1" applyBorder="1" applyAlignment="1">
      <alignment horizontal="center" vertical="center"/>
    </xf>
    <xf numFmtId="0" fontId="92" fillId="0" borderId="30" xfId="0" applyFont="1" applyBorder="1" applyAlignment="1">
      <alignment horizontal="center" vertical="center"/>
    </xf>
    <xf numFmtId="0" fontId="92" fillId="0" borderId="30" xfId="0" applyFont="1" applyFill="1" applyBorder="1" applyAlignment="1">
      <alignment horizontal="center" vertical="center"/>
    </xf>
    <xf numFmtId="0" fontId="92" fillId="0" borderId="61" xfId="0" applyFont="1" applyFill="1" applyBorder="1" applyAlignment="1">
      <alignment horizontal="center" vertical="center"/>
    </xf>
    <xf numFmtId="165" fontId="52" fillId="0" borderId="23" xfId="1" applyNumberFormat="1" applyFont="1" applyBorder="1"/>
    <xf numFmtId="0" fontId="90" fillId="0" borderId="54" xfId="0" applyFont="1" applyBorder="1" applyAlignment="1">
      <alignment horizontal="center"/>
    </xf>
    <xf numFmtId="14" fontId="89" fillId="0" borderId="30" xfId="0" applyNumberFormat="1" applyFont="1" applyBorder="1" applyAlignment="1">
      <alignment horizontal="center" vertical="center"/>
    </xf>
    <xf numFmtId="49" fontId="60" fillId="0" borderId="0" xfId="0" applyNumberFormat="1" applyFont="1" applyAlignment="1">
      <alignment horizontal="center"/>
    </xf>
    <xf numFmtId="0" fontId="89" fillId="0" borderId="63" xfId="0" applyFont="1" applyBorder="1" applyAlignment="1">
      <alignment horizontal="center" vertical="center"/>
    </xf>
    <xf numFmtId="0" fontId="60" fillId="0" borderId="72" xfId="0" applyFont="1" applyBorder="1" applyAlignment="1">
      <alignment horizontal="center" vertical="center"/>
    </xf>
    <xf numFmtId="0" fontId="60" fillId="0" borderId="63" xfId="0" applyFont="1" applyBorder="1" applyAlignment="1">
      <alignment horizontal="center" vertical="center"/>
    </xf>
    <xf numFmtId="43" fontId="60" fillId="0" borderId="63" xfId="1" applyFont="1" applyBorder="1" applyAlignment="1">
      <alignment horizontal="center" vertical="center"/>
    </xf>
    <xf numFmtId="43" fontId="60" fillId="0" borderId="68" xfId="1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 wrapText="1"/>
    </xf>
    <xf numFmtId="0" fontId="88" fillId="0" borderId="53" xfId="0" applyFont="1" applyBorder="1" applyAlignment="1">
      <alignment horizontal="center" vertical="center" wrapText="1"/>
    </xf>
    <xf numFmtId="0" fontId="60" fillId="0" borderId="26" xfId="0" applyFont="1" applyBorder="1" applyAlignment="1">
      <alignment horizontal="center" vertical="center"/>
    </xf>
    <xf numFmtId="0" fontId="60" fillId="0" borderId="19" xfId="0" applyFont="1" applyBorder="1" applyAlignment="1">
      <alignment horizontal="center" vertical="center"/>
    </xf>
    <xf numFmtId="165" fontId="60" fillId="0" borderId="19" xfId="1" applyNumberFormat="1" applyFont="1" applyBorder="1" applyAlignment="1">
      <alignment horizontal="right" vertical="center"/>
    </xf>
    <xf numFmtId="0" fontId="60" fillId="0" borderId="36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  <xf numFmtId="165" fontId="60" fillId="0" borderId="6" xfId="1" applyNumberFormat="1" applyFont="1" applyBorder="1" applyAlignment="1">
      <alignment horizontal="right" vertical="center"/>
    </xf>
    <xf numFmtId="0" fontId="60" fillId="0" borderId="34" xfId="0" applyFont="1" applyBorder="1" applyAlignment="1">
      <alignment horizontal="center" vertical="center"/>
    </xf>
    <xf numFmtId="0" fontId="60" fillId="0" borderId="35" xfId="0" applyFont="1" applyBorder="1" applyAlignment="1">
      <alignment horizontal="center" vertical="center"/>
    </xf>
    <xf numFmtId="0" fontId="60" fillId="0" borderId="30" xfId="0" applyFont="1" applyBorder="1" applyAlignment="1">
      <alignment horizontal="center" vertical="center"/>
    </xf>
    <xf numFmtId="165" fontId="60" fillId="0" borderId="30" xfId="1" applyNumberFormat="1" applyFont="1" applyBorder="1" applyAlignment="1">
      <alignment vertical="center"/>
    </xf>
    <xf numFmtId="43" fontId="60" fillId="0" borderId="30" xfId="1" applyFont="1" applyBorder="1" applyAlignment="1">
      <alignment horizontal="center" vertical="center"/>
    </xf>
    <xf numFmtId="43" fontId="60" fillId="0" borderId="61" xfId="1" applyFont="1" applyBorder="1" applyAlignment="1">
      <alignment horizontal="center" vertical="center"/>
    </xf>
    <xf numFmtId="49" fontId="60" fillId="0" borderId="19" xfId="0" applyNumberFormat="1" applyFont="1" applyBorder="1" applyAlignment="1">
      <alignment horizontal="center"/>
    </xf>
    <xf numFmtId="14" fontId="60" fillId="0" borderId="19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/>
    </xf>
    <xf numFmtId="14" fontId="60" fillId="0" borderId="6" xfId="0" applyNumberFormat="1" applyFont="1" applyBorder="1" applyAlignment="1">
      <alignment horizontal="center" vertical="center"/>
    </xf>
    <xf numFmtId="0" fontId="88" fillId="7" borderId="23" xfId="0" applyFont="1" applyFill="1" applyBorder="1" applyAlignment="1">
      <alignment horizontal="center" vertical="center" wrapText="1"/>
    </xf>
    <xf numFmtId="0" fontId="88" fillId="7" borderId="65" xfId="0" applyFont="1" applyFill="1" applyBorder="1" applyAlignment="1">
      <alignment horizontal="center" vertical="center" wrapText="1"/>
    </xf>
    <xf numFmtId="0" fontId="60" fillId="0" borderId="27" xfId="0" applyFont="1" applyBorder="1" applyAlignment="1">
      <alignment horizontal="center" vertical="center"/>
    </xf>
    <xf numFmtId="0" fontId="60" fillId="0" borderId="21" xfId="0" applyFont="1" applyBorder="1" applyAlignment="1">
      <alignment horizontal="center" vertical="center"/>
    </xf>
    <xf numFmtId="0" fontId="60" fillId="0" borderId="62" xfId="0" applyFont="1" applyBorder="1" applyAlignment="1">
      <alignment horizontal="center" vertical="center"/>
    </xf>
    <xf numFmtId="0" fontId="60" fillId="0" borderId="41" xfId="0" applyFont="1" applyBorder="1" applyAlignment="1">
      <alignment horizontal="center" vertical="center"/>
    </xf>
    <xf numFmtId="0" fontId="60" fillId="7" borderId="21" xfId="0" applyFont="1" applyFill="1" applyBorder="1" applyAlignment="1">
      <alignment horizontal="center" vertical="center"/>
    </xf>
    <xf numFmtId="0" fontId="60" fillId="7" borderId="41" xfId="0" applyFont="1" applyFill="1" applyBorder="1" applyAlignment="1">
      <alignment horizontal="center" vertical="center"/>
    </xf>
    <xf numFmtId="49" fontId="60" fillId="0" borderId="26" xfId="0" applyNumberFormat="1" applyFont="1" applyBorder="1"/>
    <xf numFmtId="49" fontId="60" fillId="0" borderId="19" xfId="0" applyNumberFormat="1" applyFont="1" applyBorder="1"/>
    <xf numFmtId="165" fontId="60" fillId="0" borderId="19" xfId="1" applyNumberFormat="1" applyFont="1" applyBorder="1"/>
    <xf numFmtId="165" fontId="60" fillId="19" borderId="19" xfId="1" applyNumberFormat="1" applyFont="1" applyFill="1" applyBorder="1"/>
    <xf numFmtId="165" fontId="60" fillId="0" borderId="36" xfId="1" applyNumberFormat="1" applyFont="1" applyBorder="1"/>
    <xf numFmtId="165" fontId="60" fillId="7" borderId="19" xfId="1" applyNumberFormat="1" applyFont="1" applyFill="1" applyBorder="1"/>
    <xf numFmtId="165" fontId="60" fillId="7" borderId="36" xfId="1" applyNumberFormat="1" applyFont="1" applyFill="1" applyBorder="1"/>
    <xf numFmtId="165" fontId="61" fillId="0" borderId="32" xfId="1" applyNumberFormat="1" applyFont="1" applyBorder="1"/>
    <xf numFmtId="165" fontId="61" fillId="7" borderId="32" xfId="1" applyNumberFormat="1" applyFont="1" applyFill="1" applyBorder="1"/>
    <xf numFmtId="0" fontId="90" fillId="0" borderId="46" xfId="0" applyFont="1" applyBorder="1" applyAlignment="1">
      <alignment horizontal="center"/>
    </xf>
    <xf numFmtId="0" fontId="90" fillId="0" borderId="65" xfId="0" applyFont="1" applyBorder="1" applyAlignment="1">
      <alignment horizontal="center"/>
    </xf>
    <xf numFmtId="0" fontId="90" fillId="7" borderId="23" xfId="0" applyFont="1" applyFill="1" applyBorder="1" applyAlignment="1">
      <alignment horizontal="center"/>
    </xf>
    <xf numFmtId="0" fontId="90" fillId="7" borderId="65" xfId="0" applyFont="1" applyFill="1" applyBorder="1" applyAlignment="1">
      <alignment horizontal="center"/>
    </xf>
    <xf numFmtId="0" fontId="88" fillId="0" borderId="23" xfId="0" applyFont="1" applyFill="1" applyBorder="1" applyAlignment="1">
      <alignment horizontal="center" vertical="center" wrapText="1"/>
    </xf>
    <xf numFmtId="0" fontId="88" fillId="0" borderId="65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/>
    </xf>
    <xf numFmtId="0" fontId="60" fillId="0" borderId="41" xfId="0" applyFont="1" applyFill="1" applyBorder="1" applyAlignment="1">
      <alignment horizontal="center" vertical="center"/>
    </xf>
    <xf numFmtId="165" fontId="61" fillId="0" borderId="32" xfId="1" applyNumberFormat="1" applyFont="1" applyFill="1" applyBorder="1"/>
    <xf numFmtId="165" fontId="61" fillId="0" borderId="23" xfId="1" applyNumberFormat="1" applyFont="1" applyFill="1" applyBorder="1"/>
    <xf numFmtId="0" fontId="90" fillId="0" borderId="23" xfId="0" applyFont="1" applyFill="1" applyBorder="1" applyAlignment="1">
      <alignment horizontal="center"/>
    </xf>
    <xf numFmtId="0" fontId="90" fillId="0" borderId="65" xfId="0" applyFont="1" applyFill="1" applyBorder="1" applyAlignment="1">
      <alignment horizontal="center"/>
    </xf>
    <xf numFmtId="0" fontId="61" fillId="0" borderId="3" xfId="0" applyFont="1" applyBorder="1" applyAlignment="1">
      <alignment horizontal="center" vertical="center" wrapText="1"/>
    </xf>
    <xf numFmtId="0" fontId="61" fillId="0" borderId="54" xfId="0" applyFont="1" applyBorder="1" applyAlignment="1">
      <alignment horizontal="center" vertical="center" wrapText="1"/>
    </xf>
    <xf numFmtId="0" fontId="61" fillId="0" borderId="65" xfId="0" applyFont="1" applyBorder="1" applyAlignment="1">
      <alignment horizontal="center" vertical="center" wrapText="1"/>
    </xf>
    <xf numFmtId="0" fontId="93" fillId="0" borderId="23" xfId="0" applyFont="1" applyBorder="1" applyAlignment="1">
      <alignment horizontal="center" vertical="center"/>
    </xf>
    <xf numFmtId="0" fontId="93" fillId="0" borderId="23" xfId="0" applyFont="1" applyBorder="1" applyAlignment="1">
      <alignment horizontal="center" vertical="center" wrapText="1"/>
    </xf>
    <xf numFmtId="0" fontId="93" fillId="0" borderId="6" xfId="0" applyFont="1" applyBorder="1" applyAlignment="1">
      <alignment horizontal="center" vertical="center"/>
    </xf>
    <xf numFmtId="14" fontId="93" fillId="0" borderId="6" xfId="0" applyNumberFormat="1" applyFont="1" applyBorder="1" applyAlignment="1">
      <alignment horizontal="center" vertical="center"/>
    </xf>
    <xf numFmtId="0" fontId="94" fillId="0" borderId="6" xfId="0" applyFont="1" applyBorder="1" applyAlignment="1">
      <alignment horizontal="center" vertical="center"/>
    </xf>
    <xf numFmtId="165" fontId="89" fillId="0" borderId="19" xfId="1" applyNumberFormat="1" applyFont="1" applyFill="1" applyBorder="1"/>
    <xf numFmtId="165" fontId="89" fillId="0" borderId="19" xfId="1" applyNumberFormat="1" applyFont="1" applyBorder="1"/>
    <xf numFmtId="165" fontId="60" fillId="0" borderId="19" xfId="1" applyNumberFormat="1" applyFont="1" applyFill="1" applyBorder="1"/>
    <xf numFmtId="0" fontId="94" fillId="0" borderId="6" xfId="0" applyFont="1" applyFill="1" applyBorder="1" applyAlignment="1">
      <alignment horizontal="center" vertical="center"/>
    </xf>
    <xf numFmtId="165" fontId="60" fillId="0" borderId="36" xfId="1" applyNumberFormat="1" applyFont="1" applyFill="1" applyBorder="1"/>
    <xf numFmtId="165" fontId="61" fillId="0" borderId="53" xfId="0" applyNumberFormat="1" applyFont="1" applyBorder="1"/>
    <xf numFmtId="14" fontId="94" fillId="0" borderId="6" xfId="0" applyNumberFormat="1" applyFont="1" applyBorder="1" applyAlignment="1">
      <alignment horizontal="center" vertical="center"/>
    </xf>
    <xf numFmtId="165" fontId="91" fillId="0" borderId="19" xfId="1" applyNumberFormat="1" applyFont="1" applyFill="1" applyBorder="1"/>
    <xf numFmtId="165" fontId="91" fillId="0" borderId="19" xfId="1" applyNumberFormat="1" applyFont="1" applyBorder="1"/>
    <xf numFmtId="165" fontId="94" fillId="0" borderId="19" xfId="1" applyNumberFormat="1" applyFont="1" applyBorder="1"/>
    <xf numFmtId="165" fontId="94" fillId="0" borderId="19" xfId="1" applyNumberFormat="1" applyFont="1" applyFill="1" applyBorder="1"/>
    <xf numFmtId="165" fontId="94" fillId="0" borderId="36" xfId="1" applyNumberFormat="1" applyFont="1" applyFill="1" applyBorder="1"/>
    <xf numFmtId="165" fontId="91" fillId="0" borderId="6" xfId="1" applyNumberFormat="1" applyFont="1" applyFill="1" applyBorder="1"/>
    <xf numFmtId="165" fontId="91" fillId="0" borderId="6" xfId="1" applyNumberFormat="1" applyFont="1" applyBorder="1"/>
    <xf numFmtId="165" fontId="94" fillId="0" borderId="6" xfId="1" applyNumberFormat="1" applyFont="1" applyBorder="1"/>
    <xf numFmtId="165" fontId="94" fillId="0" borderId="6" xfId="1" applyNumberFormat="1" applyFont="1" applyFill="1" applyBorder="1"/>
    <xf numFmtId="0" fontId="94" fillId="0" borderId="7" xfId="0" applyFont="1" applyBorder="1" applyAlignment="1">
      <alignment horizontal="center" vertical="center"/>
    </xf>
    <xf numFmtId="165" fontId="94" fillId="0" borderId="34" xfId="1" applyNumberFormat="1" applyFont="1" applyFill="1" applyBorder="1"/>
    <xf numFmtId="0" fontId="91" fillId="0" borderId="26" xfId="0" applyFont="1" applyBorder="1" applyAlignment="1">
      <alignment horizontal="center" vertical="center"/>
    </xf>
    <xf numFmtId="14" fontId="91" fillId="0" borderId="19" xfId="0" applyNumberFormat="1" applyFont="1" applyBorder="1" applyAlignment="1">
      <alignment horizontal="center" vertical="center"/>
    </xf>
    <xf numFmtId="0" fontId="91" fillId="0" borderId="19" xfId="0" applyFont="1" applyFill="1" applyBorder="1" applyAlignment="1">
      <alignment horizontal="center" vertical="center"/>
    </xf>
    <xf numFmtId="165" fontId="91" fillId="0" borderId="36" xfId="1" applyNumberFormat="1" applyFont="1" applyFill="1" applyBorder="1"/>
    <xf numFmtId="0" fontId="91" fillId="0" borderId="7" xfId="0" applyFont="1" applyBorder="1" applyAlignment="1">
      <alignment horizontal="center" vertical="center"/>
    </xf>
    <xf numFmtId="14" fontId="91" fillId="0" borderId="6" xfId="0" applyNumberFormat="1" applyFont="1" applyBorder="1" applyAlignment="1">
      <alignment horizontal="center" vertical="center"/>
    </xf>
    <xf numFmtId="0" fontId="91" fillId="0" borderId="6" xfId="0" applyFont="1" applyFill="1" applyBorder="1" applyAlignment="1">
      <alignment horizontal="center" vertical="center"/>
    </xf>
    <xf numFmtId="165" fontId="91" fillId="0" borderId="34" xfId="1" applyNumberFormat="1" applyFont="1" applyFill="1" applyBorder="1"/>
    <xf numFmtId="0" fontId="91" fillId="0" borderId="35" xfId="0" applyFont="1" applyBorder="1" applyAlignment="1">
      <alignment horizontal="center" vertical="center"/>
    </xf>
    <xf numFmtId="49" fontId="89" fillId="0" borderId="30" xfId="0" applyNumberFormat="1" applyFont="1" applyBorder="1" applyAlignment="1">
      <alignment horizontal="center"/>
    </xf>
    <xf numFmtId="14" fontId="91" fillId="0" borderId="30" xfId="0" applyNumberFormat="1" applyFont="1" applyBorder="1" applyAlignment="1">
      <alignment horizontal="center" vertical="center"/>
    </xf>
    <xf numFmtId="165" fontId="91" fillId="0" borderId="30" xfId="1" applyNumberFormat="1" applyFont="1" applyFill="1" applyBorder="1"/>
    <xf numFmtId="165" fontId="91" fillId="0" borderId="30" xfId="1" applyNumberFormat="1" applyFont="1" applyBorder="1"/>
    <xf numFmtId="0" fontId="91" fillId="0" borderId="30" xfId="0" applyFont="1" applyFill="1" applyBorder="1" applyAlignment="1">
      <alignment horizontal="center" vertical="center"/>
    </xf>
    <xf numFmtId="165" fontId="91" fillId="0" borderId="61" xfId="1" applyNumberFormat="1" applyFont="1" applyFill="1" applyBorder="1"/>
    <xf numFmtId="165" fontId="61" fillId="0" borderId="27" xfId="0" applyNumberFormat="1" applyFont="1" applyFill="1" applyBorder="1"/>
    <xf numFmtId="165" fontId="60" fillId="0" borderId="41" xfId="1" applyNumberFormat="1" applyFont="1" applyFill="1" applyBorder="1"/>
    <xf numFmtId="0" fontId="91" fillId="0" borderId="18" xfId="0" applyFont="1" applyBorder="1" applyAlignment="1">
      <alignment horizontal="center" vertical="center"/>
    </xf>
    <xf numFmtId="49" fontId="89" fillId="0" borderId="19" xfId="0" applyNumberFormat="1" applyFont="1" applyBorder="1" applyAlignment="1">
      <alignment horizontal="center"/>
    </xf>
    <xf numFmtId="0" fontId="91" fillId="0" borderId="72" xfId="0" applyFont="1" applyBorder="1" applyAlignment="1">
      <alignment horizontal="center" vertical="center"/>
    </xf>
    <xf numFmtId="0" fontId="61" fillId="0" borderId="3" xfId="0" applyFont="1" applyFill="1" applyBorder="1" applyAlignment="1">
      <alignment horizontal="center" vertical="center" wrapText="1"/>
    </xf>
    <xf numFmtId="0" fontId="61" fillId="0" borderId="54" xfId="0" applyFont="1" applyFill="1" applyBorder="1" applyAlignment="1">
      <alignment horizontal="center" vertical="center" wrapText="1"/>
    </xf>
    <xf numFmtId="0" fontId="61" fillId="0" borderId="65" xfId="0" applyFont="1" applyFill="1" applyBorder="1" applyAlignment="1">
      <alignment horizontal="center" vertical="center" wrapText="1"/>
    </xf>
    <xf numFmtId="0" fontId="93" fillId="0" borderId="27" xfId="0" applyFont="1" applyBorder="1" applyAlignment="1">
      <alignment horizontal="center" vertical="center"/>
    </xf>
    <xf numFmtId="0" fontId="93" fillId="0" borderId="21" xfId="0" applyFont="1" applyBorder="1" applyAlignment="1">
      <alignment horizontal="center" vertical="center"/>
    </xf>
    <xf numFmtId="0" fontId="93" fillId="0" borderId="21" xfId="0" applyFont="1" applyBorder="1" applyAlignment="1">
      <alignment horizontal="center" vertical="center" wrapText="1"/>
    </xf>
    <xf numFmtId="0" fontId="93" fillId="0" borderId="21" xfId="0" applyFont="1" applyFill="1" applyBorder="1" applyAlignment="1">
      <alignment horizontal="center" vertical="center"/>
    </xf>
    <xf numFmtId="0" fontId="93" fillId="0" borderId="41" xfId="0" applyFont="1" applyFill="1" applyBorder="1" applyAlignment="1">
      <alignment horizontal="center" vertical="center"/>
    </xf>
    <xf numFmtId="49" fontId="60" fillId="0" borderId="6" xfId="0" applyNumberFormat="1" applyFont="1" applyBorder="1"/>
    <xf numFmtId="165" fontId="60" fillId="0" borderId="6" xfId="1" applyNumberFormat="1" applyFont="1" applyBorder="1"/>
    <xf numFmtId="49" fontId="60" fillId="0" borderId="35" xfId="0" applyNumberFormat="1" applyFont="1" applyBorder="1"/>
    <xf numFmtId="49" fontId="60" fillId="0" borderId="30" xfId="0" applyNumberFormat="1" applyFont="1" applyBorder="1"/>
    <xf numFmtId="165" fontId="61" fillId="0" borderId="6" xfId="1" applyNumberFormat="1" applyFont="1" applyBorder="1"/>
    <xf numFmtId="165" fontId="61" fillId="0" borderId="6" xfId="1" applyNumberFormat="1" applyFont="1" applyFill="1" applyBorder="1"/>
    <xf numFmtId="165" fontId="61" fillId="0" borderId="34" xfId="1" applyNumberFormat="1" applyFont="1" applyFill="1" applyBorder="1"/>
    <xf numFmtId="165" fontId="61" fillId="0" borderId="53" xfId="1" applyNumberFormat="1" applyFont="1" applyBorder="1"/>
    <xf numFmtId="165" fontId="61" fillId="0" borderId="53" xfId="1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60" fillId="0" borderId="0" xfId="0" applyFont="1" applyFill="1" applyBorder="1"/>
    <xf numFmtId="49" fontId="60" fillId="0" borderId="0" xfId="0" applyNumberFormat="1" applyFont="1" applyFill="1"/>
    <xf numFmtId="0" fontId="60" fillId="0" borderId="23" xfId="0" applyFont="1" applyFill="1" applyBorder="1"/>
    <xf numFmtId="0" fontId="93" fillId="0" borderId="27" xfId="0" applyFont="1" applyFill="1" applyBorder="1" applyAlignment="1">
      <alignment horizontal="center" vertical="center"/>
    </xf>
    <xf numFmtId="0" fontId="93" fillId="0" borderId="21" xfId="0" applyFont="1" applyFill="1" applyBorder="1" applyAlignment="1">
      <alignment horizontal="center" vertical="center" wrapText="1"/>
    </xf>
    <xf numFmtId="49" fontId="60" fillId="0" borderId="26" xfId="0" applyNumberFormat="1" applyFont="1" applyFill="1" applyBorder="1"/>
    <xf numFmtId="49" fontId="60" fillId="0" borderId="19" xfId="0" applyNumberFormat="1" applyFont="1" applyFill="1" applyBorder="1"/>
    <xf numFmtId="1" fontId="60" fillId="0" borderId="19" xfId="0" applyNumberFormat="1" applyFont="1" applyFill="1" applyBorder="1"/>
    <xf numFmtId="1" fontId="60" fillId="0" borderId="36" xfId="0" applyNumberFormat="1" applyFont="1" applyFill="1" applyBorder="1"/>
    <xf numFmtId="1" fontId="61" fillId="0" borderId="53" xfId="0" applyNumberFormat="1" applyFont="1" applyFill="1" applyBorder="1"/>
    <xf numFmtId="0" fontId="60" fillId="0" borderId="23" xfId="0" applyFont="1" applyFill="1" applyBorder="1" applyAlignment="1">
      <alignment horizontal="center"/>
    </xf>
    <xf numFmtId="0" fontId="60" fillId="0" borderId="65" xfId="0" applyFont="1" applyFill="1" applyBorder="1" applyAlignment="1">
      <alignment horizontal="center"/>
    </xf>
    <xf numFmtId="0" fontId="61" fillId="0" borderId="0" xfId="0" applyFont="1" applyFill="1"/>
    <xf numFmtId="165" fontId="95" fillId="7" borderId="0" xfId="1" applyNumberFormat="1" applyFont="1" applyFill="1"/>
    <xf numFmtId="0" fontId="15" fillId="8" borderId="7" xfId="0" applyFont="1" applyFill="1" applyBorder="1"/>
    <xf numFmtId="165" fontId="4" fillId="8" borderId="19" xfId="1" applyNumberFormat="1" applyFont="1" applyFill="1" applyBorder="1"/>
    <xf numFmtId="165" fontId="4" fillId="8" borderId="6" xfId="1" applyNumberFormat="1" applyFont="1" applyFill="1" applyBorder="1"/>
    <xf numFmtId="165" fontId="4" fillId="8" borderId="34" xfId="1" applyNumberFormat="1" applyFont="1" applyFill="1" applyBorder="1"/>
    <xf numFmtId="165" fontId="14" fillId="0" borderId="33" xfId="1" applyNumberFormat="1" applyFont="1" applyBorder="1"/>
    <xf numFmtId="165" fontId="28" fillId="0" borderId="33" xfId="1" applyNumberFormat="1" applyFont="1" applyBorder="1"/>
    <xf numFmtId="165" fontId="14" fillId="0" borderId="6" xfId="1" applyNumberFormat="1" applyFont="1" applyBorder="1"/>
    <xf numFmtId="165" fontId="14" fillId="8" borderId="6" xfId="1" applyNumberFormat="1" applyFont="1" applyFill="1" applyBorder="1"/>
    <xf numFmtId="165" fontId="28" fillId="8" borderId="6" xfId="1" applyNumberFormat="1" applyFont="1" applyFill="1" applyBorder="1"/>
    <xf numFmtId="165" fontId="14" fillId="0" borderId="9" xfId="1" applyNumberFormat="1" applyFont="1" applyBorder="1"/>
    <xf numFmtId="165" fontId="28" fillId="0" borderId="9" xfId="1" applyNumberFormat="1" applyFont="1" applyBorder="1"/>
    <xf numFmtId="165" fontId="16" fillId="19" borderId="21" xfId="1" applyNumberFormat="1" applyFont="1" applyFill="1" applyBorder="1"/>
    <xf numFmtId="165" fontId="15" fillId="7" borderId="55" xfId="1" applyNumberFormat="1" applyFont="1" applyFill="1" applyBorder="1"/>
    <xf numFmtId="165" fontId="15" fillId="7" borderId="56" xfId="1" applyNumberFormat="1" applyFont="1" applyFill="1" applyBorder="1"/>
    <xf numFmtId="165" fontId="15" fillId="7" borderId="69" xfId="1" applyNumberFormat="1" applyFont="1" applyFill="1" applyBorder="1"/>
    <xf numFmtId="165" fontId="2" fillId="0" borderId="0" xfId="1" applyNumberFormat="1" applyFont="1" applyBorder="1" applyAlignment="1">
      <alignment horizontal="center"/>
    </xf>
    <xf numFmtId="0" fontId="15" fillId="9" borderId="12" xfId="0" applyFont="1" applyFill="1" applyBorder="1" applyAlignment="1">
      <alignment horizontal="center" vertical="justify"/>
    </xf>
    <xf numFmtId="0" fontId="15" fillId="9" borderId="5" xfId="0" applyFont="1" applyFill="1" applyBorder="1" applyAlignment="1">
      <alignment horizontal="center" vertical="justify"/>
    </xf>
    <xf numFmtId="0" fontId="2" fillId="9" borderId="44" xfId="0" applyFont="1" applyFill="1" applyBorder="1" applyAlignment="1">
      <alignment horizontal="center"/>
    </xf>
    <xf numFmtId="0" fontId="0" fillId="7" borderId="0" xfId="0" applyFill="1"/>
    <xf numFmtId="165" fontId="0" fillId="7" borderId="0" xfId="1" applyNumberFormat="1" applyFont="1" applyFill="1"/>
    <xf numFmtId="41" fontId="0" fillId="0" borderId="0" xfId="0" applyNumberFormat="1" applyFill="1"/>
    <xf numFmtId="1" fontId="0" fillId="0" borderId="0" xfId="0" applyNumberFormat="1" applyFill="1"/>
    <xf numFmtId="0" fontId="95" fillId="0" borderId="6" xfId="0" applyFont="1" applyFill="1" applyBorder="1"/>
    <xf numFmtId="164" fontId="95" fillId="0" borderId="6" xfId="0" applyNumberFormat="1" applyFont="1" applyFill="1" applyBorder="1"/>
    <xf numFmtId="164" fontId="20" fillId="7" borderId="6" xfId="0" applyNumberFormat="1" applyFont="1" applyFill="1" applyBorder="1"/>
    <xf numFmtId="164" fontId="4" fillId="0" borderId="33" xfId="0" applyNumberFormat="1" applyFont="1" applyFill="1" applyBorder="1"/>
    <xf numFmtId="164" fontId="17" fillId="0" borderId="44" xfId="0" applyNumberFormat="1" applyFont="1" applyFill="1" applyBorder="1"/>
    <xf numFmtId="164" fontId="17" fillId="0" borderId="19" xfId="0" applyNumberFormat="1" applyFont="1" applyFill="1" applyBorder="1"/>
    <xf numFmtId="164" fontId="95" fillId="0" borderId="34" xfId="0" applyNumberFormat="1" applyFont="1" applyFill="1" applyBorder="1"/>
    <xf numFmtId="43" fontId="0" fillId="0" borderId="0" xfId="1" applyFont="1" applyFill="1"/>
    <xf numFmtId="43" fontId="2" fillId="0" borderId="0" xfId="1" applyFont="1" applyFill="1" applyBorder="1" applyAlignment="1"/>
    <xf numFmtId="43" fontId="2" fillId="0" borderId="0" xfId="1" applyFont="1" applyFill="1" applyBorder="1"/>
    <xf numFmtId="43" fontId="0" fillId="0" borderId="0" xfId="1" applyFont="1" applyFill="1" applyBorder="1"/>
    <xf numFmtId="43" fontId="9" fillId="0" borderId="0" xfId="1" applyFont="1" applyFill="1"/>
    <xf numFmtId="43" fontId="6" fillId="0" borderId="0" xfId="1" applyFont="1" applyFill="1"/>
    <xf numFmtId="43" fontId="14" fillId="8" borderId="65" xfId="1" applyFont="1" applyFill="1" applyBorder="1" applyAlignment="1">
      <alignment horizontal="center"/>
    </xf>
    <xf numFmtId="43" fontId="14" fillId="8" borderId="23" xfId="1" applyFont="1" applyFill="1" applyBorder="1" applyAlignment="1">
      <alignment horizontal="center"/>
    </xf>
    <xf numFmtId="43" fontId="20" fillId="0" borderId="19" xfId="1" applyFont="1" applyFill="1" applyBorder="1"/>
    <xf numFmtId="43" fontId="95" fillId="0" borderId="6" xfId="1" applyFont="1" applyFill="1" applyBorder="1"/>
    <xf numFmtId="43" fontId="20" fillId="0" borderId="6" xfId="1" applyFont="1" applyFill="1" applyBorder="1"/>
    <xf numFmtId="43" fontId="14" fillId="0" borderId="0" xfId="1" applyFont="1" applyFill="1" applyBorder="1" applyAlignment="1"/>
    <xf numFmtId="43" fontId="20" fillId="0" borderId="0" xfId="1" applyFont="1" applyFill="1" applyBorder="1"/>
    <xf numFmtId="43" fontId="31" fillId="0" borderId="0" xfId="1" applyFont="1" applyFill="1" applyBorder="1" applyAlignment="1"/>
    <xf numFmtId="43" fontId="1" fillId="0" borderId="19" xfId="1" applyFont="1" applyFill="1" applyBorder="1"/>
    <xf numFmtId="43" fontId="20" fillId="0" borderId="6" xfId="1" applyFont="1" applyFill="1" applyBorder="1" applyAlignment="1">
      <alignment horizontal="right"/>
    </xf>
    <xf numFmtId="0" fontId="1" fillId="0" borderId="19" xfId="0" applyFont="1" applyFill="1" applyBorder="1"/>
    <xf numFmtId="164" fontId="1" fillId="0" borderId="19" xfId="0" applyNumberFormat="1" applyFont="1" applyFill="1" applyBorder="1"/>
    <xf numFmtId="0" fontId="20" fillId="0" borderId="66" xfId="0" applyFont="1" applyFill="1" applyBorder="1" applyAlignment="1"/>
    <xf numFmtId="0" fontId="20" fillId="0" borderId="34" xfId="0" applyFont="1" applyFill="1" applyBorder="1" applyAlignment="1"/>
    <xf numFmtId="43" fontId="1" fillId="0" borderId="6" xfId="1" applyFont="1" applyFill="1" applyBorder="1"/>
    <xf numFmtId="0" fontId="1" fillId="0" borderId="34" xfId="0" applyFont="1" applyFill="1" applyBorder="1"/>
    <xf numFmtId="43" fontId="0" fillId="0" borderId="0" xfId="1" applyFont="1"/>
    <xf numFmtId="0" fontId="15" fillId="0" borderId="13" xfId="0" applyFont="1" applyBorder="1" applyAlignment="1">
      <alignment horizontal="center"/>
    </xf>
    <xf numFmtId="0" fontId="15" fillId="12" borderId="33" xfId="0" applyFont="1" applyFill="1" applyBorder="1" applyAlignment="1">
      <alignment horizontal="center"/>
    </xf>
    <xf numFmtId="0" fontId="4" fillId="12" borderId="33" xfId="0" applyFont="1" applyFill="1" applyBorder="1"/>
    <xf numFmtId="43" fontId="15" fillId="12" borderId="42" xfId="1" applyFont="1" applyFill="1" applyBorder="1"/>
    <xf numFmtId="0" fontId="15" fillId="0" borderId="7" xfId="0" applyFont="1" applyBorder="1" applyAlignment="1">
      <alignment horizontal="center"/>
    </xf>
    <xf numFmtId="43" fontId="4" fillId="0" borderId="6" xfId="1" applyFont="1" applyBorder="1"/>
    <xf numFmtId="43" fontId="4" fillId="0" borderId="34" xfId="1" applyFont="1" applyBorder="1"/>
    <xf numFmtId="0" fontId="15" fillId="12" borderId="6" xfId="0" applyFont="1" applyFill="1" applyBorder="1" applyAlignment="1">
      <alignment horizontal="center"/>
    </xf>
    <xf numFmtId="0" fontId="4" fillId="12" borderId="6" xfId="0" applyFont="1" applyFill="1" applyBorder="1"/>
    <xf numFmtId="43" fontId="4" fillId="12" borderId="6" xfId="1" applyFont="1" applyFill="1" applyBorder="1"/>
    <xf numFmtId="43" fontId="15" fillId="12" borderId="34" xfId="1" applyFont="1" applyFill="1" applyBorder="1"/>
    <xf numFmtId="0" fontId="4" fillId="0" borderId="8" xfId="0" applyFont="1" applyBorder="1"/>
    <xf numFmtId="43" fontId="4" fillId="0" borderId="9" xfId="1" applyFont="1" applyBorder="1"/>
    <xf numFmtId="43" fontId="4" fillId="0" borderId="31" xfId="1" applyFont="1" applyBorder="1"/>
    <xf numFmtId="0" fontId="15" fillId="7" borderId="55" xfId="0" applyFont="1" applyFill="1" applyBorder="1"/>
    <xf numFmtId="0" fontId="15" fillId="7" borderId="56" xfId="0" applyFont="1" applyFill="1" applyBorder="1" applyAlignment="1">
      <alignment horizontal="center"/>
    </xf>
    <xf numFmtId="0" fontId="15" fillId="7" borderId="56" xfId="0" applyFont="1" applyFill="1" applyBorder="1"/>
    <xf numFmtId="43" fontId="15" fillId="7" borderId="56" xfId="1" applyFont="1" applyFill="1" applyBorder="1"/>
    <xf numFmtId="43" fontId="15" fillId="7" borderId="60" xfId="1" applyFont="1" applyFill="1" applyBorder="1"/>
    <xf numFmtId="0" fontId="4" fillId="5" borderId="43" xfId="0" applyFont="1" applyFill="1" applyBorder="1" applyAlignment="1">
      <alignment horizontal="center" vertical="justify"/>
    </xf>
    <xf numFmtId="0" fontId="4" fillId="5" borderId="44" xfId="0" applyFont="1" applyFill="1" applyBorder="1" applyAlignment="1">
      <alignment horizontal="center" vertical="justify"/>
    </xf>
    <xf numFmtId="0" fontId="4" fillId="5" borderId="55" xfId="0" applyFont="1" applyFill="1" applyBorder="1" applyAlignment="1">
      <alignment horizontal="center" vertical="justify"/>
    </xf>
    <xf numFmtId="0" fontId="4" fillId="5" borderId="56" xfId="0" applyFont="1" applyFill="1" applyBorder="1" applyAlignment="1">
      <alignment horizontal="center" vertical="justify"/>
    </xf>
    <xf numFmtId="3" fontId="4" fillId="5" borderId="9" xfId="0" applyNumberFormat="1" applyFont="1" applyFill="1" applyBorder="1" applyAlignment="1">
      <alignment vertical="justify"/>
    </xf>
    <xf numFmtId="0" fontId="4" fillId="0" borderId="35" xfId="0" applyFont="1" applyFill="1" applyBorder="1"/>
    <xf numFmtId="165" fontId="4" fillId="7" borderId="6" xfId="1" applyNumberFormat="1" applyFont="1" applyFill="1" applyBorder="1" applyAlignment="1">
      <alignment horizontal="left"/>
    </xf>
    <xf numFmtId="165" fontId="4" fillId="0" borderId="6" xfId="1" applyNumberFormat="1" applyFont="1" applyFill="1" applyBorder="1" applyAlignment="1">
      <alignment horizontal="right"/>
    </xf>
    <xf numFmtId="165" fontId="4" fillId="0" borderId="30" xfId="1" applyNumberFormat="1" applyFont="1" applyFill="1" applyBorder="1" applyAlignment="1">
      <alignment horizontal="right"/>
    </xf>
    <xf numFmtId="165" fontId="2" fillId="7" borderId="23" xfId="0" applyNumberFormat="1" applyFont="1" applyFill="1" applyBorder="1"/>
    <xf numFmtId="0" fontId="4" fillId="0" borderId="6" xfId="0" applyFont="1" applyFill="1" applyBorder="1" applyAlignment="1"/>
    <xf numFmtId="0" fontId="4" fillId="0" borderId="6" xfId="0" applyFont="1" applyFill="1" applyBorder="1"/>
    <xf numFmtId="165" fontId="4" fillId="0" borderId="30" xfId="1" applyNumberFormat="1" applyFont="1" applyFill="1" applyBorder="1" applyAlignment="1">
      <alignment horizontal="left"/>
    </xf>
    <xf numFmtId="165" fontId="4" fillId="8" borderId="30" xfId="1" applyNumberFormat="1" applyFont="1" applyFill="1" applyBorder="1"/>
    <xf numFmtId="164" fontId="0" fillId="0" borderId="0" xfId="0" applyNumberFormat="1"/>
    <xf numFmtId="43" fontId="10" fillId="0" borderId="19" xfId="1" applyFont="1" applyFill="1" applyBorder="1"/>
    <xf numFmtId="43" fontId="10" fillId="0" borderId="6" xfId="1" applyFont="1" applyFill="1" applyBorder="1"/>
    <xf numFmtId="165" fontId="98" fillId="8" borderId="0" xfId="1" applyNumberFormat="1" applyFont="1" applyFill="1"/>
    <xf numFmtId="165" fontId="97" fillId="0" borderId="0" xfId="1" applyNumberFormat="1" applyFont="1"/>
    <xf numFmtId="165" fontId="98" fillId="0" borderId="0" xfId="1" applyNumberFormat="1" applyFont="1"/>
    <xf numFmtId="43" fontId="4" fillId="0" borderId="0" xfId="1" applyFont="1"/>
    <xf numFmtId="43" fontId="4" fillId="19" borderId="43" xfId="1" applyFont="1" applyFill="1" applyBorder="1"/>
    <xf numFmtId="165" fontId="4" fillId="19" borderId="44" xfId="1" applyNumberFormat="1" applyFont="1" applyFill="1" applyBorder="1"/>
    <xf numFmtId="165" fontId="4" fillId="19" borderId="45" xfId="1" applyNumberFormat="1" applyFont="1" applyFill="1" applyBorder="1"/>
    <xf numFmtId="43" fontId="4" fillId="0" borderId="13" xfId="1" applyFont="1" applyBorder="1"/>
    <xf numFmtId="43" fontId="4" fillId="19" borderId="33" xfId="1" applyFont="1" applyFill="1" applyBorder="1"/>
    <xf numFmtId="165" fontId="4" fillId="8" borderId="33" xfId="1" applyNumberFormat="1" applyFont="1" applyFill="1" applyBorder="1"/>
    <xf numFmtId="43" fontId="4" fillId="0" borderId="7" xfId="1" applyFont="1" applyBorder="1"/>
    <xf numFmtId="43" fontId="4" fillId="19" borderId="6" xfId="1" applyFont="1" applyFill="1" applyBorder="1"/>
    <xf numFmtId="43" fontId="4" fillId="0" borderId="6" xfId="0" applyNumberFormat="1" applyFont="1" applyBorder="1"/>
    <xf numFmtId="165" fontId="4" fillId="19" borderId="0" xfId="1" applyNumberFormat="1" applyFont="1" applyFill="1" applyBorder="1"/>
    <xf numFmtId="43" fontId="4" fillId="19" borderId="0" xfId="1" applyFont="1" applyFill="1" applyBorder="1"/>
    <xf numFmtId="0" fontId="1" fillId="8" borderId="0" xfId="0" applyFont="1" applyFill="1"/>
    <xf numFmtId="0" fontId="0" fillId="8" borderId="0" xfId="0" applyFill="1"/>
    <xf numFmtId="0" fontId="1" fillId="19" borderId="0" xfId="0" applyFont="1" applyFill="1"/>
    <xf numFmtId="0" fontId="0" fillId="19" borderId="0" xfId="0" applyFill="1"/>
    <xf numFmtId="165" fontId="4" fillId="19" borderId="6" xfId="1" applyNumberFormat="1" applyFont="1" applyFill="1" applyBorder="1"/>
    <xf numFmtId="165" fontId="1" fillId="8" borderId="0" xfId="1" applyNumberFormat="1" applyFont="1" applyFill="1"/>
    <xf numFmtId="165" fontId="0" fillId="8" borderId="0" xfId="1" applyNumberFormat="1" applyFont="1" applyFill="1"/>
    <xf numFmtId="165" fontId="0" fillId="0" borderId="2" xfId="1" applyNumberFormat="1" applyFont="1" applyBorder="1"/>
    <xf numFmtId="165" fontId="0" fillId="0" borderId="5" xfId="1" applyNumberFormat="1" applyFont="1" applyBorder="1"/>
    <xf numFmtId="0" fontId="0" fillId="17" borderId="0" xfId="0" applyFill="1"/>
    <xf numFmtId="43" fontId="4" fillId="0" borderId="0" xfId="1" applyFont="1" applyFill="1" applyBorder="1"/>
    <xf numFmtId="165" fontId="30" fillId="0" borderId="0" xfId="1" applyNumberFormat="1" applyFont="1" applyFill="1"/>
    <xf numFmtId="1" fontId="4" fillId="0" borderId="0" xfId="0" applyNumberFormat="1" applyFont="1" applyBorder="1"/>
    <xf numFmtId="0" fontId="4" fillId="19" borderId="0" xfId="0" applyFont="1" applyFill="1" applyBorder="1"/>
    <xf numFmtId="0" fontId="4" fillId="19" borderId="0" xfId="0" applyFont="1" applyFill="1"/>
    <xf numFmtId="0" fontId="1" fillId="7" borderId="0" xfId="0" applyFont="1" applyFill="1"/>
    <xf numFmtId="0" fontId="4" fillId="19" borderId="6" xfId="0" applyFont="1" applyFill="1" applyBorder="1"/>
    <xf numFmtId="165" fontId="50" fillId="7" borderId="0" xfId="1" applyNumberFormat="1" applyFont="1" applyFill="1" applyBorder="1"/>
    <xf numFmtId="165" fontId="4" fillId="0" borderId="0" xfId="0" applyNumberFormat="1" applyFont="1"/>
    <xf numFmtId="1" fontId="4" fillId="19" borderId="0" xfId="0" applyNumberFormat="1" applyFont="1" applyFill="1" applyBorder="1"/>
    <xf numFmtId="165" fontId="99" fillId="19" borderId="0" xfId="0" applyNumberFormat="1" applyFont="1" applyFill="1"/>
    <xf numFmtId="165" fontId="15" fillId="9" borderId="11" xfId="1" applyNumberFormat="1" applyFont="1" applyFill="1" applyBorder="1" applyAlignment="1">
      <alignment horizontal="center"/>
    </xf>
    <xf numFmtId="165" fontId="4" fillId="8" borderId="64" xfId="1" applyNumberFormat="1" applyFont="1" applyFill="1" applyBorder="1"/>
    <xf numFmtId="165" fontId="4" fillId="0" borderId="40" xfId="1" applyNumberFormat="1" applyFont="1" applyBorder="1"/>
    <xf numFmtId="165" fontId="75" fillId="0" borderId="0" xfId="1" applyNumberFormat="1" applyFont="1" applyFill="1"/>
    <xf numFmtId="165" fontId="96" fillId="7" borderId="6" xfId="1" applyNumberFormat="1" applyFont="1" applyFill="1" applyBorder="1"/>
    <xf numFmtId="0" fontId="2" fillId="9" borderId="63" xfId="0" applyFont="1" applyFill="1" applyBorder="1"/>
    <xf numFmtId="0" fontId="2" fillId="9" borderId="20" xfId="0" applyFont="1" applyFill="1" applyBorder="1"/>
    <xf numFmtId="165" fontId="2" fillId="9" borderId="71" xfId="1" applyNumberFormat="1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0" fontId="15" fillId="7" borderId="55" xfId="0" applyFont="1" applyFill="1" applyBorder="1" applyAlignment="1"/>
    <xf numFmtId="0" fontId="15" fillId="7" borderId="56" xfId="0" applyFont="1" applyFill="1" applyBorder="1" applyAlignment="1"/>
    <xf numFmtId="165" fontId="15" fillId="7" borderId="56" xfId="1" applyNumberFormat="1" applyFont="1" applyFill="1" applyBorder="1" applyAlignment="1"/>
    <xf numFmtId="0" fontId="14" fillId="0" borderId="13" xfId="0" applyFont="1" applyBorder="1"/>
    <xf numFmtId="0" fontId="2" fillId="0" borderId="33" xfId="0" applyFont="1" applyBorder="1"/>
    <xf numFmtId="165" fontId="1" fillId="0" borderId="42" xfId="1" applyNumberFormat="1" applyFont="1" applyBorder="1"/>
    <xf numFmtId="165" fontId="1" fillId="0" borderId="34" xfId="1" applyNumberFormat="1" applyFont="1" applyBorder="1"/>
    <xf numFmtId="0" fontId="20" fillId="0" borderId="8" xfId="0" applyFont="1" applyBorder="1"/>
    <xf numFmtId="0" fontId="1" fillId="0" borderId="9" xfId="0" applyFont="1" applyFill="1" applyBorder="1"/>
    <xf numFmtId="165" fontId="1" fillId="0" borderId="31" xfId="1" applyNumberFormat="1" applyFont="1" applyBorder="1"/>
    <xf numFmtId="0" fontId="97" fillId="7" borderId="0" xfId="0" applyFont="1" applyFill="1"/>
    <xf numFmtId="165" fontId="97" fillId="7" borderId="0" xfId="1" applyNumberFormat="1" applyFont="1" applyFill="1"/>
    <xf numFmtId="165" fontId="15" fillId="0" borderId="25" xfId="1" applyNumberFormat="1" applyFont="1" applyBorder="1"/>
    <xf numFmtId="0" fontId="1" fillId="0" borderId="25" xfId="0" applyFont="1" applyFill="1" applyBorder="1"/>
    <xf numFmtId="0" fontId="1" fillId="0" borderId="24" xfId="0" applyFont="1" applyFill="1" applyBorder="1"/>
    <xf numFmtId="0" fontId="9" fillId="0" borderId="6" xfId="0" applyFont="1" applyFill="1" applyBorder="1" applyAlignment="1">
      <alignment horizontal="center"/>
    </xf>
    <xf numFmtId="43" fontId="4" fillId="15" borderId="0" xfId="1" applyFont="1" applyFill="1"/>
    <xf numFmtId="0" fontId="4" fillId="15" borderId="0" xfId="0" applyFont="1" applyFill="1" applyBorder="1"/>
    <xf numFmtId="165" fontId="4" fillId="15" borderId="0" xfId="1" applyNumberFormat="1" applyFont="1" applyFill="1"/>
    <xf numFmtId="43" fontId="4" fillId="15" borderId="0" xfId="1" applyFont="1" applyFill="1" applyBorder="1"/>
    <xf numFmtId="0" fontId="4" fillId="15" borderId="0" xfId="0" applyFont="1" applyFill="1"/>
    <xf numFmtId="165" fontId="4" fillId="15" borderId="0" xfId="1" applyNumberFormat="1" applyFont="1" applyFill="1" applyBorder="1"/>
    <xf numFmtId="0" fontId="0" fillId="15" borderId="0" xfId="0" applyFill="1"/>
    <xf numFmtId="165" fontId="0" fillId="15" borderId="0" xfId="1" applyNumberFormat="1" applyFont="1" applyFill="1"/>
    <xf numFmtId="0" fontId="1" fillId="15" borderId="0" xfId="0" applyFont="1" applyFill="1"/>
    <xf numFmtId="0" fontId="1" fillId="15" borderId="0" xfId="0" applyFont="1" applyFill="1" applyBorder="1"/>
    <xf numFmtId="165" fontId="0" fillId="17" borderId="0" xfId="1" applyNumberFormat="1" applyFont="1" applyFill="1"/>
    <xf numFmtId="0" fontId="0" fillId="21" borderId="0" xfId="0" applyFill="1"/>
    <xf numFmtId="0" fontId="4" fillId="15" borderId="6" xfId="0" applyFont="1" applyFill="1" applyBorder="1"/>
    <xf numFmtId="165" fontId="4" fillId="15" borderId="6" xfId="1" applyNumberFormat="1" applyFont="1" applyFill="1" applyBorder="1"/>
    <xf numFmtId="165" fontId="1" fillId="17" borderId="0" xfId="1" applyNumberFormat="1" applyFont="1" applyFill="1" applyBorder="1"/>
    <xf numFmtId="165" fontId="0" fillId="17" borderId="0" xfId="1" applyNumberFormat="1" applyFont="1" applyFill="1" applyBorder="1"/>
    <xf numFmtId="165" fontId="0" fillId="17" borderId="4" xfId="1" applyNumberFormat="1" applyFont="1" applyFill="1" applyBorder="1"/>
    <xf numFmtId="165" fontId="0" fillId="0" borderId="12" xfId="1" applyNumberFormat="1" applyFont="1" applyBorder="1"/>
    <xf numFmtId="165" fontId="0" fillId="15" borderId="0" xfId="1" applyNumberFormat="1" applyFont="1" applyFill="1" applyBorder="1"/>
    <xf numFmtId="165" fontId="0" fillId="0" borderId="19" xfId="1" applyNumberFormat="1" applyFont="1" applyFill="1" applyBorder="1"/>
    <xf numFmtId="165" fontId="2" fillId="19" borderId="0" xfId="1" applyNumberFormat="1" applyFont="1" applyFill="1" applyBorder="1"/>
    <xf numFmtId="165" fontId="2" fillId="7" borderId="0" xfId="1" applyNumberFormat="1" applyFont="1" applyFill="1" applyBorder="1"/>
    <xf numFmtId="165" fontId="2" fillId="11" borderId="0" xfId="1" applyNumberFormat="1" applyFont="1" applyFill="1" applyBorder="1"/>
    <xf numFmtId="165" fontId="75" fillId="0" borderId="19" xfId="1" applyNumberFormat="1" applyFont="1" applyBorder="1"/>
    <xf numFmtId="165" fontId="75" fillId="0" borderId="6" xfId="1" applyNumberFormat="1" applyFont="1" applyBorder="1"/>
    <xf numFmtId="165" fontId="75" fillId="0" borderId="25" xfId="1" applyNumberFormat="1" applyFont="1" applyBorder="1"/>
    <xf numFmtId="165" fontId="99" fillId="0" borderId="36" xfId="1" applyNumberFormat="1" applyFont="1" applyFill="1" applyBorder="1"/>
    <xf numFmtId="165" fontId="2" fillId="0" borderId="6" xfId="1" applyNumberFormat="1" applyFont="1" applyBorder="1" applyAlignment="1">
      <alignment horizontal="center"/>
    </xf>
    <xf numFmtId="0" fontId="30" fillId="19" borderId="3" xfId="0" applyFont="1" applyFill="1" applyBorder="1"/>
    <xf numFmtId="0" fontId="1" fillId="19" borderId="69" xfId="0" applyFont="1" applyFill="1" applyBorder="1"/>
    <xf numFmtId="165" fontId="2" fillId="19" borderId="55" xfId="0" applyNumberFormat="1" applyFont="1" applyFill="1" applyBorder="1"/>
    <xf numFmtId="165" fontId="2" fillId="19" borderId="54" xfId="0" applyNumberFormat="1" applyFont="1" applyFill="1" applyBorder="1"/>
    <xf numFmtId="165" fontId="1" fillId="0" borderId="19" xfId="1" applyNumberFormat="1" applyFont="1" applyFill="1" applyBorder="1"/>
    <xf numFmtId="0" fontId="6" fillId="0" borderId="6" xfId="0" applyFont="1" applyFill="1" applyBorder="1" applyAlignment="1">
      <alignment horizontal="center"/>
    </xf>
    <xf numFmtId="165" fontId="9" fillId="13" borderId="6" xfId="1" applyNumberFormat="1" applyFont="1" applyFill="1" applyBorder="1" applyAlignment="1">
      <alignment horizontal="center"/>
    </xf>
    <xf numFmtId="165" fontId="5" fillId="13" borderId="6" xfId="1" applyNumberFormat="1" applyFont="1" applyFill="1" applyBorder="1"/>
    <xf numFmtId="165" fontId="4" fillId="13" borderId="6" xfId="1" applyNumberFormat="1" applyFont="1" applyFill="1" applyBorder="1" applyAlignment="1">
      <alignment horizontal="center"/>
    </xf>
    <xf numFmtId="165" fontId="6" fillId="13" borderId="6" xfId="1" applyNumberFormat="1" applyFont="1" applyFill="1" applyBorder="1" applyAlignment="1">
      <alignment horizontal="center"/>
    </xf>
    <xf numFmtId="165" fontId="9" fillId="8" borderId="6" xfId="1" applyNumberFormat="1" applyFont="1" applyFill="1" applyBorder="1" applyAlignment="1">
      <alignment horizontal="center"/>
    </xf>
    <xf numFmtId="0" fontId="15" fillId="8" borderId="53" xfId="0" applyFont="1" applyFill="1" applyBorder="1" applyAlignment="1">
      <alignment horizontal="center"/>
    </xf>
    <xf numFmtId="0" fontId="15" fillId="8" borderId="66" xfId="0" applyFont="1" applyFill="1" applyBorder="1" applyAlignment="1">
      <alignment horizontal="center"/>
    </xf>
    <xf numFmtId="0" fontId="14" fillId="8" borderId="53" xfId="0" applyFont="1" applyFill="1" applyBorder="1" applyAlignment="1">
      <alignment horizontal="center"/>
    </xf>
    <xf numFmtId="0" fontId="14" fillId="8" borderId="54" xfId="0" applyFont="1" applyFill="1" applyBorder="1" applyAlignment="1">
      <alignment horizontal="center"/>
    </xf>
    <xf numFmtId="165" fontId="67" fillId="0" borderId="6" xfId="1" applyNumberFormat="1" applyFont="1" applyFill="1" applyBorder="1"/>
    <xf numFmtId="165" fontId="67" fillId="0" borderId="33" xfId="1" applyNumberFormat="1" applyFont="1" applyFill="1" applyBorder="1"/>
    <xf numFmtId="0" fontId="14" fillId="0" borderId="26" xfId="0" applyFont="1" applyFill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14" fillId="0" borderId="35" xfId="0" applyFont="1" applyFill="1" applyBorder="1" applyAlignment="1">
      <alignment horizontal="right"/>
    </xf>
    <xf numFmtId="164" fontId="20" fillId="8" borderId="54" xfId="0" applyNumberFormat="1" applyFont="1" applyFill="1" applyBorder="1"/>
    <xf numFmtId="164" fontId="20" fillId="0" borderId="36" xfId="0" applyNumberFormat="1" applyFont="1" applyFill="1" applyBorder="1"/>
    <xf numFmtId="164" fontId="20" fillId="7" borderId="34" xfId="0" applyNumberFormat="1" applyFont="1" applyFill="1" applyBorder="1"/>
    <xf numFmtId="0" fontId="20" fillId="0" borderId="8" xfId="0" applyFont="1" applyFill="1" applyBorder="1"/>
    <xf numFmtId="164" fontId="20" fillId="7" borderId="9" xfId="0" applyNumberFormat="1" applyFont="1" applyFill="1" applyBorder="1"/>
    <xf numFmtId="164" fontId="20" fillId="7" borderId="31" xfId="0" applyNumberFormat="1" applyFont="1" applyFill="1" applyBorder="1"/>
    <xf numFmtId="3" fontId="2" fillId="8" borderId="0" xfId="0" applyNumberFormat="1" applyFont="1" applyFill="1" applyBorder="1"/>
    <xf numFmtId="3" fontId="0" fillId="8" borderId="0" xfId="0" applyNumberFormat="1" applyFill="1" applyBorder="1"/>
    <xf numFmtId="0" fontId="0" fillId="0" borderId="0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3" fillId="19" borderId="0" xfId="0" applyFont="1" applyFill="1" applyBorder="1" applyAlignment="1">
      <alignment horizontal="center"/>
    </xf>
    <xf numFmtId="0" fontId="2" fillId="19" borderId="2" xfId="0" applyFont="1" applyFill="1" applyBorder="1" applyAlignment="1">
      <alignment horizontal="center"/>
    </xf>
    <xf numFmtId="0" fontId="3" fillId="19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16" borderId="53" xfId="0" applyFont="1" applyFill="1" applyBorder="1" applyAlignment="1">
      <alignment horizontal="center" wrapText="1"/>
    </xf>
    <xf numFmtId="0" fontId="16" fillId="16" borderId="66" xfId="0" applyFont="1" applyFill="1" applyBorder="1" applyAlignment="1">
      <alignment horizontal="center" wrapText="1"/>
    </xf>
    <xf numFmtId="3" fontId="2" fillId="16" borderId="53" xfId="0" applyNumberFormat="1" applyFont="1" applyFill="1" applyBorder="1" applyAlignment="1">
      <alignment horizontal="center" wrapText="1"/>
    </xf>
    <xf numFmtId="3" fontId="7" fillId="16" borderId="66" xfId="0" applyNumberFormat="1" applyFont="1" applyFill="1" applyBorder="1" applyAlignment="1">
      <alignment horizontal="center" wrapText="1"/>
    </xf>
    <xf numFmtId="0" fontId="6" fillId="16" borderId="53" xfId="0" applyFont="1" applyFill="1" applyBorder="1" applyAlignment="1">
      <alignment horizontal="center"/>
    </xf>
    <xf numFmtId="0" fontId="6" fillId="16" borderId="66" xfId="0" applyFont="1" applyFill="1" applyBorder="1" applyAlignment="1">
      <alignment horizontal="center"/>
    </xf>
    <xf numFmtId="165" fontId="9" fillId="8" borderId="6" xfId="1" applyNumberFormat="1" applyFont="1" applyFill="1" applyBorder="1" applyAlignment="1">
      <alignment horizontal="center"/>
    </xf>
    <xf numFmtId="3" fontId="2" fillId="16" borderId="54" xfId="0" applyNumberFormat="1" applyFont="1" applyFill="1" applyBorder="1" applyAlignment="1">
      <alignment horizontal="center" wrapText="1"/>
    </xf>
    <xf numFmtId="0" fontId="6" fillId="16" borderId="5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2" fillId="16" borderId="66" xfId="0" applyNumberFormat="1" applyFont="1" applyFill="1" applyBorder="1" applyAlignment="1">
      <alignment horizontal="center" wrapText="1"/>
    </xf>
    <xf numFmtId="0" fontId="15" fillId="16" borderId="53" xfId="0" applyFont="1" applyFill="1" applyBorder="1" applyAlignment="1">
      <alignment horizontal="center" wrapText="1"/>
    </xf>
    <xf numFmtId="0" fontId="15" fillId="16" borderId="66" xfId="0" applyFont="1" applyFill="1" applyBorder="1" applyAlignment="1">
      <alignment horizontal="center" wrapText="1"/>
    </xf>
    <xf numFmtId="0" fontId="2" fillId="16" borderId="53" xfId="0" applyFont="1" applyFill="1" applyBorder="1" applyAlignment="1">
      <alignment horizontal="center"/>
    </xf>
    <xf numFmtId="0" fontId="2" fillId="16" borderId="66" xfId="0" applyFont="1" applyFill="1" applyBorder="1" applyAlignment="1">
      <alignment horizontal="center"/>
    </xf>
    <xf numFmtId="0" fontId="0" fillId="14" borderId="53" xfId="0" applyFill="1" applyBorder="1" applyAlignment="1">
      <alignment horizontal="center"/>
    </xf>
    <xf numFmtId="0" fontId="0" fillId="14" borderId="54" xfId="0" applyFill="1" applyBorder="1" applyAlignment="1">
      <alignment horizontal="center"/>
    </xf>
    <xf numFmtId="0" fontId="2" fillId="14" borderId="53" xfId="0" applyFont="1" applyFill="1" applyBorder="1" applyAlignment="1">
      <alignment horizontal="center"/>
    </xf>
    <xf numFmtId="0" fontId="2" fillId="14" borderId="54" xfId="0" applyFont="1" applyFill="1" applyBorder="1" applyAlignment="1">
      <alignment horizontal="center"/>
    </xf>
    <xf numFmtId="3" fontId="1" fillId="14" borderId="53" xfId="0" applyNumberFormat="1" applyFont="1" applyFill="1" applyBorder="1" applyAlignment="1">
      <alignment horizontal="center" wrapText="1"/>
    </xf>
    <xf numFmtId="3" fontId="10" fillId="14" borderId="54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5" fillId="8" borderId="53" xfId="0" applyFont="1" applyFill="1" applyBorder="1" applyAlignment="1">
      <alignment horizontal="center" vertical="justify"/>
    </xf>
    <xf numFmtId="0" fontId="15" fillId="8" borderId="66" xfId="0" applyFont="1" applyFill="1" applyBorder="1" applyAlignment="1">
      <alignment horizontal="center" vertical="justify"/>
    </xf>
    <xf numFmtId="165" fontId="2" fillId="0" borderId="0" xfId="1" applyNumberFormat="1" applyFont="1" applyBorder="1" applyAlignment="1">
      <alignment horizontal="center"/>
    </xf>
    <xf numFmtId="0" fontId="33" fillId="8" borderId="13" xfId="0" applyFont="1" applyFill="1" applyBorder="1" applyAlignment="1">
      <alignment horizontal="center" vertical="justify"/>
    </xf>
    <xf numFmtId="0" fontId="33" fillId="8" borderId="35" xfId="0" applyFont="1" applyFill="1" applyBorder="1" applyAlignment="1">
      <alignment horizontal="center" vertical="justify"/>
    </xf>
    <xf numFmtId="0" fontId="33" fillId="8" borderId="33" xfId="0" applyFont="1" applyFill="1" applyBorder="1" applyAlignment="1">
      <alignment horizontal="center" vertical="justify"/>
    </xf>
    <xf numFmtId="0" fontId="33" fillId="8" borderId="30" xfId="0" applyFont="1" applyFill="1" applyBorder="1" applyAlignment="1">
      <alignment horizontal="center" vertical="justify"/>
    </xf>
    <xf numFmtId="0" fontId="15" fillId="8" borderId="12" xfId="0" applyFont="1" applyFill="1" applyBorder="1" applyAlignment="1">
      <alignment horizontal="center" vertical="justify"/>
    </xf>
    <xf numFmtId="0" fontId="15" fillId="8" borderId="2" xfId="0" applyFont="1" applyFill="1" applyBorder="1" applyAlignment="1">
      <alignment horizontal="center" vertical="justify"/>
    </xf>
    <xf numFmtId="0" fontId="49" fillId="19" borderId="55" xfId="0" applyFont="1" applyFill="1" applyBorder="1" applyAlignment="1">
      <alignment horizontal="center"/>
    </xf>
    <xf numFmtId="0" fontId="49" fillId="19" borderId="56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67" xfId="0" applyFont="1" applyFill="1" applyBorder="1" applyAlignment="1">
      <alignment horizontal="center"/>
    </xf>
    <xf numFmtId="0" fontId="24" fillId="7" borderId="55" xfId="0" applyFont="1" applyFill="1" applyBorder="1" applyAlignment="1">
      <alignment horizontal="center"/>
    </xf>
    <xf numFmtId="0" fontId="24" fillId="7" borderId="56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 vertical="justify"/>
    </xf>
    <xf numFmtId="0" fontId="2" fillId="9" borderId="8" xfId="0" applyFont="1" applyFill="1" applyBorder="1" applyAlignment="1">
      <alignment horizontal="center" vertical="justify"/>
    </xf>
    <xf numFmtId="0" fontId="2" fillId="9" borderId="33" xfId="0" applyFont="1" applyFill="1" applyBorder="1" applyAlignment="1">
      <alignment horizontal="center" vertical="justify"/>
    </xf>
    <xf numFmtId="0" fontId="2" fillId="9" borderId="9" xfId="0" applyFont="1" applyFill="1" applyBorder="1" applyAlignment="1">
      <alignment horizontal="center" vertical="justify"/>
    </xf>
    <xf numFmtId="0" fontId="2" fillId="9" borderId="42" xfId="0" applyFont="1" applyFill="1" applyBorder="1" applyAlignment="1">
      <alignment horizontal="center" vertical="justify"/>
    </xf>
    <xf numFmtId="0" fontId="2" fillId="9" borderId="31" xfId="0" applyFont="1" applyFill="1" applyBorder="1" applyAlignment="1">
      <alignment horizontal="center" vertical="justify"/>
    </xf>
    <xf numFmtId="0" fontId="0" fillId="0" borderId="0" xfId="0" applyBorder="1" applyAlignment="1">
      <alignment horizontal="center"/>
    </xf>
    <xf numFmtId="0" fontId="15" fillId="9" borderId="53" xfId="0" applyFont="1" applyFill="1" applyBorder="1" applyAlignment="1">
      <alignment horizontal="center" vertical="justify"/>
    </xf>
    <xf numFmtId="0" fontId="15" fillId="9" borderId="66" xfId="0" applyFont="1" applyFill="1" applyBorder="1" applyAlignment="1">
      <alignment horizontal="center" vertical="justify"/>
    </xf>
    <xf numFmtId="0" fontId="15" fillId="9" borderId="12" xfId="0" applyFont="1" applyFill="1" applyBorder="1" applyAlignment="1">
      <alignment horizontal="center" vertical="justify"/>
    </xf>
    <xf numFmtId="0" fontId="15" fillId="9" borderId="2" xfId="0" applyFont="1" applyFill="1" applyBorder="1" applyAlignment="1">
      <alignment horizontal="center" vertical="justify"/>
    </xf>
    <xf numFmtId="0" fontId="2" fillId="7" borderId="32" xfId="0" applyFont="1" applyFill="1" applyBorder="1" applyAlignment="1">
      <alignment horizontal="center"/>
    </xf>
    <xf numFmtId="0" fontId="2" fillId="7" borderId="46" xfId="0" applyFont="1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2" fillId="7" borderId="47" xfId="0" applyFont="1" applyFill="1" applyBorder="1" applyAlignment="1">
      <alignment horizontal="center"/>
    </xf>
    <xf numFmtId="49" fontId="4" fillId="5" borderId="53" xfId="0" applyNumberFormat="1" applyFont="1" applyFill="1" applyBorder="1" applyAlignment="1">
      <alignment horizontal="center" wrapText="1" shrinkToFit="1"/>
    </xf>
    <xf numFmtId="49" fontId="4" fillId="5" borderId="54" xfId="0" applyNumberFormat="1" applyFont="1" applyFill="1" applyBorder="1" applyAlignment="1">
      <alignment horizontal="center" wrapText="1" shrinkToFit="1"/>
    </xf>
    <xf numFmtId="0" fontId="2" fillId="7" borderId="65" xfId="0" applyFont="1" applyFill="1" applyBorder="1" applyAlignment="1">
      <alignment horizontal="center"/>
    </xf>
    <xf numFmtId="3" fontId="4" fillId="5" borderId="44" xfId="0" applyNumberFormat="1" applyFont="1" applyFill="1" applyBorder="1" applyAlignment="1">
      <alignment horizontal="center" vertical="justify"/>
    </xf>
    <xf numFmtId="3" fontId="4" fillId="5" borderId="56" xfId="0" applyNumberFormat="1" applyFont="1" applyFill="1" applyBorder="1" applyAlignment="1">
      <alignment horizontal="center" vertical="justify"/>
    </xf>
    <xf numFmtId="3" fontId="4" fillId="5" borderId="45" xfId="0" applyNumberFormat="1" applyFont="1" applyFill="1" applyBorder="1" applyAlignment="1">
      <alignment horizontal="center" vertical="justify"/>
    </xf>
    <xf numFmtId="3" fontId="4" fillId="5" borderId="60" xfId="0" applyNumberFormat="1" applyFont="1" applyFill="1" applyBorder="1" applyAlignment="1">
      <alignment horizontal="center" vertical="justify"/>
    </xf>
    <xf numFmtId="0" fontId="4" fillId="5" borderId="44" xfId="0" applyFont="1" applyFill="1" applyBorder="1" applyAlignment="1">
      <alignment horizontal="center" vertical="justify"/>
    </xf>
    <xf numFmtId="0" fontId="4" fillId="5" borderId="56" xfId="0" applyFont="1" applyFill="1" applyBorder="1" applyAlignment="1">
      <alignment horizontal="center" vertical="justify"/>
    </xf>
    <xf numFmtId="3" fontId="4" fillId="5" borderId="70" xfId="0" applyNumberFormat="1" applyFont="1" applyFill="1" applyBorder="1" applyAlignment="1">
      <alignment horizontal="center" vertical="justify"/>
    </xf>
    <xf numFmtId="3" fontId="4" fillId="5" borderId="51" xfId="0" applyNumberFormat="1" applyFont="1" applyFill="1" applyBorder="1" applyAlignment="1">
      <alignment horizontal="center" vertical="justify"/>
    </xf>
    <xf numFmtId="3" fontId="4" fillId="5" borderId="52" xfId="0" applyNumberFormat="1" applyFont="1" applyFill="1" applyBorder="1" applyAlignment="1">
      <alignment horizontal="center" vertical="justify"/>
    </xf>
    <xf numFmtId="0" fontId="8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11" borderId="32" xfId="0" applyFont="1" applyFill="1" applyBorder="1" applyAlignment="1">
      <alignment horizontal="center"/>
    </xf>
    <xf numFmtId="0" fontId="2" fillId="11" borderId="46" xfId="0" applyFont="1" applyFill="1" applyBorder="1" applyAlignment="1">
      <alignment horizontal="center"/>
    </xf>
    <xf numFmtId="0" fontId="2" fillId="11" borderId="65" xfId="0" applyFont="1" applyFill="1" applyBorder="1" applyAlignment="1">
      <alignment horizontal="center"/>
    </xf>
    <xf numFmtId="0" fontId="1" fillId="20" borderId="13" xfId="0" applyFont="1" applyFill="1" applyBorder="1" applyAlignment="1">
      <alignment horizontal="center"/>
    </xf>
    <xf numFmtId="0" fontId="0" fillId="20" borderId="42" xfId="0" applyFill="1" applyBorder="1" applyAlignment="1">
      <alignment horizontal="center"/>
    </xf>
    <xf numFmtId="0" fontId="1" fillId="20" borderId="8" xfId="0" applyFont="1" applyFill="1" applyBorder="1" applyAlignment="1">
      <alignment horizontal="center"/>
    </xf>
    <xf numFmtId="0" fontId="0" fillId="20" borderId="31" xfId="0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1" fillId="7" borderId="46" xfId="0" applyFont="1" applyFill="1" applyBorder="1" applyAlignment="1">
      <alignment horizontal="center"/>
    </xf>
    <xf numFmtId="0" fontId="1" fillId="7" borderId="65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20" borderId="32" xfId="0" applyFont="1" applyFill="1" applyBorder="1" applyAlignment="1">
      <alignment horizontal="center"/>
    </xf>
    <xf numFmtId="0" fontId="1" fillId="20" borderId="46" xfId="0" applyFont="1" applyFill="1" applyBorder="1" applyAlignment="1">
      <alignment horizontal="center"/>
    </xf>
    <xf numFmtId="0" fontId="1" fillId="20" borderId="65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15" fillId="9" borderId="54" xfId="0" applyFont="1" applyFill="1" applyBorder="1" applyAlignment="1">
      <alignment horizontal="center" vertical="justify"/>
    </xf>
    <xf numFmtId="0" fontId="15" fillId="9" borderId="5" xfId="0" applyFont="1" applyFill="1" applyBorder="1" applyAlignment="1">
      <alignment horizontal="center" vertical="justify"/>
    </xf>
    <xf numFmtId="0" fontId="14" fillId="9" borderId="45" xfId="0" applyFont="1" applyFill="1" applyBorder="1" applyAlignment="1">
      <alignment horizontal="center" vertical="justify"/>
    </xf>
    <xf numFmtId="0" fontId="14" fillId="9" borderId="68" xfId="0" applyFont="1" applyFill="1" applyBorder="1" applyAlignment="1">
      <alignment horizontal="center" vertical="justify"/>
    </xf>
    <xf numFmtId="0" fontId="14" fillId="9" borderId="60" xfId="0" applyFont="1" applyFill="1" applyBorder="1" applyAlignment="1">
      <alignment horizontal="center" vertical="justify"/>
    </xf>
    <xf numFmtId="0" fontId="61" fillId="9" borderId="53" xfId="0" applyFont="1" applyFill="1" applyBorder="1" applyAlignment="1">
      <alignment horizontal="center" vertical="center" wrapText="1"/>
    </xf>
    <xf numFmtId="0" fontId="61" fillId="9" borderId="54" xfId="0" applyFont="1" applyFill="1" applyBorder="1" applyAlignment="1">
      <alignment horizontal="center" vertical="center" wrapText="1"/>
    </xf>
    <xf numFmtId="0" fontId="61" fillId="9" borderId="32" xfId="0" applyFont="1" applyFill="1" applyBorder="1" applyAlignment="1">
      <alignment horizontal="center" vertical="center" wrapText="1"/>
    </xf>
    <xf numFmtId="0" fontId="0" fillId="9" borderId="65" xfId="0" applyFill="1" applyBorder="1" applyAlignment="1">
      <alignment horizontal="center" vertical="center" wrapText="1"/>
    </xf>
    <xf numFmtId="0" fontId="52" fillId="17" borderId="32" xfId="0" applyFont="1" applyFill="1" applyBorder="1" applyAlignment="1">
      <alignment horizontal="center" vertical="center" wrapText="1"/>
    </xf>
    <xf numFmtId="0" fontId="1" fillId="17" borderId="65" xfId="0" applyFont="1" applyFill="1" applyBorder="1" applyAlignment="1">
      <alignment horizontal="center" vertical="center" wrapText="1"/>
    </xf>
    <xf numFmtId="0" fontId="61" fillId="9" borderId="65" xfId="0" applyFont="1" applyFill="1" applyBorder="1" applyAlignment="1">
      <alignment horizontal="center" vertical="center" wrapText="1"/>
    </xf>
    <xf numFmtId="0" fontId="52" fillId="17" borderId="65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/>
    </xf>
    <xf numFmtId="0" fontId="14" fillId="9" borderId="53" xfId="0" applyFont="1" applyFill="1" applyBorder="1" applyAlignment="1">
      <alignment horizontal="center"/>
    </xf>
    <xf numFmtId="0" fontId="14" fillId="9" borderId="66" xfId="0" applyFont="1" applyFill="1" applyBorder="1" applyAlignment="1">
      <alignment horizontal="center"/>
    </xf>
    <xf numFmtId="0" fontId="14" fillId="9" borderId="54" xfId="0" applyFont="1" applyFill="1" applyBorder="1" applyAlignment="1">
      <alignment horizontal="center"/>
    </xf>
    <xf numFmtId="0" fontId="61" fillId="9" borderId="66" xfId="0" applyFont="1" applyFill="1" applyBorder="1" applyAlignment="1">
      <alignment horizontal="center" vertical="center" wrapText="1"/>
    </xf>
    <xf numFmtId="0" fontId="61" fillId="9" borderId="10" xfId="0" applyFont="1" applyFill="1" applyBorder="1" applyAlignment="1">
      <alignment horizontal="center" vertical="center" wrapText="1"/>
    </xf>
    <xf numFmtId="0" fontId="61" fillId="9" borderId="12" xfId="0" applyFont="1" applyFill="1" applyBorder="1" applyAlignment="1">
      <alignment horizontal="center" vertical="center" wrapText="1"/>
    </xf>
    <xf numFmtId="0" fontId="61" fillId="9" borderId="3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52" fillId="17" borderId="10" xfId="0" applyFont="1" applyFill="1" applyBorder="1" applyAlignment="1">
      <alignment horizontal="center" vertical="center" wrapText="1"/>
    </xf>
    <xf numFmtId="0" fontId="52" fillId="17" borderId="12" xfId="0" applyFont="1" applyFill="1" applyBorder="1" applyAlignment="1">
      <alignment horizontal="center" vertical="center" wrapText="1"/>
    </xf>
    <xf numFmtId="0" fontId="52" fillId="17" borderId="3" xfId="0" applyFont="1" applyFill="1" applyBorder="1" applyAlignment="1">
      <alignment horizontal="center" vertical="center" wrapText="1"/>
    </xf>
    <xf numFmtId="0" fontId="52" fillId="17" borderId="5" xfId="0" applyFont="1" applyFill="1" applyBorder="1" applyAlignment="1">
      <alignment horizontal="center" vertical="center" wrapText="1"/>
    </xf>
    <xf numFmtId="0" fontId="61" fillId="9" borderId="46" xfId="0" applyFont="1" applyFill="1" applyBorder="1" applyAlignment="1">
      <alignment horizontal="center" vertical="center" wrapText="1"/>
    </xf>
    <xf numFmtId="0" fontId="14" fillId="9" borderId="43" xfId="0" applyFont="1" applyFill="1" applyBorder="1" applyAlignment="1">
      <alignment horizontal="center" vertical="justify"/>
    </xf>
    <xf numFmtId="0" fontId="14" fillId="9" borderId="72" xfId="0" applyFont="1" applyFill="1" applyBorder="1" applyAlignment="1">
      <alignment horizontal="center" vertical="justify"/>
    </xf>
    <xf numFmtId="0" fontId="14" fillId="9" borderId="55" xfId="0" applyFont="1" applyFill="1" applyBorder="1" applyAlignment="1">
      <alignment horizontal="center" vertical="justify"/>
    </xf>
    <xf numFmtId="0" fontId="14" fillId="9" borderId="44" xfId="0" applyFont="1" applyFill="1" applyBorder="1" applyAlignment="1">
      <alignment horizontal="center" vertical="justify"/>
    </xf>
    <xf numFmtId="0" fontId="14" fillId="9" borderId="63" xfId="0" applyFont="1" applyFill="1" applyBorder="1" applyAlignment="1">
      <alignment horizontal="center" vertical="justify"/>
    </xf>
    <xf numFmtId="0" fontId="14" fillId="9" borderId="56" xfId="0" applyFont="1" applyFill="1" applyBorder="1" applyAlignment="1">
      <alignment horizontal="center" vertical="justify"/>
    </xf>
    <xf numFmtId="0" fontId="61" fillId="0" borderId="10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 wrapText="1"/>
    </xf>
    <xf numFmtId="0" fontId="61" fillId="0" borderId="27" xfId="0" applyFont="1" applyBorder="1" applyAlignment="1">
      <alignment horizontal="center"/>
    </xf>
    <xf numFmtId="0" fontId="61" fillId="0" borderId="21" xfId="0" applyFont="1" applyBorder="1" applyAlignment="1">
      <alignment horizontal="center"/>
    </xf>
    <xf numFmtId="0" fontId="61" fillId="0" borderId="41" xfId="0" applyFont="1" applyBorder="1" applyAlignment="1">
      <alignment horizontal="center"/>
    </xf>
    <xf numFmtId="0" fontId="60" fillId="0" borderId="32" xfId="0" applyFont="1" applyBorder="1" applyAlignment="1">
      <alignment horizontal="center"/>
    </xf>
    <xf numFmtId="0" fontId="60" fillId="0" borderId="46" xfId="0" applyFont="1" applyBorder="1" applyAlignment="1">
      <alignment horizontal="center"/>
    </xf>
    <xf numFmtId="0" fontId="60" fillId="0" borderId="65" xfId="0" applyFont="1" applyBorder="1" applyAlignment="1">
      <alignment horizontal="center"/>
    </xf>
    <xf numFmtId="0" fontId="61" fillId="0" borderId="11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53" xfId="0" applyFont="1" applyBorder="1" applyAlignment="1">
      <alignment horizontal="center" vertical="center" wrapText="1"/>
    </xf>
    <xf numFmtId="0" fontId="61" fillId="0" borderId="66" xfId="0" applyFont="1" applyBorder="1" applyAlignment="1">
      <alignment horizontal="center" vertical="center" wrapText="1"/>
    </xf>
    <xf numFmtId="0" fontId="61" fillId="0" borderId="54" xfId="0" applyFont="1" applyBorder="1" applyAlignment="1">
      <alignment horizontal="center" vertical="center" wrapText="1"/>
    </xf>
    <xf numFmtId="0" fontId="52" fillId="0" borderId="27" xfId="0" applyFont="1" applyBorder="1" applyAlignment="1">
      <alignment horizontal="center"/>
    </xf>
    <xf numFmtId="0" fontId="52" fillId="0" borderId="21" xfId="0" applyFont="1" applyBorder="1" applyAlignment="1">
      <alignment horizontal="center"/>
    </xf>
    <xf numFmtId="0" fontId="52" fillId="0" borderId="41" xfId="0" applyFont="1" applyBorder="1" applyAlignment="1">
      <alignment horizontal="center"/>
    </xf>
    <xf numFmtId="0" fontId="60" fillId="0" borderId="3" xfId="0" applyFont="1" applyBorder="1" applyAlignment="1">
      <alignment horizontal="center"/>
    </xf>
    <xf numFmtId="0" fontId="60" fillId="0" borderId="4" xfId="0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0" fontId="61" fillId="7" borderId="10" xfId="0" applyFont="1" applyFill="1" applyBorder="1" applyAlignment="1">
      <alignment horizontal="center" vertical="center" wrapText="1"/>
    </xf>
    <xf numFmtId="0" fontId="61" fillId="7" borderId="12" xfId="0" applyFont="1" applyFill="1" applyBorder="1" applyAlignment="1">
      <alignment horizontal="center" vertical="center" wrapText="1"/>
    </xf>
    <xf numFmtId="0" fontId="61" fillId="7" borderId="3" xfId="0" applyFont="1" applyFill="1" applyBorder="1" applyAlignment="1">
      <alignment horizontal="center" vertical="center" wrapText="1"/>
    </xf>
    <xf numFmtId="0" fontId="61" fillId="7" borderId="5" xfId="0" applyFont="1" applyFill="1" applyBorder="1" applyAlignment="1">
      <alignment horizontal="center" vertical="center" wrapText="1"/>
    </xf>
    <xf numFmtId="0" fontId="61" fillId="0" borderId="32" xfId="0" applyFont="1" applyBorder="1" applyAlignment="1">
      <alignment horizontal="center"/>
    </xf>
    <xf numFmtId="0" fontId="61" fillId="0" borderId="46" xfId="0" applyFont="1" applyBorder="1" applyAlignment="1">
      <alignment horizontal="center"/>
    </xf>
    <xf numFmtId="0" fontId="61" fillId="0" borderId="65" xfId="0" applyFont="1" applyBorder="1" applyAlignment="1">
      <alignment horizontal="center"/>
    </xf>
    <xf numFmtId="0" fontId="61" fillId="0" borderId="10" xfId="0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center" vertical="center" wrapText="1"/>
    </xf>
    <xf numFmtId="0" fontId="61" fillId="0" borderId="5" xfId="0" applyFont="1" applyFill="1" applyBorder="1" applyAlignment="1">
      <alignment horizontal="center" vertical="center" wrapText="1"/>
    </xf>
    <xf numFmtId="0" fontId="61" fillId="0" borderId="77" xfId="0" applyFont="1" applyBorder="1" applyAlignment="1">
      <alignment horizontal="center" vertical="center" wrapText="1"/>
    </xf>
    <xf numFmtId="0" fontId="61" fillId="0" borderId="78" xfId="0" applyFont="1" applyBorder="1" applyAlignment="1">
      <alignment horizontal="center" vertical="center" wrapText="1"/>
    </xf>
    <xf numFmtId="0" fontId="61" fillId="0" borderId="79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65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61" fillId="0" borderId="77" xfId="0" applyFont="1" applyFill="1" applyBorder="1" applyAlignment="1">
      <alignment horizontal="center" vertical="center" wrapText="1"/>
    </xf>
    <xf numFmtId="0" fontId="61" fillId="0" borderId="78" xfId="0" applyFont="1" applyFill="1" applyBorder="1" applyAlignment="1">
      <alignment horizontal="center" vertical="center" wrapText="1"/>
    </xf>
    <xf numFmtId="0" fontId="61" fillId="0" borderId="79" xfId="0" applyFont="1" applyFill="1" applyBorder="1" applyAlignment="1">
      <alignment horizontal="center" vertical="center" wrapText="1"/>
    </xf>
    <xf numFmtId="0" fontId="61" fillId="0" borderId="53" xfId="0" applyFont="1" applyFill="1" applyBorder="1" applyAlignment="1">
      <alignment horizontal="center" vertical="center" wrapText="1"/>
    </xf>
    <xf numFmtId="0" fontId="61" fillId="0" borderId="66" xfId="0" applyFont="1" applyFill="1" applyBorder="1" applyAlignment="1">
      <alignment horizontal="center" vertical="center" wrapText="1"/>
    </xf>
    <xf numFmtId="0" fontId="61" fillId="0" borderId="54" xfId="0" applyFont="1" applyFill="1" applyBorder="1" applyAlignment="1">
      <alignment horizontal="center" vertical="center" wrapText="1"/>
    </xf>
    <xf numFmtId="0" fontId="61" fillId="0" borderId="32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61" fillId="0" borderId="65" xfId="0" applyFont="1" applyFill="1" applyBorder="1" applyAlignment="1">
      <alignment horizontal="center" vertical="center" wrapText="1"/>
    </xf>
    <xf numFmtId="0" fontId="61" fillId="0" borderId="32" xfId="0" applyFont="1" applyFill="1" applyBorder="1" applyAlignment="1">
      <alignment horizontal="center"/>
    </xf>
    <xf numFmtId="0" fontId="61" fillId="0" borderId="46" xfId="0" applyFont="1" applyFill="1" applyBorder="1" applyAlignment="1">
      <alignment horizontal="center"/>
    </xf>
    <xf numFmtId="0" fontId="61" fillId="0" borderId="65" xfId="0" applyFont="1" applyFill="1" applyBorder="1" applyAlignment="1">
      <alignment horizontal="center"/>
    </xf>
    <xf numFmtId="0" fontId="60" fillId="0" borderId="32" xfId="0" applyFont="1" applyFill="1" applyBorder="1" applyAlignment="1">
      <alignment horizontal="center"/>
    </xf>
    <xf numFmtId="0" fontId="60" fillId="0" borderId="46" xfId="0" applyFont="1" applyFill="1" applyBorder="1" applyAlignment="1">
      <alignment horizontal="center"/>
    </xf>
    <xf numFmtId="0" fontId="61" fillId="0" borderId="46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wrapText="1"/>
    </xf>
    <xf numFmtId="0" fontId="14" fillId="8" borderId="31" xfId="0" applyFont="1" applyFill="1" applyBorder="1" applyAlignment="1">
      <alignment wrapText="1"/>
    </xf>
    <xf numFmtId="0" fontId="14" fillId="8" borderId="70" xfId="0" applyFont="1" applyFill="1" applyBorder="1" applyAlignment="1">
      <alignment horizontal="center"/>
    </xf>
    <xf numFmtId="0" fontId="14" fillId="8" borderId="51" xfId="0" applyFont="1" applyFill="1" applyBorder="1" applyAlignment="1">
      <alignment horizontal="center"/>
    </xf>
    <xf numFmtId="0" fontId="14" fillId="8" borderId="74" xfId="0" applyFont="1" applyFill="1" applyBorder="1" applyAlignment="1">
      <alignment horizontal="center"/>
    </xf>
    <xf numFmtId="0" fontId="14" fillId="8" borderId="13" xfId="0" applyFont="1" applyFill="1" applyBorder="1" applyAlignment="1"/>
    <xf numFmtId="0" fontId="14" fillId="8" borderId="7" xfId="0" applyFont="1" applyFill="1" applyBorder="1" applyAlignment="1"/>
    <xf numFmtId="0" fontId="14" fillId="8" borderId="8" xfId="0" applyFont="1" applyFill="1" applyBorder="1" applyAlignment="1"/>
    <xf numFmtId="0" fontId="14" fillId="8" borderId="33" xfId="0" applyFont="1" applyFill="1" applyBorder="1" applyAlignment="1"/>
    <xf numFmtId="0" fontId="14" fillId="8" borderId="6" xfId="0" applyFont="1" applyFill="1" applyBorder="1" applyAlignment="1"/>
    <xf numFmtId="0" fontId="14" fillId="8" borderId="9" xfId="0" applyFont="1" applyFill="1" applyBorder="1" applyAlignment="1"/>
    <xf numFmtId="49" fontId="14" fillId="8" borderId="44" xfId="0" applyNumberFormat="1" applyFont="1" applyFill="1" applyBorder="1" applyAlignment="1">
      <alignment wrapText="1"/>
    </xf>
    <xf numFmtId="49" fontId="14" fillId="8" borderId="63" xfId="0" applyNumberFormat="1" applyFont="1" applyFill="1" applyBorder="1" applyAlignment="1">
      <alignment wrapText="1"/>
    </xf>
    <xf numFmtId="49" fontId="14" fillId="8" borderId="56" xfId="0" applyNumberFormat="1" applyFont="1" applyFill="1" applyBorder="1" applyAlignment="1">
      <alignment wrapText="1"/>
    </xf>
    <xf numFmtId="0" fontId="14" fillId="8" borderId="6" xfId="0" applyFont="1" applyFill="1" applyBorder="1" applyAlignment="1">
      <alignment wrapText="1"/>
    </xf>
    <xf numFmtId="0" fontId="14" fillId="8" borderId="9" xfId="0" applyFont="1" applyFill="1" applyBorder="1" applyAlignment="1">
      <alignment wrapText="1"/>
    </xf>
    <xf numFmtId="0" fontId="27" fillId="0" borderId="0" xfId="0" applyFont="1" applyBorder="1" applyAlignment="1">
      <alignment horizontal="center"/>
    </xf>
    <xf numFmtId="0" fontId="79" fillId="0" borderId="0" xfId="0" applyFont="1" applyAlignment="1">
      <alignment horizontal="center"/>
    </xf>
    <xf numFmtId="0" fontId="14" fillId="7" borderId="32" xfId="0" applyFont="1" applyFill="1" applyBorder="1" applyAlignment="1">
      <alignment horizontal="right"/>
    </xf>
    <xf numFmtId="0" fontId="20" fillId="7" borderId="46" xfId="0" applyFont="1" applyFill="1" applyBorder="1" applyAlignment="1">
      <alignment horizontal="right"/>
    </xf>
    <xf numFmtId="0" fontId="20" fillId="7" borderId="47" xfId="0" applyFont="1" applyFill="1" applyBorder="1" applyAlignment="1">
      <alignment horizontal="right"/>
    </xf>
    <xf numFmtId="0" fontId="15" fillId="7" borderId="1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5" fillId="8" borderId="43" xfId="0" applyFont="1" applyFill="1" applyBorder="1" applyAlignment="1">
      <alignment horizontal="center"/>
    </xf>
    <xf numFmtId="0" fontId="15" fillId="8" borderId="55" xfId="0" applyFont="1" applyFill="1" applyBorder="1" applyAlignment="1">
      <alignment horizontal="center"/>
    </xf>
    <xf numFmtId="164" fontId="15" fillId="7" borderId="66" xfId="0" applyNumberFormat="1" applyFont="1" applyFill="1" applyBorder="1" applyAlignment="1">
      <alignment horizontal="center"/>
    </xf>
    <xf numFmtId="164" fontId="15" fillId="7" borderId="54" xfId="0" applyNumberFormat="1" applyFont="1" applyFill="1" applyBorder="1" applyAlignment="1">
      <alignment horizontal="center"/>
    </xf>
    <xf numFmtId="0" fontId="15" fillId="8" borderId="53" xfId="0" applyFont="1" applyFill="1" applyBorder="1" applyAlignment="1">
      <alignment horizontal="center"/>
    </xf>
    <xf numFmtId="0" fontId="15" fillId="8" borderId="6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95" fillId="7" borderId="64" xfId="0" applyFont="1" applyFill="1" applyBorder="1" applyAlignment="1">
      <alignment horizontal="center"/>
    </xf>
    <xf numFmtId="0" fontId="95" fillId="7" borderId="48" xfId="0" applyFont="1" applyFill="1" applyBorder="1" applyAlignment="1">
      <alignment horizontal="center"/>
    </xf>
    <xf numFmtId="0" fontId="95" fillId="7" borderId="22" xfId="0" applyFont="1" applyFill="1" applyBorder="1" applyAlignment="1">
      <alignment horizontal="center"/>
    </xf>
    <xf numFmtId="0" fontId="14" fillId="8" borderId="53" xfId="0" applyFont="1" applyFill="1" applyBorder="1" applyAlignment="1">
      <alignment horizontal="center"/>
    </xf>
    <xf numFmtId="0" fontId="14" fillId="8" borderId="54" xfId="0" applyFont="1" applyFill="1" applyBorder="1" applyAlignment="1">
      <alignment horizontal="center"/>
    </xf>
    <xf numFmtId="0" fontId="15" fillId="9" borderId="7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95" fillId="7" borderId="40" xfId="0" applyFont="1" applyFill="1" applyBorder="1" applyAlignment="1">
      <alignment horizontal="center"/>
    </xf>
    <xf numFmtId="0" fontId="95" fillId="7" borderId="49" xfId="0" applyFont="1" applyFill="1" applyBorder="1" applyAlignment="1">
      <alignment horizontal="center"/>
    </xf>
    <xf numFmtId="0" fontId="95" fillId="7" borderId="50" xfId="0" applyFont="1" applyFill="1" applyBorder="1" applyAlignment="1">
      <alignment horizontal="center"/>
    </xf>
    <xf numFmtId="165" fontId="1" fillId="15" borderId="57" xfId="1" applyNumberFormat="1" applyFont="1" applyFill="1" applyBorder="1" applyAlignment="1">
      <alignment horizontal="center" wrapText="1" shrinkToFit="1"/>
    </xf>
    <xf numFmtId="165" fontId="1" fillId="15" borderId="58" xfId="1" applyNumberFormat="1" applyFont="1" applyFill="1" applyBorder="1" applyAlignment="1">
      <alignment horizontal="center" wrapText="1" shrinkToFit="1"/>
    </xf>
    <xf numFmtId="165" fontId="1" fillId="15" borderId="76" xfId="1" applyNumberFormat="1" applyFont="1" applyFill="1" applyBorder="1" applyAlignment="1">
      <alignment horizontal="center" wrapText="1" shrinkToFit="1"/>
    </xf>
    <xf numFmtId="165" fontId="15" fillId="9" borderId="64" xfId="1" applyNumberFormat="1" applyFont="1" applyFill="1" applyBorder="1" applyAlignment="1">
      <alignment horizontal="center"/>
    </xf>
    <xf numFmtId="165" fontId="15" fillId="9" borderId="48" xfId="1" applyNumberFormat="1" applyFont="1" applyFill="1" applyBorder="1" applyAlignment="1">
      <alignment horizontal="center"/>
    </xf>
    <xf numFmtId="165" fontId="15" fillId="9" borderId="16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15" fillId="9" borderId="70" xfId="1" applyNumberFormat="1" applyFont="1" applyFill="1" applyBorder="1" applyAlignment="1">
      <alignment horizontal="center"/>
    </xf>
    <xf numFmtId="165" fontId="15" fillId="9" borderId="52" xfId="1" applyNumberFormat="1" applyFont="1" applyFill="1" applyBorder="1" applyAlignment="1">
      <alignment horizontal="center"/>
    </xf>
    <xf numFmtId="165" fontId="15" fillId="9" borderId="51" xfId="1" applyNumberFormat="1" applyFont="1" applyFill="1" applyBorder="1" applyAlignment="1">
      <alignment horizontal="center"/>
    </xf>
    <xf numFmtId="0" fontId="14" fillId="7" borderId="3" xfId="0" applyFont="1" applyFill="1" applyBorder="1" applyAlignment="1">
      <alignment horizontal="right"/>
    </xf>
    <xf numFmtId="0" fontId="20" fillId="7" borderId="4" xfId="0" applyFont="1" applyFill="1" applyBorder="1" applyAlignment="1">
      <alignment horizontal="right"/>
    </xf>
    <xf numFmtId="0" fontId="20" fillId="7" borderId="67" xfId="0" applyFont="1" applyFill="1" applyBorder="1" applyAlignment="1">
      <alignment horizontal="right"/>
    </xf>
    <xf numFmtId="3" fontId="4" fillId="9" borderId="44" xfId="0" applyNumberFormat="1" applyFont="1" applyFill="1" applyBorder="1" applyAlignment="1">
      <alignment horizontal="center" vertical="justify"/>
    </xf>
    <xf numFmtId="3" fontId="4" fillId="9" borderId="56" xfId="0" applyNumberFormat="1" applyFont="1" applyFill="1" applyBorder="1" applyAlignment="1">
      <alignment horizontal="center" vertical="justify"/>
    </xf>
    <xf numFmtId="3" fontId="4" fillId="9" borderId="70" xfId="0" applyNumberFormat="1" applyFont="1" applyFill="1" applyBorder="1" applyAlignment="1">
      <alignment horizontal="center" vertical="justify"/>
    </xf>
    <xf numFmtId="3" fontId="4" fillId="9" borderId="51" xfId="0" applyNumberFormat="1" applyFont="1" applyFill="1" applyBorder="1" applyAlignment="1">
      <alignment horizontal="center" vertical="justify"/>
    </xf>
    <xf numFmtId="3" fontId="4" fillId="9" borderId="52" xfId="0" applyNumberFormat="1" applyFont="1" applyFill="1" applyBorder="1" applyAlignment="1">
      <alignment horizontal="center" vertical="justify"/>
    </xf>
    <xf numFmtId="0" fontId="4" fillId="7" borderId="32" xfId="0" applyFont="1" applyFill="1" applyBorder="1" applyAlignment="1">
      <alignment horizontal="center"/>
    </xf>
    <xf numFmtId="0" fontId="4" fillId="7" borderId="75" xfId="0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" vertical="justify"/>
    </xf>
    <xf numFmtId="0" fontId="4" fillId="9" borderId="56" xfId="0" applyFont="1" applyFill="1" applyBorder="1" applyAlignment="1">
      <alignment horizontal="center" vertical="justify"/>
    </xf>
    <xf numFmtId="49" fontId="4" fillId="9" borderId="53" xfId="0" applyNumberFormat="1" applyFont="1" applyFill="1" applyBorder="1" applyAlignment="1">
      <alignment horizontal="center" wrapText="1" shrinkToFit="1"/>
    </xf>
    <xf numFmtId="49" fontId="4" fillId="9" borderId="54" xfId="0" applyNumberFormat="1" applyFont="1" applyFill="1" applyBorder="1" applyAlignment="1">
      <alignment horizontal="center" wrapText="1" shrinkToFit="1"/>
    </xf>
    <xf numFmtId="0" fontId="15" fillId="11" borderId="32" xfId="0" applyFont="1" applyFill="1" applyBorder="1" applyAlignment="1">
      <alignment horizontal="center"/>
    </xf>
    <xf numFmtId="0" fontId="15" fillId="11" borderId="46" xfId="0" applyFont="1" applyFill="1" applyBorder="1" applyAlignment="1">
      <alignment horizontal="center"/>
    </xf>
    <xf numFmtId="0" fontId="15" fillId="11" borderId="65" xfId="0" applyFont="1" applyFill="1" applyBorder="1" applyAlignment="1">
      <alignment horizontal="center"/>
    </xf>
    <xf numFmtId="3" fontId="4" fillId="9" borderId="45" xfId="0" applyNumberFormat="1" applyFont="1" applyFill="1" applyBorder="1" applyAlignment="1">
      <alignment horizontal="center" vertical="justify"/>
    </xf>
    <xf numFmtId="3" fontId="4" fillId="9" borderId="60" xfId="0" applyNumberFormat="1" applyFont="1" applyFill="1" applyBorder="1" applyAlignment="1">
      <alignment horizontal="center" vertical="justify"/>
    </xf>
    <xf numFmtId="0" fontId="1" fillId="0" borderId="0" xfId="0" applyFont="1" applyBorder="1" applyAlignment="1">
      <alignment horizontal="center"/>
    </xf>
    <xf numFmtId="0" fontId="2" fillId="9" borderId="43" xfId="0" applyFont="1" applyFill="1" applyBorder="1" applyAlignment="1">
      <alignment horizontal="center"/>
    </xf>
    <xf numFmtId="0" fontId="2" fillId="9" borderId="72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2" fillId="9" borderId="63" xfId="0" applyFont="1" applyFill="1" applyBorder="1" applyAlignment="1">
      <alignment horizontal="center"/>
    </xf>
    <xf numFmtId="0" fontId="2" fillId="9" borderId="62" xfId="0" applyFont="1" applyFill="1" applyBorder="1" applyAlignment="1">
      <alignment horizontal="center"/>
    </xf>
    <xf numFmtId="0" fontId="2" fillId="9" borderId="46" xfId="0" applyFont="1" applyFill="1" applyBorder="1" applyAlignment="1">
      <alignment horizontal="center"/>
    </xf>
    <xf numFmtId="0" fontId="2" fillId="9" borderId="65" xfId="0" applyFont="1" applyFill="1" applyBorder="1" applyAlignment="1">
      <alignment horizontal="center"/>
    </xf>
    <xf numFmtId="0" fontId="68" fillId="0" borderId="0" xfId="0" applyFont="1" applyAlignment="1">
      <alignment horizontal="left"/>
    </xf>
    <xf numFmtId="0" fontId="77" fillId="0" borderId="0" xfId="0" applyFont="1" applyAlignment="1">
      <alignment horizontal="center"/>
    </xf>
    <xf numFmtId="0" fontId="52" fillId="0" borderId="64" xfId="0" applyFont="1" applyBorder="1" applyAlignment="1">
      <alignment horizontal="center"/>
    </xf>
    <xf numFmtId="0" fontId="52" fillId="0" borderId="48" xfId="0" applyFont="1" applyBorder="1" applyAlignment="1">
      <alignment horizontal="center"/>
    </xf>
    <xf numFmtId="0" fontId="52" fillId="0" borderId="22" xfId="0" applyFont="1" applyBorder="1" applyAlignment="1">
      <alignment horizontal="center"/>
    </xf>
    <xf numFmtId="0" fontId="52" fillId="0" borderId="30" xfId="0" applyFont="1" applyFill="1" applyBorder="1" applyAlignment="1">
      <alignment horizontal="center" vertical="center"/>
    </xf>
    <xf numFmtId="0" fontId="52" fillId="0" borderId="19" xfId="0" applyFont="1" applyFill="1" applyBorder="1" applyAlignment="1">
      <alignment horizontal="center" vertical="center"/>
    </xf>
    <xf numFmtId="0" fontId="52" fillId="0" borderId="30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2" fillId="0" borderId="64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74" fillId="0" borderId="0" xfId="0" applyFont="1" applyAlignment="1">
      <alignment horizontal="center"/>
    </xf>
    <xf numFmtId="0" fontId="55" fillId="0" borderId="30" xfId="0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center" vertical="center"/>
    </xf>
    <xf numFmtId="0" fontId="55" fillId="0" borderId="30" xfId="0" applyFont="1" applyFill="1" applyBorder="1" applyAlignment="1">
      <alignment horizontal="center" vertical="center" wrapText="1"/>
    </xf>
    <xf numFmtId="0" fontId="55" fillId="0" borderId="19" xfId="0" applyFont="1" applyFill="1" applyBorder="1" applyAlignment="1">
      <alignment horizontal="center" vertical="center" wrapText="1"/>
    </xf>
    <xf numFmtId="0" fontId="55" fillId="0" borderId="64" xfId="0" applyFont="1" applyFill="1" applyBorder="1" applyAlignment="1">
      <alignment horizontal="center" vertical="center"/>
    </xf>
    <xf numFmtId="0" fontId="55" fillId="0" borderId="22" xfId="0" applyFont="1" applyFill="1" applyBorder="1" applyAlignment="1">
      <alignment horizontal="center" vertical="center"/>
    </xf>
    <xf numFmtId="0" fontId="78" fillId="0" borderId="6" xfId="0" applyFont="1" applyBorder="1" applyAlignment="1">
      <alignment horizontal="left" vertical="top" wrapText="1" indent="2"/>
    </xf>
    <xf numFmtId="0" fontId="74" fillId="0" borderId="0" xfId="0" applyFont="1" applyAlignment="1">
      <alignment horizontal="left"/>
    </xf>
    <xf numFmtId="0" fontId="1" fillId="17" borderId="4" xfId="0" applyFont="1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1" fillId="17" borderId="0" xfId="0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165" fontId="1" fillId="17" borderId="0" xfId="1" applyNumberFormat="1" applyFont="1" applyFill="1" applyBorder="1" applyAlignment="1">
      <alignment horizontal="center"/>
    </xf>
    <xf numFmtId="165" fontId="0" fillId="17" borderId="0" xfId="1" applyNumberFormat="1" applyFont="1" applyFill="1" applyBorder="1" applyAlignment="1">
      <alignment horizontal="center"/>
    </xf>
    <xf numFmtId="0" fontId="1" fillId="15" borderId="0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66"/>
      <color rgb="FF00FFCC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195</xdr:row>
      <xdr:rowOff>133350</xdr:rowOff>
    </xdr:from>
    <xdr:to>
      <xdr:col>11</xdr:col>
      <xdr:colOff>581025</xdr:colOff>
      <xdr:row>195</xdr:row>
      <xdr:rowOff>142875</xdr:rowOff>
    </xdr:to>
    <xdr:sp macro="" textlink="">
      <xdr:nvSpPr>
        <xdr:cNvPr id="3200" name="Line 11"/>
        <xdr:cNvSpPr>
          <a:spLocks noChangeShapeType="1"/>
        </xdr:cNvSpPr>
      </xdr:nvSpPr>
      <xdr:spPr bwMode="auto">
        <a:xfrm flipH="1">
          <a:off x="7915275" y="38833425"/>
          <a:ext cx="190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ownloads\P&#235;r%20t&#235;%20par&#235;%20Shefi\Kleal%20Kon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 "/>
      <sheetName val="AKTIVI "/>
      <sheetName val="PASIVI "/>
      <sheetName val="Ardh e shp - natyres"/>
      <sheetName val=" Fluksit mon - direkte"/>
      <sheetName val="Pasq e ndrysh te kap 2"/>
      <sheetName val="Shenit Shpjeguse"/>
      <sheetName val="Shenimet Shpjeg"/>
      <sheetName val="A1"/>
      <sheetName val="A2"/>
      <sheetName val="C1"/>
      <sheetName val="C2"/>
      <sheetName val="C3"/>
      <sheetName val="D1"/>
      <sheetName val="D2"/>
      <sheetName val="D3"/>
      <sheetName val="D4"/>
      <sheetName val="D5-"/>
      <sheetName val="D 6"/>
      <sheetName val="L  1"/>
      <sheetName val="L3"/>
      <sheetName val="L 4"/>
      <sheetName val="E2"/>
      <sheetName val="M1"/>
      <sheetName val="Liber Shit- Blerje "/>
      <sheetName val="P -Ardh Analiz "/>
      <sheetName val="S"/>
      <sheetName val="T"/>
      <sheetName val="U"/>
      <sheetName val="V"/>
      <sheetName val="U - statist"/>
      <sheetName val="Stat - te ardhur"/>
      <sheetName val="Stat - Kostot "/>
      <sheetName val="Stat - te ardh  anal"/>
      <sheetName val="All"/>
      <sheetName val="Eur"/>
      <sheetName val="Sheet2"/>
      <sheetName val="Sheet1"/>
    </sheetNames>
    <sheetDataSet>
      <sheetData sheetId="0" refreshError="1"/>
      <sheetData sheetId="1" refreshError="1"/>
      <sheetData sheetId="2">
        <row r="29">
          <cell r="F29">
            <v>1000000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topLeftCell="A5" workbookViewId="0">
      <selection activeCell="Q23" sqref="Q23"/>
    </sheetView>
  </sheetViews>
  <sheetFormatPr defaultRowHeight="12.75"/>
  <cols>
    <col min="1" max="1" width="4" customWidth="1"/>
    <col min="2" max="2" width="3.28515625" customWidth="1"/>
    <col min="4" max="4" width="7.28515625" customWidth="1"/>
    <col min="5" max="5" width="10.140625" bestFit="1" customWidth="1"/>
    <col min="7" max="7" width="4.140625" customWidth="1"/>
    <col min="8" max="8" width="4" customWidth="1"/>
    <col min="12" max="12" width="11.28515625" customWidth="1"/>
    <col min="13" max="13" width="5" customWidth="1"/>
    <col min="14" max="14" width="3.5703125" customWidth="1"/>
  </cols>
  <sheetData>
    <row r="1" spans="2:13" ht="13.5" thickBot="1"/>
    <row r="2" spans="2:13">
      <c r="B2" s="912"/>
      <c r="C2" s="913"/>
      <c r="D2" s="913"/>
      <c r="E2" s="913"/>
      <c r="F2" s="913"/>
      <c r="G2" s="913"/>
      <c r="H2" s="913"/>
      <c r="I2" s="913"/>
      <c r="J2" s="913"/>
      <c r="K2" s="913"/>
      <c r="L2" s="913"/>
      <c r="M2" s="914"/>
    </row>
    <row r="3" spans="2:13">
      <c r="B3" s="915"/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916"/>
    </row>
    <row r="4" spans="2:13">
      <c r="B4" s="915"/>
      <c r="C4" s="755"/>
      <c r="D4" s="755"/>
      <c r="E4" s="755"/>
      <c r="F4" s="755" t="s">
        <v>840</v>
      </c>
      <c r="G4" s="755"/>
      <c r="H4" s="1325"/>
      <c r="I4" s="1325"/>
      <c r="J4" s="1325"/>
      <c r="K4" s="917"/>
      <c r="L4" s="918"/>
      <c r="M4" s="916"/>
    </row>
    <row r="5" spans="2:13">
      <c r="B5" s="915"/>
      <c r="C5" s="755"/>
      <c r="D5" s="755"/>
      <c r="E5" s="755"/>
      <c r="F5" s="755"/>
      <c r="G5" s="755"/>
      <c r="H5" s="1325"/>
      <c r="I5" s="1325"/>
      <c r="J5" s="1325"/>
      <c r="K5" s="917"/>
      <c r="L5" s="917"/>
      <c r="M5" s="916"/>
    </row>
    <row r="6" spans="2:13">
      <c r="B6" s="915"/>
      <c r="C6" s="755"/>
      <c r="D6" s="755"/>
      <c r="E6" s="755"/>
      <c r="F6" s="755"/>
      <c r="G6" s="1325"/>
      <c r="H6" s="1325"/>
      <c r="I6" s="1325"/>
      <c r="J6" s="1325"/>
      <c r="K6" s="917"/>
      <c r="L6" s="917"/>
      <c r="M6" s="916"/>
    </row>
    <row r="7" spans="2:13">
      <c r="B7" s="915"/>
      <c r="C7" s="755"/>
      <c r="D7" s="755"/>
      <c r="E7" s="755"/>
      <c r="F7" s="755"/>
      <c r="G7" s="755"/>
      <c r="H7" s="755"/>
      <c r="I7" s="1325"/>
      <c r="J7" s="1325"/>
      <c r="K7" s="917"/>
      <c r="L7" s="917"/>
      <c r="M7" s="916"/>
    </row>
    <row r="8" spans="2:13" ht="37.5">
      <c r="B8" s="915"/>
      <c r="C8" s="755"/>
      <c r="D8" s="919" t="s">
        <v>351</v>
      </c>
      <c r="E8" s="919"/>
      <c r="F8" s="919"/>
      <c r="G8" s="919"/>
      <c r="H8" s="920"/>
      <c r="I8" s="920"/>
      <c r="J8" s="921"/>
      <c r="K8" s="921"/>
      <c r="L8" s="921"/>
      <c r="M8" s="916"/>
    </row>
    <row r="9" spans="2:13">
      <c r="B9" s="915"/>
      <c r="C9" s="755"/>
      <c r="D9" s="755"/>
      <c r="E9" s="755"/>
      <c r="F9" s="755"/>
      <c r="G9" s="755"/>
      <c r="H9" s="1325"/>
      <c r="I9" s="1325"/>
      <c r="J9" s="755"/>
      <c r="K9" s="755"/>
      <c r="L9" s="755"/>
      <c r="M9" s="916"/>
    </row>
    <row r="10" spans="2:13">
      <c r="B10" s="915"/>
      <c r="C10" s="755"/>
      <c r="D10" s="755"/>
      <c r="E10" s="755"/>
      <c r="F10" s="755"/>
      <c r="G10" s="755"/>
      <c r="H10" s="755"/>
      <c r="I10" s="755"/>
      <c r="J10" s="755"/>
      <c r="K10" s="755"/>
      <c r="L10" s="755"/>
      <c r="M10" s="916"/>
    </row>
    <row r="11" spans="2:13">
      <c r="B11" s="915"/>
      <c r="C11" s="755"/>
      <c r="D11" s="755"/>
      <c r="E11" s="755"/>
      <c r="F11" s="755"/>
      <c r="G11" s="1325"/>
      <c r="H11" s="1325"/>
      <c r="I11" s="1325"/>
      <c r="J11" s="1325"/>
      <c r="K11" s="1325"/>
      <c r="L11" s="1325"/>
      <c r="M11" s="1328"/>
    </row>
    <row r="12" spans="2:13">
      <c r="B12" s="915"/>
      <c r="C12" s="755"/>
      <c r="D12" s="755"/>
      <c r="E12" s="755"/>
      <c r="F12" s="755"/>
      <c r="G12" s="1325"/>
      <c r="H12" s="1325"/>
      <c r="I12" s="1325"/>
      <c r="J12" s="1325"/>
      <c r="K12" s="917"/>
      <c r="L12" s="917"/>
      <c r="M12" s="916"/>
    </row>
    <row r="13" spans="2:13">
      <c r="B13" s="915"/>
      <c r="C13" s="755"/>
      <c r="D13" s="755"/>
      <c r="E13" s="755"/>
      <c r="F13" s="755"/>
      <c r="G13" s="755"/>
      <c r="H13" s="755"/>
      <c r="I13" s="755"/>
      <c r="J13" s="755"/>
      <c r="K13" s="755"/>
      <c r="L13" s="755"/>
      <c r="M13" s="916"/>
    </row>
    <row r="14" spans="2:13">
      <c r="B14" s="915"/>
      <c r="C14" s="755"/>
      <c r="D14" s="755"/>
      <c r="E14" s="755"/>
      <c r="F14" s="755"/>
      <c r="G14" s="755"/>
      <c r="H14" s="755"/>
      <c r="I14" s="755"/>
      <c r="J14" s="755"/>
      <c r="K14" s="755"/>
      <c r="L14" s="755"/>
      <c r="M14" s="916"/>
    </row>
    <row r="15" spans="2:13">
      <c r="B15" s="915"/>
      <c r="C15" s="918" t="s">
        <v>352</v>
      </c>
      <c r="D15" s="918"/>
      <c r="E15" s="918"/>
      <c r="F15" s="918"/>
      <c r="G15" s="918"/>
      <c r="H15" s="918"/>
      <c r="I15" s="918"/>
      <c r="J15" s="918"/>
      <c r="K15" s="918"/>
      <c r="L15" s="918"/>
      <c r="M15" s="916"/>
    </row>
    <row r="16" spans="2:13">
      <c r="B16" s="1326" t="s">
        <v>353</v>
      </c>
      <c r="C16" s="1325"/>
      <c r="D16" s="1325"/>
      <c r="E16" s="1325"/>
      <c r="F16" s="1325"/>
      <c r="G16" s="1325"/>
      <c r="H16" s="1325"/>
      <c r="I16" s="1325"/>
      <c r="J16" s="1325"/>
      <c r="K16" s="1325"/>
      <c r="L16" s="1325"/>
      <c r="M16" s="916"/>
    </row>
    <row r="17" spans="2:13">
      <c r="B17" s="915"/>
      <c r="C17" s="755"/>
      <c r="D17" s="755"/>
      <c r="E17" s="755"/>
      <c r="F17" s="755"/>
      <c r="G17" s="755"/>
      <c r="H17" s="755"/>
      <c r="I17" s="755"/>
      <c r="J17" s="755"/>
      <c r="K17" s="755"/>
      <c r="L17" s="755"/>
      <c r="M17" s="916"/>
    </row>
    <row r="18" spans="2:13">
      <c r="B18" s="915"/>
      <c r="C18" s="755"/>
      <c r="D18" s="755"/>
      <c r="E18" s="755"/>
      <c r="F18" s="755"/>
      <c r="G18" s="755"/>
      <c r="H18" s="755"/>
      <c r="I18" s="755"/>
      <c r="J18" s="755"/>
      <c r="K18" s="755"/>
      <c r="L18" s="755"/>
      <c r="M18" s="916"/>
    </row>
    <row r="19" spans="2:13">
      <c r="B19" s="915"/>
      <c r="C19" s="755"/>
      <c r="D19" s="755"/>
      <c r="E19" s="755"/>
      <c r="F19" s="755"/>
      <c r="G19" s="755"/>
      <c r="H19" s="755"/>
      <c r="I19" s="755"/>
      <c r="J19" s="755"/>
      <c r="K19" s="755"/>
      <c r="L19" s="755"/>
      <c r="M19" s="916"/>
    </row>
    <row r="20" spans="2:13" ht="18">
      <c r="B20" s="915"/>
      <c r="C20" s="755"/>
      <c r="D20" s="1327"/>
      <c r="E20" s="1327"/>
      <c r="F20" s="1327"/>
      <c r="G20" s="1327"/>
      <c r="H20" s="1327"/>
      <c r="I20" s="1327"/>
      <c r="J20" s="1327"/>
      <c r="K20" s="922"/>
      <c r="L20" s="922"/>
      <c r="M20" s="916"/>
    </row>
    <row r="21" spans="2:13">
      <c r="B21" s="915"/>
      <c r="C21" s="755"/>
      <c r="D21" s="755"/>
      <c r="E21" s="755"/>
      <c r="F21" s="755"/>
      <c r="G21" s="755"/>
      <c r="H21" s="755"/>
      <c r="I21" s="755"/>
      <c r="J21" s="755"/>
      <c r="K21" s="755"/>
      <c r="L21" s="755"/>
      <c r="M21" s="916"/>
    </row>
    <row r="22" spans="2:13">
      <c r="B22" s="915"/>
      <c r="C22" s="755"/>
      <c r="D22" s="755"/>
      <c r="E22" s="755"/>
      <c r="F22" s="755" t="s">
        <v>1272</v>
      </c>
      <c r="G22" s="755"/>
      <c r="H22" s="755"/>
      <c r="I22" s="755"/>
      <c r="J22" s="755"/>
      <c r="K22" s="755"/>
      <c r="L22" s="755"/>
      <c r="M22" s="916"/>
    </row>
    <row r="23" spans="2:13" ht="18">
      <c r="B23" s="915"/>
      <c r="C23" s="755"/>
      <c r="D23" s="1327"/>
      <c r="E23" s="1327"/>
      <c r="F23" s="1327"/>
      <c r="G23" s="1327"/>
      <c r="H23" s="1327"/>
      <c r="I23" s="1327"/>
      <c r="J23" s="1327"/>
      <c r="K23" s="1327"/>
      <c r="L23" s="1327"/>
      <c r="M23" s="1329"/>
    </row>
    <row r="24" spans="2:13">
      <c r="B24" s="758"/>
      <c r="C24" s="759"/>
      <c r="D24" s="759"/>
      <c r="E24" s="759"/>
      <c r="F24" s="759"/>
      <c r="G24" s="759"/>
      <c r="H24" s="759"/>
      <c r="I24" s="759"/>
      <c r="J24" s="759"/>
      <c r="K24" s="759"/>
      <c r="L24" s="759"/>
      <c r="M24" s="916"/>
    </row>
    <row r="25" spans="2:13">
      <c r="B25" s="758"/>
      <c r="C25" s="759"/>
      <c r="D25" s="759"/>
      <c r="E25" s="759"/>
      <c r="F25" s="759"/>
      <c r="G25" s="759"/>
      <c r="H25" s="759"/>
      <c r="I25" s="759"/>
      <c r="J25" s="759"/>
      <c r="K25" s="759"/>
      <c r="L25" s="759"/>
      <c r="M25" s="916"/>
    </row>
    <row r="26" spans="2:13">
      <c r="B26" s="915"/>
      <c r="C26" s="755"/>
      <c r="D26" s="755"/>
      <c r="E26" s="755"/>
      <c r="F26" s="755"/>
      <c r="G26" s="755"/>
      <c r="H26" s="755"/>
      <c r="I26" s="755"/>
      <c r="J26" s="755"/>
      <c r="K26" s="755"/>
      <c r="L26" s="755"/>
      <c r="M26" s="916"/>
    </row>
    <row r="27" spans="2:13">
      <c r="B27" s="915"/>
      <c r="C27" s="755"/>
      <c r="D27" s="755"/>
      <c r="E27" s="755"/>
      <c r="F27" s="755"/>
      <c r="G27" s="755"/>
      <c r="H27" s="755"/>
      <c r="I27" s="755"/>
      <c r="J27" s="755"/>
      <c r="K27" s="755"/>
      <c r="L27" s="755"/>
      <c r="M27" s="916"/>
    </row>
    <row r="28" spans="2:13">
      <c r="B28" s="915"/>
      <c r="C28" s="755"/>
      <c r="D28" s="755"/>
      <c r="E28" s="755"/>
      <c r="F28" s="755"/>
      <c r="G28" s="755"/>
      <c r="H28" s="755"/>
      <c r="I28" s="755"/>
      <c r="J28" s="755"/>
      <c r="K28" s="755"/>
      <c r="L28" s="755"/>
      <c r="M28" s="916"/>
    </row>
    <row r="29" spans="2:13">
      <c r="B29" s="915"/>
      <c r="C29" s="755"/>
      <c r="D29" s="755"/>
      <c r="E29" s="755" t="s">
        <v>375</v>
      </c>
      <c r="F29" s="755">
        <v>2012</v>
      </c>
      <c r="G29" s="755"/>
      <c r="H29" s="755"/>
      <c r="I29" s="755"/>
      <c r="J29" s="755"/>
      <c r="K29" s="755"/>
      <c r="L29" s="755"/>
      <c r="M29" s="916"/>
    </row>
    <row r="30" spans="2:13">
      <c r="B30" s="915"/>
      <c r="C30" s="755"/>
      <c r="D30" s="755"/>
      <c r="E30" s="755"/>
      <c r="F30" s="755"/>
      <c r="G30" s="755"/>
      <c r="H30" s="755"/>
      <c r="I30" s="755"/>
      <c r="J30" s="755"/>
      <c r="K30" s="755"/>
      <c r="L30" s="755"/>
      <c r="M30" s="916"/>
    </row>
    <row r="31" spans="2:13">
      <c r="B31" s="915"/>
      <c r="C31" s="755"/>
      <c r="D31" s="755"/>
      <c r="E31" s="755"/>
      <c r="F31" s="755"/>
      <c r="G31" s="755"/>
      <c r="H31" s="755"/>
      <c r="I31" s="755"/>
      <c r="J31" s="755"/>
      <c r="K31" s="755"/>
      <c r="L31" s="755"/>
      <c r="M31" s="916"/>
    </row>
    <row r="32" spans="2:13">
      <c r="B32" s="915"/>
      <c r="C32" s="755"/>
      <c r="D32" s="755"/>
      <c r="E32" s="755"/>
      <c r="F32" s="755"/>
      <c r="G32" s="755"/>
      <c r="H32" s="755"/>
      <c r="I32" s="755"/>
      <c r="J32" s="755"/>
      <c r="K32" s="755"/>
      <c r="L32" s="755"/>
      <c r="M32" s="916"/>
    </row>
    <row r="33" spans="2:13">
      <c r="B33" s="915"/>
      <c r="C33" s="755"/>
      <c r="D33" s="755"/>
      <c r="E33" s="755"/>
      <c r="F33" s="755"/>
      <c r="G33" s="755"/>
      <c r="H33" s="755"/>
      <c r="I33" s="755"/>
      <c r="J33" s="755"/>
      <c r="K33" s="755"/>
      <c r="L33" s="755"/>
      <c r="M33" s="916"/>
    </row>
    <row r="34" spans="2:13">
      <c r="B34" s="915"/>
      <c r="C34" s="755"/>
      <c r="D34" s="755"/>
      <c r="E34" s="755"/>
      <c r="F34" s="755"/>
      <c r="G34" s="755"/>
      <c r="H34" s="755"/>
      <c r="I34" s="755"/>
      <c r="J34" s="755"/>
      <c r="K34" s="755"/>
      <c r="L34" s="755"/>
      <c r="M34" s="916"/>
    </row>
    <row r="35" spans="2:13">
      <c r="B35" s="915"/>
      <c r="C35" s="755"/>
      <c r="D35" s="755"/>
      <c r="E35" s="755"/>
      <c r="F35" s="755"/>
      <c r="G35" s="755"/>
      <c r="H35" s="755"/>
      <c r="I35" s="755"/>
      <c r="J35" s="755"/>
      <c r="K35" s="755"/>
      <c r="L35" s="755"/>
      <c r="M35" s="916"/>
    </row>
    <row r="36" spans="2:13">
      <c r="B36" s="915"/>
      <c r="C36" s="755"/>
      <c r="D36" s="755"/>
      <c r="E36" s="755"/>
      <c r="F36" s="755"/>
      <c r="G36" s="755"/>
      <c r="H36" s="755"/>
      <c r="I36" s="755"/>
      <c r="J36" s="755"/>
      <c r="K36" s="755"/>
      <c r="L36" s="755"/>
      <c r="M36" s="916"/>
    </row>
    <row r="37" spans="2:13">
      <c r="B37" s="915"/>
      <c r="C37" s="755"/>
      <c r="D37" s="755"/>
      <c r="E37" s="755"/>
      <c r="F37" s="755"/>
      <c r="G37" s="755"/>
      <c r="H37" s="755"/>
      <c r="I37" s="755"/>
      <c r="J37" s="755"/>
      <c r="K37" s="755"/>
      <c r="L37" s="755"/>
      <c r="M37" s="916"/>
    </row>
    <row r="38" spans="2:13" ht="13.5" thickBot="1">
      <c r="B38" s="915"/>
      <c r="C38" s="755"/>
      <c r="D38" s="755"/>
      <c r="E38" s="755"/>
      <c r="F38" s="755"/>
      <c r="G38" s="755"/>
      <c r="H38" s="755"/>
      <c r="I38" s="755"/>
      <c r="J38" s="755"/>
      <c r="K38" s="755"/>
      <c r="L38" s="755"/>
      <c r="M38" s="916"/>
    </row>
    <row r="39" spans="2:13">
      <c r="B39" s="915"/>
      <c r="C39" s="897"/>
      <c r="D39" s="898"/>
      <c r="E39" s="898"/>
      <c r="F39" s="898"/>
      <c r="G39" s="899"/>
      <c r="H39" s="755"/>
      <c r="I39" s="897"/>
      <c r="J39" s="898"/>
      <c r="K39" s="898"/>
      <c r="L39" s="899"/>
      <c r="M39" s="916"/>
    </row>
    <row r="40" spans="2:13">
      <c r="B40" s="915"/>
      <c r="C40" s="902" t="s">
        <v>354</v>
      </c>
      <c r="D40" s="134"/>
      <c r="E40" s="134"/>
      <c r="F40" s="134"/>
      <c r="G40" s="903"/>
      <c r="H40" s="755"/>
      <c r="I40" s="1322" t="s">
        <v>355</v>
      </c>
      <c r="J40" s="1323"/>
      <c r="K40" s="1323"/>
      <c r="L40" s="1324"/>
      <c r="M40" s="916"/>
    </row>
    <row r="41" spans="2:13" ht="13.5" thickBot="1">
      <c r="B41" s="915"/>
      <c r="C41" s="900"/>
      <c r="D41" s="3"/>
      <c r="E41" s="3"/>
      <c r="F41" s="3"/>
      <c r="G41" s="901"/>
      <c r="H41" s="755"/>
      <c r="I41" s="900"/>
      <c r="J41" s="3"/>
      <c r="K41" s="3"/>
      <c r="L41" s="901"/>
      <c r="M41" s="916"/>
    </row>
    <row r="42" spans="2:13" ht="13.5" thickBot="1">
      <c r="B42" s="915"/>
      <c r="C42" s="900" t="s">
        <v>356</v>
      </c>
      <c r="D42" s="134" t="str">
        <f>F4</f>
        <v>Eskeld</v>
      </c>
      <c r="E42" s="134"/>
      <c r="F42" s="134"/>
      <c r="G42" s="903"/>
      <c r="H42" s="755"/>
      <c r="I42" s="900"/>
      <c r="J42" s="3"/>
      <c r="K42" s="904" t="s">
        <v>357</v>
      </c>
      <c r="L42" s="901" t="s">
        <v>358</v>
      </c>
      <c r="M42" s="916"/>
    </row>
    <row r="43" spans="2:13" ht="13.5" thickBot="1">
      <c r="B43" s="915"/>
      <c r="C43" s="900"/>
      <c r="D43" s="3"/>
      <c r="E43" s="3"/>
      <c r="F43" s="3"/>
      <c r="G43" s="901"/>
      <c r="H43" s="755"/>
      <c r="I43" s="1322" t="s">
        <v>359</v>
      </c>
      <c r="J43" s="1323"/>
      <c r="K43" s="3"/>
      <c r="L43" s="901"/>
      <c r="M43" s="916"/>
    </row>
    <row r="44" spans="2:13" ht="13.5" thickBot="1">
      <c r="B44" s="915"/>
      <c r="C44" s="900" t="s">
        <v>360</v>
      </c>
      <c r="D44" s="134" t="s">
        <v>844</v>
      </c>
      <c r="E44" s="134"/>
      <c r="F44" s="134"/>
      <c r="G44" s="903"/>
      <c r="H44" s="755"/>
      <c r="I44" s="900"/>
      <c r="J44" s="3"/>
      <c r="K44" s="905"/>
      <c r="L44" s="901" t="s">
        <v>361</v>
      </c>
      <c r="M44" s="916"/>
    </row>
    <row r="45" spans="2:13">
      <c r="B45" s="915"/>
      <c r="C45" s="900"/>
      <c r="D45" s="3"/>
      <c r="E45" s="3"/>
      <c r="F45" s="3"/>
      <c r="G45" s="901"/>
      <c r="H45" s="755"/>
      <c r="I45" s="900"/>
      <c r="J45" s="134"/>
      <c r="K45" s="134"/>
      <c r="L45" s="903"/>
      <c r="M45" s="916"/>
    </row>
    <row r="46" spans="2:13" ht="13.5" thickBot="1">
      <c r="B46" s="915"/>
      <c r="C46" s="900" t="s">
        <v>362</v>
      </c>
      <c r="D46" s="134" t="s">
        <v>953</v>
      </c>
      <c r="E46" s="134"/>
      <c r="F46" s="134"/>
      <c r="G46" s="903"/>
      <c r="H46" s="755"/>
      <c r="I46" s="900"/>
      <c r="J46" s="134"/>
      <c r="K46" s="134"/>
      <c r="L46" s="903"/>
      <c r="M46" s="923"/>
    </row>
    <row r="47" spans="2:13" ht="13.5" thickBot="1">
      <c r="B47" s="915"/>
      <c r="C47" s="900"/>
      <c r="D47" s="134"/>
      <c r="E47" s="134"/>
      <c r="F47" s="134"/>
      <c r="G47" s="903"/>
      <c r="H47" s="755"/>
      <c r="I47" s="1322" t="s">
        <v>363</v>
      </c>
      <c r="J47" s="1324"/>
      <c r="K47" s="904" t="s">
        <v>357</v>
      </c>
      <c r="L47" s="906" t="s">
        <v>364</v>
      </c>
      <c r="M47" s="923"/>
    </row>
    <row r="48" spans="2:13" ht="13.5" thickBot="1">
      <c r="B48" s="915"/>
      <c r="C48" s="900"/>
      <c r="D48" s="3"/>
      <c r="E48" s="3"/>
      <c r="F48" s="3"/>
      <c r="G48" s="901"/>
      <c r="H48" s="755"/>
      <c r="I48" s="900"/>
      <c r="J48" s="3"/>
      <c r="K48" s="3"/>
      <c r="L48" s="906"/>
      <c r="M48" s="923"/>
    </row>
    <row r="49" spans="1:13" ht="13.5" thickBot="1">
      <c r="B49" s="915"/>
      <c r="C49" s="900" t="s">
        <v>365</v>
      </c>
      <c r="D49" s="3"/>
      <c r="E49" s="907">
        <v>39756</v>
      </c>
      <c r="F49" s="134"/>
      <c r="G49" s="903"/>
      <c r="H49" s="755"/>
      <c r="I49" s="900"/>
      <c r="J49" s="3"/>
      <c r="K49" s="905"/>
      <c r="L49" s="906" t="s">
        <v>350</v>
      </c>
      <c r="M49" s="923"/>
    </row>
    <row r="50" spans="1:13">
      <c r="B50" s="915"/>
      <c r="C50" s="900"/>
      <c r="D50" s="3"/>
      <c r="E50" s="3"/>
      <c r="F50" s="3"/>
      <c r="G50" s="901"/>
      <c r="H50" s="755"/>
      <c r="I50" s="179"/>
      <c r="J50" s="59"/>
      <c r="K50" s="59"/>
      <c r="L50" s="165"/>
      <c r="M50" s="916"/>
    </row>
    <row r="51" spans="1:13">
      <c r="B51" s="915"/>
      <c r="C51" s="900" t="s">
        <v>366</v>
      </c>
      <c r="D51" s="3"/>
      <c r="E51" s="134" t="s">
        <v>1097</v>
      </c>
      <c r="F51" s="134"/>
      <c r="G51" s="903"/>
      <c r="H51" s="755"/>
      <c r="I51" s="1322" t="s">
        <v>367</v>
      </c>
      <c r="J51" s="1323"/>
      <c r="K51" s="1323">
        <v>0</v>
      </c>
      <c r="L51" s="1324"/>
      <c r="M51" s="916"/>
    </row>
    <row r="52" spans="1:13">
      <c r="B52" s="915"/>
      <c r="C52" s="900"/>
      <c r="D52" s="3"/>
      <c r="E52" s="3"/>
      <c r="F52" s="3"/>
      <c r="G52" s="901"/>
      <c r="H52" s="755"/>
      <c r="I52" s="179"/>
      <c r="J52" s="59"/>
      <c r="K52" s="681"/>
      <c r="L52" s="908"/>
      <c r="M52" s="916"/>
    </row>
    <row r="53" spans="1:13">
      <c r="B53" s="915"/>
      <c r="C53" s="900"/>
      <c r="D53" s="3"/>
      <c r="E53" s="3"/>
      <c r="F53" s="3"/>
      <c r="G53" s="901"/>
      <c r="H53" s="755"/>
      <c r="I53" s="1322" t="s">
        <v>368</v>
      </c>
      <c r="J53" s="1323"/>
      <c r="K53" s="1323"/>
      <c r="L53" s="1324"/>
      <c r="M53" s="916"/>
    </row>
    <row r="54" spans="1:13">
      <c r="B54" s="758"/>
      <c r="C54" s="900" t="s">
        <v>369</v>
      </c>
      <c r="D54" s="3"/>
      <c r="E54" s="1323" t="s">
        <v>1098</v>
      </c>
      <c r="F54" s="1323"/>
      <c r="G54" s="1324"/>
      <c r="H54" s="759"/>
      <c r="I54" s="900"/>
      <c r="J54" s="134"/>
      <c r="K54" s="134"/>
      <c r="L54" s="903"/>
      <c r="M54" s="760"/>
    </row>
    <row r="55" spans="1:13">
      <c r="B55" s="915"/>
      <c r="C55" s="1322"/>
      <c r="D55" s="1323"/>
      <c r="E55" s="1323"/>
      <c r="F55" s="1323"/>
      <c r="G55" s="1324"/>
      <c r="H55" s="755"/>
      <c r="I55" s="1322" t="s">
        <v>746</v>
      </c>
      <c r="J55" s="1323"/>
      <c r="K55" s="1323" t="s">
        <v>747</v>
      </c>
      <c r="L55" s="1324"/>
      <c r="M55" s="923"/>
    </row>
    <row r="56" spans="1:13">
      <c r="B56" s="915"/>
      <c r="C56" s="900" t="s">
        <v>712</v>
      </c>
      <c r="D56" s="134"/>
      <c r="E56" s="134" t="s">
        <v>1099</v>
      </c>
      <c r="F56" s="134"/>
      <c r="G56" s="903"/>
      <c r="H56" s="755"/>
      <c r="I56" s="179"/>
      <c r="J56" s="59"/>
      <c r="K56" s="59"/>
      <c r="L56" s="165"/>
      <c r="M56" s="916"/>
    </row>
    <row r="57" spans="1:13">
      <c r="B57" s="915"/>
      <c r="C57" s="900"/>
      <c r="D57" s="3"/>
      <c r="E57" s="3"/>
      <c r="F57" s="3"/>
      <c r="G57" s="901"/>
      <c r="H57" s="755"/>
      <c r="I57" s="1322" t="s">
        <v>370</v>
      </c>
      <c r="J57" s="1323"/>
      <c r="K57" s="1323" t="s">
        <v>748</v>
      </c>
      <c r="L57" s="1324"/>
      <c r="M57" s="916"/>
    </row>
    <row r="58" spans="1:13" ht="13.5" thickBot="1">
      <c r="B58" s="915"/>
      <c r="C58" s="909"/>
      <c r="D58" s="910"/>
      <c r="E58" s="910"/>
      <c r="F58" s="910"/>
      <c r="G58" s="911"/>
      <c r="H58" s="755"/>
      <c r="I58" s="909"/>
      <c r="J58" s="910"/>
      <c r="K58" s="910"/>
      <c r="L58" s="911"/>
      <c r="M58" s="916"/>
    </row>
    <row r="59" spans="1:13">
      <c r="B59" s="915"/>
      <c r="C59" s="755"/>
      <c r="D59" s="755"/>
      <c r="E59" s="755"/>
      <c r="F59" s="755"/>
      <c r="G59" s="755"/>
      <c r="H59" s="755"/>
      <c r="I59" s="755"/>
      <c r="J59" s="755"/>
      <c r="K59" s="755"/>
      <c r="L59" s="755"/>
      <c r="M59" s="916"/>
    </row>
    <row r="60" spans="1:13" ht="13.5" thickBot="1">
      <c r="B60" s="761"/>
      <c r="C60" s="762"/>
      <c r="D60" s="762"/>
      <c r="E60" s="762"/>
      <c r="F60" s="762"/>
      <c r="G60" s="762"/>
      <c r="H60" s="762"/>
      <c r="I60" s="762"/>
      <c r="J60" s="762"/>
      <c r="K60" s="762"/>
      <c r="L60" s="762"/>
      <c r="M60" s="763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3">
      <c r="A63" s="1"/>
      <c r="B63" s="1"/>
      <c r="C63" s="1"/>
      <c r="D63" s="1321"/>
      <c r="E63" s="1321"/>
      <c r="F63" s="1321"/>
      <c r="G63" s="1321"/>
      <c r="H63" s="1321"/>
      <c r="I63" s="1321"/>
      <c r="J63" s="1321"/>
      <c r="K63" s="1321"/>
      <c r="L63" s="91"/>
    </row>
    <row r="64" spans="1:13">
      <c r="B64" s="1"/>
      <c r="C64" s="1"/>
      <c r="D64" s="1"/>
      <c r="E64" s="1"/>
      <c r="F64" s="1"/>
      <c r="G64" s="1"/>
      <c r="H64" s="1"/>
      <c r="I64" s="1"/>
      <c r="J64" s="1"/>
    </row>
  </sheetData>
  <mergeCells count="23">
    <mergeCell ref="I47:J47"/>
    <mergeCell ref="H4:J4"/>
    <mergeCell ref="I40:L40"/>
    <mergeCell ref="I43:J43"/>
    <mergeCell ref="H5:J5"/>
    <mergeCell ref="G6:J6"/>
    <mergeCell ref="I7:J7"/>
    <mergeCell ref="H9:I9"/>
    <mergeCell ref="B16:L16"/>
    <mergeCell ref="D20:J20"/>
    <mergeCell ref="G11:M11"/>
    <mergeCell ref="D23:M23"/>
    <mergeCell ref="G12:J12"/>
    <mergeCell ref="D63:K63"/>
    <mergeCell ref="I57:J57"/>
    <mergeCell ref="K57:L57"/>
    <mergeCell ref="I51:J51"/>
    <mergeCell ref="K51:L51"/>
    <mergeCell ref="I55:J55"/>
    <mergeCell ref="K55:L55"/>
    <mergeCell ref="I53:L53"/>
    <mergeCell ref="C55:G55"/>
    <mergeCell ref="E54:G54"/>
  </mergeCells>
  <phoneticPr fontId="4" type="noConversion"/>
  <pageMargins left="0" right="0" top="0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B3:K55"/>
  <sheetViews>
    <sheetView workbookViewId="0">
      <selection activeCell="K35" sqref="A1:K35"/>
    </sheetView>
  </sheetViews>
  <sheetFormatPr defaultRowHeight="12.75"/>
  <cols>
    <col min="1" max="1" width="2.140625" customWidth="1"/>
    <col min="2" max="2" width="3.28515625" customWidth="1"/>
    <col min="3" max="3" width="4.7109375" customWidth="1"/>
    <col min="4" max="4" width="24.7109375" customWidth="1"/>
    <col min="5" max="5" width="25.42578125" customWidth="1"/>
    <col min="6" max="6" width="18.28515625" customWidth="1"/>
    <col min="7" max="7" width="13.140625" customWidth="1"/>
    <col min="8" max="8" width="12.85546875" customWidth="1"/>
    <col min="9" max="9" width="16.28515625" customWidth="1"/>
    <col min="10" max="10" width="6.42578125" customWidth="1"/>
    <col min="11" max="11" width="4.85546875" customWidth="1"/>
    <col min="12" max="12" width="6.42578125" customWidth="1"/>
    <col min="13" max="13" width="5.42578125" customWidth="1"/>
    <col min="14" max="14" width="4.7109375" customWidth="1"/>
  </cols>
  <sheetData>
    <row r="3" spans="2:11">
      <c r="B3" s="2"/>
      <c r="C3" s="49"/>
      <c r="D3" s="49"/>
      <c r="E3" s="49"/>
      <c r="F3" s="49"/>
      <c r="G3" s="2"/>
      <c r="H3" s="2"/>
    </row>
    <row r="4" spans="2:11">
      <c r="B4" s="52"/>
      <c r="C4" s="2" t="str">
        <f>'Kopertina '!F4</f>
        <v>Eskeld</v>
      </c>
      <c r="D4" s="2"/>
      <c r="E4" s="2"/>
      <c r="F4" s="2"/>
      <c r="G4" s="2"/>
      <c r="H4" s="2"/>
    </row>
    <row r="5" spans="2:11">
      <c r="B5" s="1"/>
      <c r="C5" s="1"/>
      <c r="D5" s="1"/>
      <c r="E5" s="1"/>
      <c r="F5" s="1"/>
      <c r="G5" s="2"/>
      <c r="H5" s="2"/>
      <c r="I5" s="2"/>
      <c r="J5" s="2"/>
      <c r="K5" s="2" t="s">
        <v>224</v>
      </c>
    </row>
    <row r="6" spans="2:11">
      <c r="B6" s="1"/>
      <c r="C6" s="1354" t="s">
        <v>135</v>
      </c>
      <c r="D6" s="1354"/>
      <c r="E6" s="1354"/>
      <c r="F6" s="1354"/>
      <c r="G6" s="1354"/>
      <c r="H6" s="1354"/>
      <c r="I6" s="1354"/>
    </row>
    <row r="7" spans="2:11">
      <c r="B7" s="1"/>
      <c r="C7" s="1"/>
      <c r="D7" s="1"/>
      <c r="E7" s="1"/>
      <c r="F7" s="1"/>
      <c r="G7" s="1"/>
      <c r="H7" s="2" t="s">
        <v>132</v>
      </c>
      <c r="I7" s="19"/>
      <c r="J7" s="19">
        <f>'Kopertina '!F29</f>
        <v>2012</v>
      </c>
    </row>
    <row r="8" spans="2:11">
      <c r="B8" s="1"/>
      <c r="C8" s="1"/>
      <c r="D8" s="1"/>
      <c r="E8" s="1"/>
      <c r="F8" s="1"/>
      <c r="G8" s="1"/>
      <c r="H8" s="1"/>
    </row>
    <row r="9" spans="2:11" ht="13.5" thickBot="1"/>
    <row r="10" spans="2:11" ht="23.25" customHeight="1" thickBot="1">
      <c r="C10" s="370" t="s">
        <v>1</v>
      </c>
      <c r="D10" s="371" t="s">
        <v>479</v>
      </c>
      <c r="E10" s="371" t="s">
        <v>480</v>
      </c>
      <c r="F10" s="371" t="s">
        <v>481</v>
      </c>
      <c r="G10" s="371" t="s">
        <v>378</v>
      </c>
      <c r="H10" s="371" t="s">
        <v>387</v>
      </c>
      <c r="I10" s="372" t="s">
        <v>482</v>
      </c>
    </row>
    <row r="11" spans="2:11">
      <c r="C11" s="1168" t="s">
        <v>73</v>
      </c>
      <c r="D11" s="1169" t="s">
        <v>736</v>
      </c>
      <c r="E11" s="1170"/>
      <c r="F11" s="1170"/>
      <c r="G11" s="1170"/>
      <c r="H11" s="1170"/>
      <c r="I11" s="1171">
        <f>SUM(I12:I16)</f>
        <v>5509.6172999999999</v>
      </c>
    </row>
    <row r="12" spans="2:11">
      <c r="C12" s="1172"/>
      <c r="D12" s="261" t="s">
        <v>1095</v>
      </c>
      <c r="E12" s="261" t="s">
        <v>1125</v>
      </c>
      <c r="F12" s="261" t="s">
        <v>345</v>
      </c>
      <c r="G12" s="1173">
        <v>39.47</v>
      </c>
      <c r="H12" s="1173">
        <v>139.59</v>
      </c>
      <c r="I12" s="1174">
        <f>G12*H12</f>
        <v>5509.6172999999999</v>
      </c>
    </row>
    <row r="13" spans="2:11">
      <c r="C13" s="1172"/>
      <c r="D13" s="261"/>
      <c r="E13" s="261"/>
      <c r="F13" s="261"/>
      <c r="G13" s="1173"/>
      <c r="H13" s="1173"/>
      <c r="I13" s="1174">
        <f t="shared" ref="I13:I16" si="0">G13*H13</f>
        <v>0</v>
      </c>
    </row>
    <row r="14" spans="2:11">
      <c r="C14" s="1172"/>
      <c r="D14" s="261"/>
      <c r="E14" s="261"/>
      <c r="F14" s="261"/>
      <c r="G14" s="1173"/>
      <c r="H14" s="1173"/>
      <c r="I14" s="1174">
        <f t="shared" si="0"/>
        <v>0</v>
      </c>
    </row>
    <row r="15" spans="2:11">
      <c r="C15" s="1172"/>
      <c r="D15" s="261"/>
      <c r="E15" s="261"/>
      <c r="F15" s="261"/>
      <c r="G15" s="1173"/>
      <c r="H15" s="1173"/>
      <c r="I15" s="1174">
        <f t="shared" si="0"/>
        <v>0</v>
      </c>
    </row>
    <row r="16" spans="2:11">
      <c r="C16" s="1172"/>
      <c r="D16" s="261"/>
      <c r="E16" s="261"/>
      <c r="F16" s="261"/>
      <c r="G16" s="1173"/>
      <c r="H16" s="1173"/>
      <c r="I16" s="1174">
        <f t="shared" si="0"/>
        <v>0</v>
      </c>
    </row>
    <row r="17" spans="3:9">
      <c r="C17" s="1172" t="s">
        <v>79</v>
      </c>
      <c r="D17" s="1175" t="s">
        <v>509</v>
      </c>
      <c r="E17" s="1176"/>
      <c r="F17" s="1176"/>
      <c r="G17" s="1177"/>
      <c r="H17" s="1177"/>
      <c r="I17" s="1178">
        <f>SUM(I18:I23)</f>
        <v>23500.390000000003</v>
      </c>
    </row>
    <row r="18" spans="3:9">
      <c r="C18" s="1172"/>
      <c r="D18" s="261" t="s">
        <v>1095</v>
      </c>
      <c r="E18" s="261" t="s">
        <v>1126</v>
      </c>
      <c r="F18" s="261" t="s">
        <v>344</v>
      </c>
      <c r="G18" s="1173">
        <v>23929.49</v>
      </c>
      <c r="H18" s="121">
        <v>1</v>
      </c>
      <c r="I18" s="1174">
        <f>G18*H18</f>
        <v>23929.49</v>
      </c>
    </row>
    <row r="19" spans="3:9">
      <c r="C19" s="1172"/>
      <c r="D19" s="261" t="s">
        <v>1096</v>
      </c>
      <c r="E19" s="261">
        <v>950910</v>
      </c>
      <c r="F19" s="261" t="s">
        <v>344</v>
      </c>
      <c r="G19" s="1173">
        <v>-429.1</v>
      </c>
      <c r="H19" s="121">
        <v>1</v>
      </c>
      <c r="I19" s="1174">
        <f t="shared" ref="I19:I23" si="1">G19*H19</f>
        <v>-429.1</v>
      </c>
    </row>
    <row r="20" spans="3:9">
      <c r="C20" s="1172"/>
      <c r="D20" s="261"/>
      <c r="E20" s="261"/>
      <c r="F20" s="261"/>
      <c r="G20" s="1173"/>
      <c r="H20" s="1173"/>
      <c r="I20" s="1174">
        <f t="shared" si="1"/>
        <v>0</v>
      </c>
    </row>
    <row r="21" spans="3:9">
      <c r="C21" s="1172"/>
      <c r="D21" s="261"/>
      <c r="E21" s="261"/>
      <c r="F21" s="261"/>
      <c r="G21" s="1173"/>
      <c r="H21" s="1173"/>
      <c r="I21" s="1174">
        <f t="shared" si="1"/>
        <v>0</v>
      </c>
    </row>
    <row r="22" spans="3:9">
      <c r="C22" s="1172"/>
      <c r="D22" s="261"/>
      <c r="E22" s="261"/>
      <c r="F22" s="261"/>
      <c r="G22" s="1173"/>
      <c r="H22" s="1173"/>
      <c r="I22" s="1174">
        <f t="shared" si="1"/>
        <v>0</v>
      </c>
    </row>
    <row r="23" spans="3:9">
      <c r="C23" s="1172"/>
      <c r="D23" s="261"/>
      <c r="E23" s="261"/>
      <c r="F23" s="261"/>
      <c r="G23" s="1173"/>
      <c r="H23" s="1173"/>
      <c r="I23" s="1174">
        <f t="shared" si="1"/>
        <v>0</v>
      </c>
    </row>
    <row r="24" spans="3:9">
      <c r="C24" s="1172" t="s">
        <v>84</v>
      </c>
      <c r="D24" s="1175" t="s">
        <v>737</v>
      </c>
      <c r="E24" s="1176"/>
      <c r="F24" s="1176"/>
      <c r="G24" s="1177"/>
      <c r="H24" s="1177"/>
      <c r="I24" s="1178">
        <f>SUM(I25:I28)</f>
        <v>-1066.9679999999998</v>
      </c>
    </row>
    <row r="25" spans="3:9">
      <c r="C25" s="1172"/>
      <c r="D25" s="261" t="s">
        <v>1122</v>
      </c>
      <c r="E25" s="261" t="s">
        <v>1123</v>
      </c>
      <c r="F25" s="261" t="s">
        <v>1124</v>
      </c>
      <c r="G25" s="1173">
        <v>-10.08</v>
      </c>
      <c r="H25" s="1173">
        <v>105.85</v>
      </c>
      <c r="I25" s="1174">
        <f>+H25*G25</f>
        <v>-1066.9679999999998</v>
      </c>
    </row>
    <row r="26" spans="3:9">
      <c r="C26" s="1172"/>
      <c r="D26" s="261"/>
      <c r="E26" s="261"/>
      <c r="F26" s="261"/>
      <c r="G26" s="1173"/>
      <c r="H26" s="1173"/>
      <c r="I26" s="1174">
        <f t="shared" ref="I26:I28" si="2">+H26*G26</f>
        <v>0</v>
      </c>
    </row>
    <row r="27" spans="3:9">
      <c r="C27" s="1172"/>
      <c r="D27" s="261"/>
      <c r="E27" s="261"/>
      <c r="F27" s="261"/>
      <c r="G27" s="1173"/>
      <c r="H27" s="1173"/>
      <c r="I27" s="1174">
        <f t="shared" si="2"/>
        <v>0</v>
      </c>
    </row>
    <row r="28" spans="3:9">
      <c r="C28" s="1172"/>
      <c r="D28" s="261"/>
      <c r="E28" s="261"/>
      <c r="F28" s="261"/>
      <c r="G28" s="1173"/>
      <c r="H28" s="1173"/>
      <c r="I28" s="1174">
        <f t="shared" si="2"/>
        <v>0</v>
      </c>
    </row>
    <row r="29" spans="3:9">
      <c r="C29" s="1172" t="s">
        <v>115</v>
      </c>
      <c r="D29" s="1175" t="s">
        <v>738</v>
      </c>
      <c r="E29" s="1176"/>
      <c r="F29" s="1176"/>
      <c r="G29" s="1177"/>
      <c r="H29" s="1177"/>
      <c r="I29" s="1178">
        <f>SUM(I30:I34)</f>
        <v>0</v>
      </c>
    </row>
    <row r="30" spans="3:9">
      <c r="C30" s="1172"/>
      <c r="D30" s="261"/>
      <c r="E30" s="261"/>
      <c r="F30" s="261"/>
      <c r="G30" s="1173"/>
      <c r="H30" s="1173"/>
      <c r="I30" s="1174">
        <f t="shared" ref="I30:I34" si="3">G30*H30</f>
        <v>0</v>
      </c>
    </row>
    <row r="31" spans="3:9">
      <c r="C31" s="1172"/>
      <c r="D31" s="261"/>
      <c r="E31" s="261"/>
      <c r="F31" s="261"/>
      <c r="G31" s="1173"/>
      <c r="H31" s="1173"/>
      <c r="I31" s="1174">
        <f t="shared" si="3"/>
        <v>0</v>
      </c>
    </row>
    <row r="32" spans="3:9">
      <c r="C32" s="1172"/>
      <c r="D32" s="261"/>
      <c r="E32" s="261"/>
      <c r="F32" s="261"/>
      <c r="G32" s="1173"/>
      <c r="H32" s="1173"/>
      <c r="I32" s="1174">
        <f t="shared" si="3"/>
        <v>0</v>
      </c>
    </row>
    <row r="33" spans="3:9">
      <c r="C33" s="1172"/>
      <c r="D33" s="261"/>
      <c r="E33" s="261"/>
      <c r="F33" s="261"/>
      <c r="G33" s="1173"/>
      <c r="H33" s="1173"/>
      <c r="I33" s="1174">
        <f t="shared" si="3"/>
        <v>0</v>
      </c>
    </row>
    <row r="34" spans="3:9" ht="13.5" thickBot="1">
      <c r="C34" s="1179"/>
      <c r="D34" s="747"/>
      <c r="E34" s="747"/>
      <c r="F34" s="747"/>
      <c r="G34" s="1180"/>
      <c r="H34" s="1180"/>
      <c r="I34" s="1181">
        <f t="shared" si="3"/>
        <v>0</v>
      </c>
    </row>
    <row r="35" spans="3:9" ht="19.5" customHeight="1" thickBot="1">
      <c r="C35" s="1182"/>
      <c r="D35" s="1183" t="s">
        <v>165</v>
      </c>
      <c r="E35" s="1184"/>
      <c r="F35" s="1184"/>
      <c r="G35" s="1185"/>
      <c r="H35" s="1185"/>
      <c r="I35" s="1186">
        <f>I11+I17+I24+I29</f>
        <v>27943.039300000004</v>
      </c>
    </row>
    <row r="36" spans="3:9">
      <c r="G36" s="1167"/>
      <c r="H36" s="1167"/>
      <c r="I36" s="1167"/>
    </row>
    <row r="37" spans="3:9">
      <c r="G37" s="1167"/>
      <c r="H37" s="1167"/>
      <c r="I37" s="1167"/>
    </row>
    <row r="38" spans="3:9">
      <c r="I38" s="1167"/>
    </row>
    <row r="39" spans="3:9">
      <c r="I39" s="1167"/>
    </row>
    <row r="40" spans="3:9">
      <c r="I40" s="1167"/>
    </row>
    <row r="41" spans="3:9">
      <c r="I41" s="1167"/>
    </row>
    <row r="42" spans="3:9">
      <c r="I42" s="1167"/>
    </row>
    <row r="53" spans="2:1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">
    <mergeCell ref="C6:I6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I45"/>
  <sheetViews>
    <sheetView workbookViewId="0">
      <selection activeCell="L18" sqref="L18"/>
    </sheetView>
  </sheetViews>
  <sheetFormatPr defaultRowHeight="12.75"/>
  <cols>
    <col min="1" max="1" width="3.85546875" style="91" customWidth="1"/>
    <col min="2" max="2" width="4.85546875" style="91" customWidth="1"/>
    <col min="3" max="3" width="23.28515625" style="91" customWidth="1"/>
    <col min="4" max="4" width="12.42578125" style="91" customWidth="1"/>
    <col min="5" max="5" width="17.5703125" style="91" customWidth="1"/>
    <col min="6" max="6" width="16.7109375" style="91" customWidth="1"/>
    <col min="7" max="7" width="14.140625" style="178" customWidth="1"/>
    <col min="8" max="8" width="6.7109375" style="91" customWidth="1"/>
    <col min="9" max="9" width="7" style="91" customWidth="1"/>
    <col min="10" max="10" width="5.42578125" style="91" customWidth="1"/>
    <col min="11" max="16384" width="9.140625" style="91"/>
  </cols>
  <sheetData>
    <row r="1" spans="1:9">
      <c r="B1" s="3"/>
      <c r="C1" s="134"/>
      <c r="D1" s="134"/>
      <c r="E1" s="134"/>
      <c r="F1" s="134"/>
      <c r="G1" s="174"/>
    </row>
    <row r="2" spans="1:9">
      <c r="B2" s="3"/>
      <c r="C2" s="3" t="str">
        <f>'Kopertina '!F4</f>
        <v>Eskeld</v>
      </c>
      <c r="D2" s="3"/>
      <c r="E2" s="3"/>
      <c r="F2" s="3"/>
      <c r="G2" s="174"/>
      <c r="H2" s="3" t="s">
        <v>118</v>
      </c>
    </row>
    <row r="3" spans="1:9">
      <c r="B3" s="59"/>
      <c r="C3" s="59"/>
      <c r="D3" s="59"/>
      <c r="E3" s="59"/>
      <c r="F3" s="59"/>
      <c r="G3" s="174"/>
      <c r="H3" s="3"/>
    </row>
    <row r="4" spans="1:9">
      <c r="B4" s="59"/>
      <c r="C4" s="1323" t="s">
        <v>136</v>
      </c>
      <c r="D4" s="1323"/>
      <c r="E4" s="1323"/>
      <c r="F4" s="1323"/>
      <c r="G4" s="1323"/>
    </row>
    <row r="5" spans="1:9">
      <c r="B5" s="59"/>
      <c r="C5" s="59"/>
      <c r="D5" s="59"/>
      <c r="E5" s="59"/>
      <c r="F5" s="59"/>
      <c r="G5" s="174" t="s">
        <v>132</v>
      </c>
      <c r="H5" s="135">
        <f>'Kopertina '!F29</f>
        <v>2012</v>
      </c>
    </row>
    <row r="6" spans="1:9" ht="13.5" thickBot="1">
      <c r="B6" s="59"/>
      <c r="C6" s="59"/>
      <c r="D6" s="59"/>
      <c r="E6" s="59"/>
      <c r="F6" s="59"/>
      <c r="G6" s="175"/>
    </row>
    <row r="7" spans="1:9" ht="13.5" thickBot="1">
      <c r="A7" s="170"/>
      <c r="B7" s="163"/>
      <c r="C7" s="163"/>
      <c r="D7" s="163"/>
      <c r="E7" s="163"/>
      <c r="F7" s="163"/>
      <c r="G7" s="176"/>
      <c r="H7" s="164"/>
      <c r="I7" s="59"/>
    </row>
    <row r="8" spans="1:9" ht="12.75" customHeight="1">
      <c r="A8" s="179"/>
      <c r="B8" s="1371" t="s">
        <v>185</v>
      </c>
      <c r="C8" s="1373" t="s">
        <v>374</v>
      </c>
      <c r="D8" s="1373" t="s">
        <v>715</v>
      </c>
      <c r="E8" s="1373" t="s">
        <v>384</v>
      </c>
      <c r="F8" s="1373" t="s">
        <v>382</v>
      </c>
      <c r="G8" s="1375" t="s">
        <v>385</v>
      </c>
      <c r="H8" s="165"/>
      <c r="I8" s="59"/>
    </row>
    <row r="9" spans="1:9" ht="13.5" thickBot="1">
      <c r="A9" s="179"/>
      <c r="B9" s="1372"/>
      <c r="C9" s="1374"/>
      <c r="D9" s="1374"/>
      <c r="E9" s="1374"/>
      <c r="F9" s="1374"/>
      <c r="G9" s="1376"/>
      <c r="H9" s="165"/>
      <c r="I9" s="59"/>
    </row>
    <row r="10" spans="1:9">
      <c r="A10" s="179"/>
      <c r="B10" s="171">
        <v>1</v>
      </c>
      <c r="C10" s="172" t="s">
        <v>962</v>
      </c>
      <c r="D10" s="172"/>
      <c r="E10" s="172">
        <v>424000</v>
      </c>
      <c r="F10" s="172">
        <f>+E10</f>
        <v>424000</v>
      </c>
      <c r="G10" s="193">
        <f>D10+E10-F10</f>
        <v>0</v>
      </c>
      <c r="H10" s="165"/>
      <c r="I10" s="59"/>
    </row>
    <row r="11" spans="1:9">
      <c r="A11" s="179"/>
      <c r="B11" s="173">
        <v>2</v>
      </c>
      <c r="C11" s="116" t="s">
        <v>960</v>
      </c>
      <c r="D11" s="116"/>
      <c r="E11" s="116">
        <v>4368000</v>
      </c>
      <c r="F11" s="116">
        <f>+E11</f>
        <v>4368000</v>
      </c>
      <c r="G11" s="376">
        <f t="shared" ref="G11:G37" si="0">D11+E11-F11</f>
        <v>0</v>
      </c>
      <c r="H11" s="165"/>
      <c r="I11" s="59"/>
    </row>
    <row r="12" spans="1:9">
      <c r="A12" s="179"/>
      <c r="B12" s="173">
        <v>3</v>
      </c>
      <c r="C12" s="116" t="s">
        <v>952</v>
      </c>
      <c r="D12" s="116"/>
      <c r="E12" s="116">
        <v>9190000</v>
      </c>
      <c r="F12" s="116">
        <f>+E12</f>
        <v>9190000</v>
      </c>
      <c r="G12" s="376">
        <f t="shared" si="0"/>
        <v>0</v>
      </c>
      <c r="H12" s="165"/>
      <c r="I12" s="59"/>
    </row>
    <row r="13" spans="1:9">
      <c r="A13" s="179"/>
      <c r="B13" s="173">
        <v>4</v>
      </c>
      <c r="C13" s="116"/>
      <c r="D13" s="116"/>
      <c r="E13" s="116"/>
      <c r="F13" s="116"/>
      <c r="G13" s="376">
        <f t="shared" si="0"/>
        <v>0</v>
      </c>
      <c r="H13" s="165"/>
      <c r="I13" s="59"/>
    </row>
    <row r="14" spans="1:9">
      <c r="A14" s="179"/>
      <c r="B14" s="173">
        <v>5</v>
      </c>
      <c r="C14" s="116"/>
      <c r="D14" s="116"/>
      <c r="E14" s="116"/>
      <c r="F14" s="116"/>
      <c r="G14" s="376">
        <f t="shared" si="0"/>
        <v>0</v>
      </c>
      <c r="H14" s="165"/>
      <c r="I14" s="59"/>
    </row>
    <row r="15" spans="1:9">
      <c r="A15" s="179"/>
      <c r="B15" s="173">
        <v>6</v>
      </c>
      <c r="C15" s="116"/>
      <c r="D15" s="116"/>
      <c r="E15" s="116"/>
      <c r="F15" s="116"/>
      <c r="G15" s="376">
        <f t="shared" si="0"/>
        <v>0</v>
      </c>
      <c r="H15" s="165"/>
      <c r="I15" s="59"/>
    </row>
    <row r="16" spans="1:9">
      <c r="A16" s="179"/>
      <c r="B16" s="173">
        <v>7</v>
      </c>
      <c r="C16" s="116"/>
      <c r="D16" s="116"/>
      <c r="E16" s="116"/>
      <c r="F16" s="116"/>
      <c r="G16" s="376">
        <f t="shared" si="0"/>
        <v>0</v>
      </c>
      <c r="H16" s="165"/>
      <c r="I16" s="59"/>
    </row>
    <row r="17" spans="1:9">
      <c r="A17" s="179"/>
      <c r="B17" s="173">
        <v>8</v>
      </c>
      <c r="C17" s="116"/>
      <c r="D17" s="116"/>
      <c r="E17" s="116"/>
      <c r="F17" s="116"/>
      <c r="G17" s="376">
        <f t="shared" si="0"/>
        <v>0</v>
      </c>
      <c r="H17" s="165"/>
      <c r="I17" s="59"/>
    </row>
    <row r="18" spans="1:9">
      <c r="A18" s="179"/>
      <c r="B18" s="173">
        <v>9</v>
      </c>
      <c r="C18" s="116"/>
      <c r="D18" s="116"/>
      <c r="E18" s="116"/>
      <c r="F18" s="116"/>
      <c r="G18" s="376">
        <f t="shared" si="0"/>
        <v>0</v>
      </c>
      <c r="H18" s="165"/>
      <c r="I18" s="59"/>
    </row>
    <row r="19" spans="1:9">
      <c r="A19" s="179"/>
      <c r="B19" s="173">
        <v>10</v>
      </c>
      <c r="C19" s="116"/>
      <c r="D19" s="116"/>
      <c r="E19" s="116"/>
      <c r="F19" s="116"/>
      <c r="G19" s="376">
        <f t="shared" si="0"/>
        <v>0</v>
      </c>
      <c r="H19" s="165"/>
      <c r="I19" s="59"/>
    </row>
    <row r="20" spans="1:9">
      <c r="A20" s="179"/>
      <c r="B20" s="173">
        <v>11</v>
      </c>
      <c r="C20" s="116"/>
      <c r="D20" s="116"/>
      <c r="E20" s="116"/>
      <c r="F20" s="116"/>
      <c r="G20" s="376">
        <f t="shared" si="0"/>
        <v>0</v>
      </c>
      <c r="H20" s="165"/>
      <c r="I20" s="59"/>
    </row>
    <row r="21" spans="1:9">
      <c r="A21" s="179"/>
      <c r="B21" s="173">
        <v>12</v>
      </c>
      <c r="C21" s="116"/>
      <c r="D21" s="116"/>
      <c r="E21" s="116"/>
      <c r="F21" s="116"/>
      <c r="G21" s="376">
        <f t="shared" si="0"/>
        <v>0</v>
      </c>
      <c r="H21" s="165"/>
    </row>
    <row r="22" spans="1:9">
      <c r="A22" s="179"/>
      <c r="B22" s="173">
        <v>13</v>
      </c>
      <c r="C22" s="116"/>
      <c r="D22" s="116"/>
      <c r="E22" s="116"/>
      <c r="F22" s="116"/>
      <c r="G22" s="376">
        <f t="shared" si="0"/>
        <v>0</v>
      </c>
      <c r="H22" s="165"/>
    </row>
    <row r="23" spans="1:9">
      <c r="A23" s="179"/>
      <c r="B23" s="173">
        <v>14</v>
      </c>
      <c r="C23" s="116"/>
      <c r="D23" s="116"/>
      <c r="E23" s="116"/>
      <c r="F23" s="116"/>
      <c r="G23" s="376">
        <f t="shared" si="0"/>
        <v>0</v>
      </c>
      <c r="H23" s="165"/>
    </row>
    <row r="24" spans="1:9">
      <c r="A24" s="179"/>
      <c r="B24" s="173">
        <v>15</v>
      </c>
      <c r="C24" s="116"/>
      <c r="D24" s="116"/>
      <c r="E24" s="116"/>
      <c r="F24" s="116"/>
      <c r="G24" s="376">
        <f t="shared" si="0"/>
        <v>0</v>
      </c>
      <c r="H24" s="165"/>
    </row>
    <row r="25" spans="1:9">
      <c r="A25" s="179"/>
      <c r="B25" s="173">
        <v>16</v>
      </c>
      <c r="C25" s="116"/>
      <c r="D25" s="116"/>
      <c r="E25" s="116"/>
      <c r="F25" s="116"/>
      <c r="G25" s="376">
        <f t="shared" si="0"/>
        <v>0</v>
      </c>
      <c r="H25" s="165"/>
    </row>
    <row r="26" spans="1:9">
      <c r="A26" s="179"/>
      <c r="B26" s="173">
        <v>17</v>
      </c>
      <c r="C26" s="116"/>
      <c r="D26" s="116"/>
      <c r="E26" s="116"/>
      <c r="F26" s="116"/>
      <c r="G26" s="376">
        <f t="shared" si="0"/>
        <v>0</v>
      </c>
      <c r="H26" s="165"/>
    </row>
    <row r="27" spans="1:9">
      <c r="A27" s="179"/>
      <c r="B27" s="173">
        <v>18</v>
      </c>
      <c r="C27" s="116"/>
      <c r="D27" s="116"/>
      <c r="E27" s="116"/>
      <c r="F27" s="116"/>
      <c r="G27" s="376">
        <f t="shared" si="0"/>
        <v>0</v>
      </c>
      <c r="H27" s="165"/>
    </row>
    <row r="28" spans="1:9">
      <c r="A28" s="179"/>
      <c r="B28" s="173">
        <v>19</v>
      </c>
      <c r="C28" s="116"/>
      <c r="D28" s="116"/>
      <c r="E28" s="116"/>
      <c r="F28" s="116"/>
      <c r="G28" s="376">
        <f t="shared" si="0"/>
        <v>0</v>
      </c>
      <c r="H28" s="165"/>
    </row>
    <row r="29" spans="1:9">
      <c r="A29" s="179"/>
      <c r="B29" s="173">
        <v>20</v>
      </c>
      <c r="C29" s="116"/>
      <c r="D29" s="116"/>
      <c r="E29" s="116"/>
      <c r="F29" s="116"/>
      <c r="G29" s="376">
        <f t="shared" si="0"/>
        <v>0</v>
      </c>
      <c r="H29" s="165"/>
    </row>
    <row r="30" spans="1:9">
      <c r="A30" s="179"/>
      <c r="B30" s="173">
        <v>21</v>
      </c>
      <c r="C30" s="116"/>
      <c r="D30" s="116"/>
      <c r="E30" s="116"/>
      <c r="F30" s="116"/>
      <c r="G30" s="376">
        <f t="shared" si="0"/>
        <v>0</v>
      </c>
      <c r="H30" s="165"/>
    </row>
    <row r="31" spans="1:9">
      <c r="A31" s="179"/>
      <c r="B31" s="173">
        <v>22</v>
      </c>
      <c r="C31" s="116"/>
      <c r="D31" s="116"/>
      <c r="E31" s="116"/>
      <c r="F31" s="116"/>
      <c r="G31" s="376">
        <f t="shared" si="0"/>
        <v>0</v>
      </c>
      <c r="H31" s="165"/>
    </row>
    <row r="32" spans="1:9">
      <c r="A32" s="179"/>
      <c r="B32" s="173">
        <v>23</v>
      </c>
      <c r="C32" s="116"/>
      <c r="D32" s="116"/>
      <c r="E32" s="116"/>
      <c r="F32" s="116"/>
      <c r="G32" s="376">
        <f t="shared" si="0"/>
        <v>0</v>
      </c>
      <c r="H32" s="165"/>
    </row>
    <row r="33" spans="1:8">
      <c r="A33" s="179"/>
      <c r="B33" s="173">
        <v>24</v>
      </c>
      <c r="C33" s="116"/>
      <c r="D33" s="116"/>
      <c r="E33" s="116"/>
      <c r="F33" s="116"/>
      <c r="G33" s="376">
        <f t="shared" si="0"/>
        <v>0</v>
      </c>
      <c r="H33" s="165"/>
    </row>
    <row r="34" spans="1:8">
      <c r="A34" s="179"/>
      <c r="B34" s="173">
        <v>25</v>
      </c>
      <c r="C34" s="116"/>
      <c r="D34" s="116"/>
      <c r="E34" s="116"/>
      <c r="F34" s="116"/>
      <c r="G34" s="376">
        <f t="shared" si="0"/>
        <v>0</v>
      </c>
      <c r="H34" s="165"/>
    </row>
    <row r="35" spans="1:8">
      <c r="A35" s="179"/>
      <c r="B35" s="173">
        <v>26</v>
      </c>
      <c r="C35" s="116"/>
      <c r="D35" s="116"/>
      <c r="E35" s="116"/>
      <c r="F35" s="116"/>
      <c r="G35" s="376">
        <f t="shared" si="0"/>
        <v>0</v>
      </c>
      <c r="H35" s="165"/>
    </row>
    <row r="36" spans="1:8">
      <c r="A36" s="179"/>
      <c r="B36" s="173">
        <v>27</v>
      </c>
      <c r="C36" s="116"/>
      <c r="D36" s="116"/>
      <c r="E36" s="116"/>
      <c r="F36" s="116"/>
      <c r="G36" s="376">
        <f t="shared" si="0"/>
        <v>0</v>
      </c>
      <c r="H36" s="165"/>
    </row>
    <row r="37" spans="1:8">
      <c r="A37" s="179"/>
      <c r="B37" s="173">
        <v>28</v>
      </c>
      <c r="C37" s="116"/>
      <c r="D37" s="116"/>
      <c r="E37" s="116"/>
      <c r="F37" s="116"/>
      <c r="G37" s="376">
        <f t="shared" si="0"/>
        <v>0</v>
      </c>
      <c r="H37" s="165"/>
    </row>
    <row r="38" spans="1:8" ht="13.5" thickBot="1">
      <c r="A38" s="179"/>
      <c r="B38" s="190"/>
      <c r="C38" s="191"/>
      <c r="D38" s="191"/>
      <c r="E38" s="191">
        <v>0</v>
      </c>
      <c r="F38" s="191"/>
      <c r="G38" s="192"/>
      <c r="H38" s="165"/>
    </row>
    <row r="39" spans="1:8" ht="13.5" thickBot="1">
      <c r="A39" s="179"/>
      <c r="B39" s="1369" t="s">
        <v>373</v>
      </c>
      <c r="C39" s="1370"/>
      <c r="D39" s="374">
        <f>SUM(D10:D32)</f>
        <v>0</v>
      </c>
      <c r="E39" s="374">
        <f>SUM(E10:E38)</f>
        <v>13982000</v>
      </c>
      <c r="F39" s="374">
        <f>SUM(F10:F38)</f>
        <v>13982000</v>
      </c>
      <c r="G39" s="375">
        <f>SUM(G10:G38)</f>
        <v>0</v>
      </c>
      <c r="H39" s="165"/>
    </row>
    <row r="40" spans="1:8" ht="13.5" thickBot="1">
      <c r="A40" s="179"/>
      <c r="B40" s="59"/>
      <c r="C40" s="59"/>
      <c r="D40" s="59"/>
      <c r="E40" s="59"/>
      <c r="F40" s="59"/>
      <c r="G40" s="177"/>
      <c r="H40" s="165"/>
    </row>
    <row r="41" spans="1:8" ht="13.5" thickBot="1">
      <c r="A41" s="179"/>
      <c r="B41" s="59"/>
      <c r="C41" s="59"/>
      <c r="D41" s="59"/>
      <c r="E41" s="1323" t="s">
        <v>165</v>
      </c>
      <c r="F41" s="1323"/>
      <c r="G41" s="184">
        <f>SUM(G39:G40)</f>
        <v>0</v>
      </c>
      <c r="H41" s="165"/>
    </row>
    <row r="42" spans="1:8" ht="13.5" thickBot="1">
      <c r="A42" s="180"/>
      <c r="B42" s="181"/>
      <c r="C42" s="181"/>
      <c r="D42" s="181"/>
      <c r="E42" s="181"/>
      <c r="F42" s="181"/>
      <c r="G42" s="182"/>
      <c r="H42" s="183"/>
    </row>
    <row r="45" spans="1:8">
      <c r="E45" s="1136">
        <f>+E39-'P -Ardh Analiz '!Z30</f>
        <v>0</v>
      </c>
    </row>
  </sheetData>
  <mergeCells count="9">
    <mergeCell ref="E41:F41"/>
    <mergeCell ref="C4:G4"/>
    <mergeCell ref="B39:C39"/>
    <mergeCell ref="B8:B9"/>
    <mergeCell ref="C8:C9"/>
    <mergeCell ref="D8:D9"/>
    <mergeCell ref="E8:E9"/>
    <mergeCell ref="F8:F9"/>
    <mergeCell ref="G8:G9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3:J55"/>
  <sheetViews>
    <sheetView topLeftCell="A7" workbookViewId="0">
      <selection activeCell="N36" sqref="N36"/>
    </sheetView>
  </sheetViews>
  <sheetFormatPr defaultRowHeight="12.75"/>
  <cols>
    <col min="1" max="1" width="3" customWidth="1"/>
    <col min="2" max="2" width="5" customWidth="1"/>
    <col min="3" max="3" width="21" customWidth="1"/>
    <col min="4" max="4" width="11.7109375" customWidth="1"/>
    <col min="5" max="5" width="11.85546875" customWidth="1"/>
    <col min="6" max="6" width="10.7109375" customWidth="1"/>
    <col min="7" max="7" width="14.85546875" customWidth="1"/>
    <col min="8" max="8" width="5.28515625" customWidth="1"/>
    <col min="9" max="9" width="6.140625" customWidth="1"/>
    <col min="10" max="10" width="5.140625" customWidth="1"/>
    <col min="11" max="11" width="6.85546875" customWidth="1"/>
    <col min="12" max="12" width="5.5703125" customWidth="1"/>
  </cols>
  <sheetData>
    <row r="3" spans="2:10">
      <c r="B3" s="2"/>
      <c r="C3" s="49"/>
      <c r="D3" s="49"/>
      <c r="E3" s="49"/>
      <c r="F3" s="49"/>
      <c r="G3" s="2"/>
      <c r="H3" s="2"/>
    </row>
    <row r="4" spans="2:10">
      <c r="B4" s="52"/>
      <c r="C4" s="2" t="str">
        <f>'Kopertina '!F4</f>
        <v>Eskeld</v>
      </c>
      <c r="D4" s="2"/>
      <c r="E4" s="2"/>
      <c r="F4" s="2"/>
      <c r="G4" s="2"/>
      <c r="H4" s="2"/>
    </row>
    <row r="5" spans="2:10">
      <c r="B5" s="1"/>
      <c r="C5" s="1"/>
      <c r="D5" s="1"/>
      <c r="E5" s="1"/>
      <c r="F5" s="1"/>
      <c r="G5" s="2"/>
      <c r="H5" s="2"/>
      <c r="I5" s="2"/>
      <c r="J5" s="2" t="s">
        <v>119</v>
      </c>
    </row>
    <row r="6" spans="2:10">
      <c r="B6" s="1"/>
      <c r="C6" s="49" t="s">
        <v>148</v>
      </c>
      <c r="D6" s="49"/>
      <c r="E6" s="49"/>
      <c r="F6" s="49"/>
      <c r="G6" s="49"/>
      <c r="H6" s="49"/>
    </row>
    <row r="7" spans="2:10">
      <c r="B7" s="1"/>
      <c r="C7" s="1"/>
      <c r="D7" s="1"/>
      <c r="E7" s="1"/>
      <c r="F7" s="1"/>
      <c r="G7" s="1"/>
      <c r="H7" s="2" t="s">
        <v>132</v>
      </c>
      <c r="I7" s="19">
        <f>'Kopertina '!F29</f>
        <v>2012</v>
      </c>
    </row>
    <row r="8" spans="2:10" ht="13.5" thickBot="1">
      <c r="B8" s="1"/>
      <c r="C8" s="1"/>
      <c r="D8" s="1"/>
      <c r="E8" s="1"/>
      <c r="F8" s="1"/>
      <c r="G8" s="1"/>
      <c r="H8" s="1"/>
    </row>
    <row r="9" spans="2:10" ht="13.5" thickBot="1">
      <c r="B9" s="16"/>
      <c r="C9" s="17"/>
      <c r="D9" s="17"/>
      <c r="E9" s="17"/>
      <c r="F9" s="17"/>
      <c r="G9" s="17"/>
      <c r="H9" s="17"/>
      <c r="I9" s="17"/>
      <c r="J9" s="18"/>
    </row>
    <row r="10" spans="2:10">
      <c r="B10" s="5"/>
      <c r="C10" s="1378" t="s">
        <v>372</v>
      </c>
      <c r="D10" s="1378" t="s">
        <v>699</v>
      </c>
      <c r="E10" s="1378" t="s">
        <v>381</v>
      </c>
      <c r="F10" s="1380" t="s">
        <v>382</v>
      </c>
      <c r="G10" s="1378" t="s">
        <v>383</v>
      </c>
      <c r="H10" s="1"/>
      <c r="I10" s="1"/>
      <c r="J10" s="6"/>
    </row>
    <row r="11" spans="2:10" ht="13.5" thickBot="1">
      <c r="B11" s="5"/>
      <c r="C11" s="1379"/>
      <c r="D11" s="1379"/>
      <c r="E11" s="1379"/>
      <c r="F11" s="1381"/>
      <c r="G11" s="1379"/>
      <c r="H11" s="1"/>
      <c r="I11" s="1"/>
      <c r="J11" s="6"/>
    </row>
    <row r="12" spans="2:10">
      <c r="B12" s="5"/>
      <c r="C12" s="377"/>
      <c r="D12" s="378"/>
      <c r="E12" s="378"/>
      <c r="F12" s="378"/>
      <c r="G12" s="278">
        <f>D12+E12-F12</f>
        <v>0</v>
      </c>
      <c r="H12" s="1"/>
      <c r="I12" s="1"/>
      <c r="J12" s="6"/>
    </row>
    <row r="13" spans="2:10">
      <c r="B13" s="5"/>
      <c r="C13" s="379"/>
      <c r="D13" s="380"/>
      <c r="E13" s="380"/>
      <c r="F13" s="380"/>
      <c r="G13" s="384">
        <f t="shared" ref="G13:G20" si="0">D13+E13-F13</f>
        <v>0</v>
      </c>
      <c r="H13" s="1"/>
      <c r="I13" s="1"/>
      <c r="J13" s="6"/>
    </row>
    <row r="14" spans="2:10">
      <c r="B14" s="5"/>
      <c r="C14" s="379"/>
      <c r="D14" s="380"/>
      <c r="E14" s="380"/>
      <c r="F14" s="380"/>
      <c r="G14" s="384">
        <f t="shared" si="0"/>
        <v>0</v>
      </c>
      <c r="H14" s="1"/>
      <c r="I14" s="1"/>
      <c r="J14" s="6"/>
    </row>
    <row r="15" spans="2:10">
      <c r="B15" s="5"/>
      <c r="C15" s="274"/>
      <c r="D15" s="77"/>
      <c r="E15" s="77"/>
      <c r="F15" s="77"/>
      <c r="G15" s="384">
        <f t="shared" si="0"/>
        <v>0</v>
      </c>
      <c r="H15" s="1"/>
      <c r="I15" s="1"/>
      <c r="J15" s="6"/>
    </row>
    <row r="16" spans="2:10">
      <c r="B16" s="5"/>
      <c r="C16" s="274"/>
      <c r="D16" s="77"/>
      <c r="E16" s="77"/>
      <c r="F16" s="77"/>
      <c r="G16" s="384">
        <f t="shared" si="0"/>
        <v>0</v>
      </c>
      <c r="H16" s="1"/>
      <c r="I16" s="1"/>
      <c r="J16" s="6"/>
    </row>
    <row r="17" spans="2:10">
      <c r="B17" s="5"/>
      <c r="C17" s="274"/>
      <c r="D17" s="77"/>
      <c r="E17" s="77"/>
      <c r="F17" s="77"/>
      <c r="G17" s="384">
        <f t="shared" si="0"/>
        <v>0</v>
      </c>
      <c r="H17" s="1"/>
      <c r="I17" s="1"/>
      <c r="J17" s="6"/>
    </row>
    <row r="18" spans="2:10">
      <c r="B18" s="5"/>
      <c r="C18" s="274"/>
      <c r="D18" s="77"/>
      <c r="E18" s="77"/>
      <c r="F18" s="77"/>
      <c r="G18" s="384">
        <f t="shared" si="0"/>
        <v>0</v>
      </c>
      <c r="H18" s="1"/>
      <c r="I18" s="1"/>
      <c r="J18" s="6"/>
    </row>
    <row r="19" spans="2:10">
      <c r="B19" s="5"/>
      <c r="C19" s="274"/>
      <c r="D19" s="77"/>
      <c r="E19" s="77"/>
      <c r="F19" s="77"/>
      <c r="G19" s="384">
        <f t="shared" si="0"/>
        <v>0</v>
      </c>
      <c r="H19" s="1"/>
      <c r="I19" s="1"/>
      <c r="J19" s="6"/>
    </row>
    <row r="20" spans="2:10">
      <c r="B20" s="5"/>
      <c r="C20" s="274"/>
      <c r="D20" s="77"/>
      <c r="E20" s="77"/>
      <c r="F20" s="77"/>
      <c r="G20" s="384">
        <f t="shared" si="0"/>
        <v>0</v>
      </c>
      <c r="H20" s="1"/>
      <c r="I20" s="1"/>
      <c r="J20" s="6"/>
    </row>
    <row r="21" spans="2:10" ht="13.5" thickBot="1">
      <c r="B21" s="5"/>
      <c r="C21" s="385"/>
      <c r="D21" s="386"/>
      <c r="E21" s="386"/>
      <c r="F21" s="386"/>
      <c r="G21" s="387"/>
      <c r="H21" s="1"/>
      <c r="I21" s="1"/>
      <c r="J21" s="6"/>
    </row>
    <row r="22" spans="2:10" ht="13.5" thickBot="1">
      <c r="B22" s="5"/>
      <c r="C22" s="381" t="s">
        <v>165</v>
      </c>
      <c r="D22" s="382"/>
      <c r="E22" s="382"/>
      <c r="F22" s="382"/>
      <c r="G22" s="383">
        <f>SUM(G12:G21)</f>
        <v>0</v>
      </c>
      <c r="H22" s="1"/>
      <c r="I22" s="1"/>
      <c r="J22" s="6"/>
    </row>
    <row r="23" spans="2:10">
      <c r="B23" s="5"/>
      <c r="C23" s="1"/>
      <c r="D23" s="1"/>
      <c r="E23" s="1"/>
      <c r="F23" s="1"/>
      <c r="G23" s="1"/>
      <c r="H23" s="1"/>
      <c r="I23" s="1"/>
      <c r="J23" s="6"/>
    </row>
    <row r="24" spans="2:10">
      <c r="B24" s="5"/>
      <c r="C24" s="1"/>
      <c r="D24" s="1"/>
      <c r="E24" s="1"/>
      <c r="F24" s="1"/>
      <c r="G24" s="1"/>
      <c r="H24" s="1"/>
      <c r="I24" s="1"/>
      <c r="J24" s="6"/>
    </row>
    <row r="25" spans="2:10">
      <c r="B25" s="5"/>
      <c r="C25" s="1"/>
      <c r="D25" s="1"/>
      <c r="E25" s="1"/>
      <c r="F25" s="1"/>
      <c r="G25" s="1"/>
      <c r="H25" s="1"/>
      <c r="I25" s="1"/>
      <c r="J25" s="6"/>
    </row>
    <row r="26" spans="2:10">
      <c r="B26" s="5"/>
      <c r="C26" s="1"/>
      <c r="D26" s="1"/>
      <c r="E26" s="1"/>
      <c r="F26" s="1"/>
      <c r="G26" s="1"/>
      <c r="H26" s="1"/>
      <c r="I26" s="1"/>
      <c r="J26" s="6"/>
    </row>
    <row r="27" spans="2:10">
      <c r="B27" s="5"/>
      <c r="C27" s="1"/>
      <c r="D27" s="1"/>
      <c r="E27" s="1"/>
      <c r="F27" s="1"/>
      <c r="G27" s="1"/>
      <c r="H27" s="1"/>
      <c r="I27" s="1"/>
      <c r="J27" s="6"/>
    </row>
    <row r="28" spans="2:10">
      <c r="B28" s="5"/>
      <c r="C28" s="1"/>
      <c r="D28" s="1"/>
      <c r="E28" s="1"/>
      <c r="F28" s="1"/>
      <c r="G28" s="1"/>
      <c r="H28" s="1"/>
      <c r="I28" s="1"/>
      <c r="J28" s="6"/>
    </row>
    <row r="29" spans="2:10">
      <c r="B29" s="5"/>
      <c r="C29" s="1"/>
      <c r="D29" s="1"/>
      <c r="E29" s="1"/>
      <c r="F29" s="1"/>
      <c r="G29" s="1"/>
      <c r="H29" s="1"/>
      <c r="I29" s="1"/>
      <c r="J29" s="6"/>
    </row>
    <row r="30" spans="2:10">
      <c r="B30" s="5"/>
      <c r="C30" s="1"/>
      <c r="D30" s="1"/>
      <c r="E30" s="1"/>
      <c r="F30" s="1"/>
      <c r="G30" s="1"/>
      <c r="H30" s="1"/>
      <c r="I30" s="1"/>
      <c r="J30" s="6"/>
    </row>
    <row r="31" spans="2:10">
      <c r="B31" s="5"/>
      <c r="C31" s="1"/>
      <c r="D31" s="1"/>
      <c r="E31" s="1"/>
      <c r="F31" s="1"/>
      <c r="G31" s="1"/>
      <c r="H31" s="1"/>
      <c r="I31" s="1"/>
      <c r="J31" s="6"/>
    </row>
    <row r="32" spans="2:10">
      <c r="B32" s="5"/>
      <c r="C32" s="1"/>
      <c r="D32" s="1"/>
      <c r="E32" s="1"/>
      <c r="F32" s="1"/>
      <c r="G32" s="1"/>
      <c r="H32" s="1"/>
      <c r="I32" s="1"/>
      <c r="J32" s="6"/>
    </row>
    <row r="33" spans="2:10">
      <c r="B33" s="5"/>
      <c r="C33" s="1"/>
      <c r="D33" s="1"/>
      <c r="E33" s="1"/>
      <c r="F33" s="1"/>
      <c r="G33" s="1"/>
      <c r="H33" s="1"/>
      <c r="I33" s="1"/>
      <c r="J33" s="6"/>
    </row>
    <row r="34" spans="2:10">
      <c r="B34" s="5"/>
      <c r="C34" s="1"/>
      <c r="D34" s="1"/>
      <c r="E34" s="1"/>
      <c r="F34" s="1"/>
      <c r="G34" s="1"/>
      <c r="H34" s="1"/>
      <c r="I34" s="1"/>
      <c r="J34" s="6"/>
    </row>
    <row r="35" spans="2:10">
      <c r="B35" s="5"/>
      <c r="C35" s="1"/>
      <c r="D35" s="1"/>
      <c r="E35" s="1"/>
      <c r="F35" s="1"/>
      <c r="G35" s="1"/>
      <c r="H35" s="1"/>
      <c r="I35" s="1"/>
      <c r="J35" s="6"/>
    </row>
    <row r="36" spans="2:10">
      <c r="B36" s="5"/>
      <c r="C36" s="1"/>
      <c r="D36" s="1"/>
      <c r="E36" s="1"/>
      <c r="F36" s="1"/>
      <c r="G36" s="1"/>
      <c r="H36" s="1"/>
      <c r="I36" s="1"/>
      <c r="J36" s="6"/>
    </row>
    <row r="37" spans="2:10">
      <c r="B37" s="5"/>
      <c r="C37" s="1"/>
      <c r="D37" s="1"/>
      <c r="E37" s="1"/>
      <c r="F37" s="1"/>
      <c r="G37" s="1"/>
      <c r="H37" s="1"/>
      <c r="I37" s="1"/>
      <c r="J37" s="6"/>
    </row>
    <row r="38" spans="2:10">
      <c r="B38" s="5"/>
      <c r="C38" s="1"/>
      <c r="D38" s="1"/>
      <c r="E38" s="1"/>
      <c r="F38" s="1"/>
      <c r="G38" s="1"/>
      <c r="H38" s="1"/>
      <c r="I38" s="1"/>
      <c r="J38" s="6"/>
    </row>
    <row r="39" spans="2:10">
      <c r="B39" s="5"/>
      <c r="C39" s="1"/>
      <c r="D39" s="1"/>
      <c r="E39" s="1"/>
      <c r="F39" s="1"/>
      <c r="G39" s="1"/>
      <c r="H39" s="1"/>
      <c r="I39" s="1"/>
      <c r="J39" s="6"/>
    </row>
    <row r="40" spans="2:10">
      <c r="B40" s="5"/>
      <c r="C40" s="1"/>
      <c r="D40" s="1"/>
      <c r="E40" s="1"/>
      <c r="F40" s="1"/>
      <c r="G40" s="1"/>
      <c r="H40" s="1"/>
      <c r="I40" s="1"/>
      <c r="J40" s="6"/>
    </row>
    <row r="41" spans="2:10" ht="13.5" thickBot="1">
      <c r="B41" s="5"/>
      <c r="C41" s="1"/>
      <c r="D41" s="1"/>
      <c r="E41" s="1"/>
      <c r="F41" s="1"/>
      <c r="G41" s="1"/>
      <c r="H41" s="1"/>
      <c r="I41" s="1"/>
      <c r="J41" s="6"/>
    </row>
    <row r="42" spans="2:10" ht="13.5" thickBot="1">
      <c r="B42" s="5"/>
      <c r="C42" s="1"/>
      <c r="D42" s="1377"/>
      <c r="E42" s="1377"/>
      <c r="F42" s="1377"/>
      <c r="G42" s="1377"/>
      <c r="H42" s="1377"/>
      <c r="I42" s="187"/>
      <c r="J42" s="6"/>
    </row>
    <row r="43" spans="2:10">
      <c r="B43" s="5"/>
      <c r="C43" s="1"/>
      <c r="D43" s="1"/>
      <c r="E43" s="1"/>
      <c r="F43" s="1"/>
      <c r="G43" s="1"/>
      <c r="H43" s="1"/>
      <c r="I43" s="1"/>
      <c r="J43" s="6"/>
    </row>
    <row r="44" spans="2:10">
      <c r="B44" s="5"/>
      <c r="C44" s="1"/>
      <c r="D44" s="1"/>
      <c r="E44" s="1"/>
      <c r="F44" s="1"/>
      <c r="G44" s="1"/>
      <c r="H44" s="1"/>
      <c r="I44" s="1"/>
      <c r="J44" s="6"/>
    </row>
    <row r="45" spans="2:10">
      <c r="B45" s="5"/>
      <c r="C45" s="1"/>
      <c r="D45" s="1"/>
      <c r="E45" s="1"/>
      <c r="F45" s="1"/>
      <c r="G45" s="1"/>
      <c r="H45" s="1"/>
      <c r="I45" s="1"/>
      <c r="J45" s="6"/>
    </row>
    <row r="46" spans="2:10">
      <c r="B46" s="5"/>
      <c r="C46" s="1"/>
      <c r="D46" s="1"/>
      <c r="E46" s="1"/>
      <c r="F46" s="1"/>
      <c r="G46" s="1"/>
      <c r="H46" s="1"/>
      <c r="I46" s="1"/>
      <c r="J46" s="6"/>
    </row>
    <row r="47" spans="2:10">
      <c r="B47" s="5"/>
      <c r="C47" s="1"/>
      <c r="D47" s="1"/>
      <c r="E47" s="1"/>
      <c r="F47" s="1"/>
      <c r="G47" s="1"/>
      <c r="H47" s="1"/>
      <c r="I47" s="1"/>
      <c r="J47" s="6"/>
    </row>
    <row r="48" spans="2:10">
      <c r="B48" s="5"/>
      <c r="C48" s="1"/>
      <c r="D48" s="1"/>
      <c r="E48" s="1"/>
      <c r="F48" s="1"/>
      <c r="G48" s="1"/>
      <c r="H48" s="1"/>
      <c r="I48" s="1"/>
      <c r="J48" s="6"/>
    </row>
    <row r="49" spans="2:10">
      <c r="B49" s="5"/>
      <c r="C49" s="1"/>
      <c r="D49" s="1"/>
      <c r="E49" s="1"/>
      <c r="F49" s="1"/>
      <c r="G49" s="1"/>
      <c r="H49" s="1"/>
      <c r="I49" s="1"/>
      <c r="J49" s="6"/>
    </row>
    <row r="50" spans="2:10">
      <c r="B50" s="5"/>
      <c r="C50" s="1"/>
      <c r="D50" s="1"/>
      <c r="E50" s="1"/>
      <c r="F50" s="1"/>
      <c r="G50" s="1"/>
      <c r="H50" s="1"/>
      <c r="I50" s="1"/>
      <c r="J50" s="6"/>
    </row>
    <row r="51" spans="2:10">
      <c r="B51" s="5"/>
      <c r="C51" s="1"/>
      <c r="D51" s="1"/>
      <c r="E51" s="1"/>
      <c r="F51" s="1"/>
      <c r="G51" s="1"/>
      <c r="H51" s="1"/>
      <c r="I51" s="1"/>
      <c r="J51" s="6"/>
    </row>
    <row r="52" spans="2:10">
      <c r="B52" s="5"/>
      <c r="C52" s="1"/>
      <c r="D52" s="1"/>
      <c r="E52" s="1"/>
      <c r="F52" s="1"/>
      <c r="G52" s="1"/>
      <c r="H52" s="1"/>
      <c r="I52" s="1"/>
      <c r="J52" s="6"/>
    </row>
    <row r="53" spans="2:10">
      <c r="B53" s="5"/>
      <c r="C53" s="1"/>
      <c r="D53" s="1"/>
      <c r="E53" s="1"/>
      <c r="F53" s="1"/>
      <c r="G53" s="1"/>
      <c r="H53" s="1"/>
      <c r="I53" s="1"/>
      <c r="J53" s="6"/>
    </row>
    <row r="54" spans="2:10">
      <c r="B54" s="5"/>
      <c r="C54" s="1"/>
      <c r="D54" s="1"/>
      <c r="E54" s="1"/>
      <c r="F54" s="1"/>
      <c r="G54" s="1"/>
      <c r="H54" s="1"/>
      <c r="I54" s="1"/>
      <c r="J54" s="6"/>
    </row>
    <row r="55" spans="2:10" ht="13.5" thickBot="1">
      <c r="B55" s="7"/>
      <c r="C55" s="8"/>
      <c r="D55" s="8"/>
      <c r="E55" s="8"/>
      <c r="F55" s="8"/>
      <c r="G55" s="8"/>
      <c r="H55" s="8"/>
      <c r="I55" s="8"/>
      <c r="J55" s="9"/>
    </row>
  </sheetData>
  <mergeCells count="6">
    <mergeCell ref="D42:H42"/>
    <mergeCell ref="C10:C11"/>
    <mergeCell ref="D10:D11"/>
    <mergeCell ref="E10:E11"/>
    <mergeCell ref="F10:F11"/>
    <mergeCell ref="G10:G11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3:Q67"/>
  <sheetViews>
    <sheetView topLeftCell="A13" workbookViewId="0">
      <selection activeCell="F27" sqref="F27"/>
    </sheetView>
  </sheetViews>
  <sheetFormatPr defaultRowHeight="12.75"/>
  <cols>
    <col min="1" max="1" width="4.42578125" customWidth="1"/>
    <col min="2" max="2" width="6.5703125" customWidth="1"/>
    <col min="3" max="4" width="13.42578125" customWidth="1"/>
    <col min="5" max="5" width="15.140625" style="91" customWidth="1"/>
    <col min="6" max="6" width="12.28515625" customWidth="1"/>
    <col min="7" max="7" width="7.42578125" customWidth="1"/>
    <col min="8" max="8" width="7.85546875" customWidth="1"/>
    <col min="9" max="9" width="4.85546875" customWidth="1"/>
    <col min="10" max="10" width="7" customWidth="1"/>
    <col min="11" max="11" width="7.140625" customWidth="1"/>
  </cols>
  <sheetData>
    <row r="3" spans="1:17">
      <c r="B3" s="2"/>
      <c r="C3" s="49"/>
      <c r="D3" s="49"/>
      <c r="E3" s="134"/>
      <c r="F3" s="49"/>
      <c r="G3" s="2"/>
      <c r="H3" s="2"/>
    </row>
    <row r="4" spans="1:17">
      <c r="B4" s="2"/>
      <c r="C4" s="2" t="str">
        <f>'Kopertina '!F4</f>
        <v>Eskeld</v>
      </c>
      <c r="D4" s="2"/>
      <c r="E4" s="3"/>
      <c r="F4" s="2"/>
      <c r="G4" s="2"/>
      <c r="H4" s="2"/>
    </row>
    <row r="5" spans="1:17">
      <c r="B5" s="1"/>
      <c r="C5" s="1"/>
      <c r="D5" s="1"/>
      <c r="E5" s="59"/>
      <c r="F5" s="1"/>
      <c r="G5" s="2"/>
      <c r="H5" s="2"/>
      <c r="I5" s="2"/>
      <c r="J5" s="2"/>
      <c r="K5" s="2" t="s">
        <v>120</v>
      </c>
    </row>
    <row r="6" spans="1:17">
      <c r="B6" s="1"/>
      <c r="C6" s="1354" t="s">
        <v>149</v>
      </c>
      <c r="D6" s="1354"/>
      <c r="E6" s="1354"/>
      <c r="F6" s="1354"/>
      <c r="G6" s="1354"/>
      <c r="H6" s="1354"/>
      <c r="I6" s="1354"/>
      <c r="P6" t="s">
        <v>1200</v>
      </c>
      <c r="Q6">
        <v>20246</v>
      </c>
    </row>
    <row r="7" spans="1:17">
      <c r="B7" s="1"/>
      <c r="C7" s="1"/>
      <c r="D7" s="1"/>
      <c r="E7" s="59"/>
      <c r="F7" s="1"/>
      <c r="G7" s="1"/>
      <c r="H7" s="2" t="s">
        <v>132</v>
      </c>
      <c r="I7" s="19"/>
      <c r="J7" s="19">
        <f>'Kopertina '!F29</f>
        <v>2012</v>
      </c>
      <c r="P7" t="s">
        <v>1205</v>
      </c>
      <c r="Q7">
        <v>20246</v>
      </c>
    </row>
    <row r="8" spans="1:17" ht="13.5" thickBot="1">
      <c r="B8" s="1"/>
      <c r="C8" s="1"/>
      <c r="D8" s="1"/>
      <c r="E8" s="59"/>
      <c r="F8" s="1"/>
      <c r="G8" s="1"/>
      <c r="H8" s="1"/>
      <c r="P8" t="s">
        <v>1208</v>
      </c>
      <c r="Q8">
        <v>20246</v>
      </c>
    </row>
    <row r="9" spans="1:17">
      <c r="A9" s="16"/>
      <c r="B9" s="17"/>
      <c r="C9" s="17"/>
      <c r="D9" s="17"/>
      <c r="E9" s="163"/>
      <c r="F9" s="17"/>
      <c r="G9" s="17"/>
      <c r="H9" s="17"/>
      <c r="I9" s="17"/>
      <c r="J9" s="17"/>
      <c r="K9" s="18"/>
      <c r="P9" t="s">
        <v>1200</v>
      </c>
      <c r="Q9">
        <v>20246</v>
      </c>
    </row>
    <row r="10" spans="1:17">
      <c r="A10" s="5"/>
      <c r="B10" s="1"/>
      <c r="C10" s="1"/>
      <c r="D10" s="1"/>
      <c r="E10" s="59"/>
      <c r="F10" s="1"/>
      <c r="G10" s="1"/>
      <c r="H10" s="1"/>
      <c r="I10" s="1"/>
      <c r="J10" s="1"/>
      <c r="K10" s="6"/>
      <c r="P10" t="s">
        <v>1208</v>
      </c>
      <c r="Q10">
        <v>20246</v>
      </c>
    </row>
    <row r="11" spans="1:17" ht="13.5" thickBot="1">
      <c r="A11" s="5"/>
      <c r="B11" s="1"/>
      <c r="C11" s="1"/>
      <c r="D11" s="1"/>
      <c r="E11" s="59"/>
      <c r="F11" s="1"/>
      <c r="G11" s="1"/>
      <c r="H11" s="1"/>
      <c r="I11" s="1"/>
      <c r="J11" s="1"/>
      <c r="K11" s="6"/>
      <c r="P11" t="s">
        <v>1205</v>
      </c>
      <c r="Q11">
        <v>20246</v>
      </c>
    </row>
    <row r="12" spans="1:17" ht="18" customHeight="1" thickBot="1">
      <c r="A12" s="5"/>
      <c r="B12" s="392" t="s">
        <v>1</v>
      </c>
      <c r="C12" s="393" t="s">
        <v>167</v>
      </c>
      <c r="D12" s="393" t="s">
        <v>239</v>
      </c>
      <c r="E12" s="393" t="s">
        <v>238</v>
      </c>
      <c r="F12" s="394" t="s">
        <v>240</v>
      </c>
      <c r="G12" s="2"/>
      <c r="H12" s="1"/>
      <c r="I12" s="1"/>
      <c r="J12" s="1"/>
      <c r="K12" s="6"/>
      <c r="P12" t="s">
        <v>1208</v>
      </c>
      <c r="Q12">
        <v>20246</v>
      </c>
    </row>
    <row r="13" spans="1:17">
      <c r="A13" s="5"/>
      <c r="B13" s="388">
        <v>1</v>
      </c>
      <c r="C13" s="389" t="s">
        <v>195</v>
      </c>
      <c r="D13" s="389"/>
      <c r="E13" s="390">
        <v>20246</v>
      </c>
      <c r="F13" s="391">
        <f>+E13</f>
        <v>20246</v>
      </c>
      <c r="G13" s="1"/>
      <c r="H13" s="1"/>
      <c r="I13" s="1"/>
      <c r="J13" s="1"/>
      <c r="K13" s="6"/>
      <c r="P13" t="s">
        <v>1200</v>
      </c>
      <c r="Q13">
        <v>20246</v>
      </c>
    </row>
    <row r="14" spans="1:17">
      <c r="A14" s="5"/>
      <c r="B14" s="124">
        <v>2</v>
      </c>
      <c r="C14" s="121" t="s">
        <v>230</v>
      </c>
      <c r="D14" s="121"/>
      <c r="E14" s="123">
        <v>20246</v>
      </c>
      <c r="F14" s="125">
        <f>F13+E14</f>
        <v>40492</v>
      </c>
      <c r="G14" s="1"/>
      <c r="H14" s="1"/>
      <c r="I14" s="1"/>
      <c r="J14" s="1"/>
      <c r="K14" s="6"/>
      <c r="P14" t="s">
        <v>1205</v>
      </c>
      <c r="Q14">
        <v>20246</v>
      </c>
    </row>
    <row r="15" spans="1:17">
      <c r="A15" s="5"/>
      <c r="B15" s="124">
        <v>3</v>
      </c>
      <c r="C15" s="123" t="s">
        <v>196</v>
      </c>
      <c r="D15" s="121"/>
      <c r="E15" s="123">
        <v>20246</v>
      </c>
      <c r="F15" s="125">
        <f t="shared" ref="F15:F24" si="0">F14+E15</f>
        <v>60738</v>
      </c>
      <c r="G15" s="1"/>
      <c r="H15" s="1"/>
      <c r="I15" s="1"/>
      <c r="J15" s="1"/>
      <c r="K15" s="6"/>
      <c r="P15" t="s">
        <v>1200</v>
      </c>
      <c r="Q15">
        <v>20246</v>
      </c>
    </row>
    <row r="16" spans="1:17">
      <c r="A16" s="5"/>
      <c r="B16" s="124">
        <v>4</v>
      </c>
      <c r="C16" s="123" t="s">
        <v>197</v>
      </c>
      <c r="D16" s="121"/>
      <c r="E16" s="123">
        <v>20246</v>
      </c>
      <c r="F16" s="125">
        <f t="shared" si="0"/>
        <v>80984</v>
      </c>
      <c r="G16" s="1"/>
      <c r="H16" s="1"/>
      <c r="I16" s="1"/>
      <c r="J16" s="1"/>
      <c r="K16" s="6"/>
      <c r="P16" t="s">
        <v>1200</v>
      </c>
      <c r="Q16">
        <v>45000</v>
      </c>
    </row>
    <row r="17" spans="1:17">
      <c r="A17" s="5"/>
      <c r="B17" s="124">
        <v>5</v>
      </c>
      <c r="C17" s="123" t="s">
        <v>198</v>
      </c>
      <c r="D17" s="121"/>
      <c r="E17" s="123">
        <v>20246</v>
      </c>
      <c r="F17" s="125">
        <f t="shared" si="0"/>
        <v>101230</v>
      </c>
      <c r="G17" s="1"/>
      <c r="H17" s="1"/>
      <c r="I17" s="1"/>
      <c r="J17" s="1"/>
      <c r="K17" s="6"/>
      <c r="P17" t="s">
        <v>1200</v>
      </c>
      <c r="Q17">
        <v>45000</v>
      </c>
    </row>
    <row r="18" spans="1:17">
      <c r="A18" s="5"/>
      <c r="B18" s="124">
        <v>6</v>
      </c>
      <c r="C18" s="123" t="s">
        <v>199</v>
      </c>
      <c r="D18" s="121"/>
      <c r="E18" s="123">
        <v>20246</v>
      </c>
      <c r="F18" s="125">
        <f t="shared" si="0"/>
        <v>121476</v>
      </c>
      <c r="G18" s="1"/>
      <c r="H18" s="1"/>
      <c r="I18" s="1"/>
      <c r="J18" s="1"/>
      <c r="K18" s="6"/>
      <c r="P18" t="s">
        <v>1208</v>
      </c>
      <c r="Q18">
        <v>110099</v>
      </c>
    </row>
    <row r="19" spans="1:17">
      <c r="A19" s="5"/>
      <c r="B19" s="124">
        <v>7</v>
      </c>
      <c r="C19" s="123" t="s">
        <v>241</v>
      </c>
      <c r="D19" s="121"/>
      <c r="E19" s="123">
        <v>20246</v>
      </c>
      <c r="F19" s="125">
        <f t="shared" si="0"/>
        <v>141722</v>
      </c>
      <c r="G19" s="1"/>
      <c r="H19" s="1"/>
      <c r="I19" s="1"/>
      <c r="J19" s="1"/>
      <c r="K19" s="6"/>
    </row>
    <row r="20" spans="1:17">
      <c r="A20" s="5"/>
      <c r="B20" s="124">
        <v>8</v>
      </c>
      <c r="C20" s="123" t="s">
        <v>201</v>
      </c>
      <c r="D20" s="121"/>
      <c r="E20" s="123">
        <v>20246</v>
      </c>
      <c r="F20" s="125">
        <f t="shared" si="0"/>
        <v>161968</v>
      </c>
      <c r="G20" s="1"/>
      <c r="H20" s="1"/>
      <c r="I20" s="1"/>
      <c r="J20" s="1"/>
      <c r="K20" s="6"/>
    </row>
    <row r="21" spans="1:17">
      <c r="A21" s="5"/>
      <c r="B21" s="124">
        <v>9</v>
      </c>
      <c r="C21" s="123" t="s">
        <v>202</v>
      </c>
      <c r="D21" s="121"/>
      <c r="E21" s="123">
        <v>20246</v>
      </c>
      <c r="F21" s="125">
        <f t="shared" si="0"/>
        <v>182214</v>
      </c>
      <c r="G21" s="1"/>
      <c r="H21" s="1"/>
      <c r="I21" s="1"/>
      <c r="J21" s="1"/>
      <c r="K21" s="6"/>
    </row>
    <row r="22" spans="1:17">
      <c r="A22" s="5"/>
      <c r="B22" s="124">
        <v>10</v>
      </c>
      <c r="C22" s="123" t="s">
        <v>203</v>
      </c>
      <c r="D22" s="121"/>
      <c r="E22" s="123">
        <v>20246</v>
      </c>
      <c r="F22" s="125">
        <f t="shared" si="0"/>
        <v>202460</v>
      </c>
      <c r="G22" s="1"/>
      <c r="H22" s="1"/>
      <c r="I22" s="1"/>
      <c r="J22" s="1"/>
      <c r="K22" s="6"/>
      <c r="M22" s="27" t="s">
        <v>797</v>
      </c>
      <c r="N22" s="1"/>
      <c r="O22" s="1"/>
      <c r="P22" s="1"/>
      <c r="Q22" s="1"/>
    </row>
    <row r="23" spans="1:17">
      <c r="A23" s="5"/>
      <c r="B23" s="124">
        <v>11</v>
      </c>
      <c r="C23" s="123" t="s">
        <v>204</v>
      </c>
      <c r="D23" s="121"/>
      <c r="E23" s="123">
        <v>45000</v>
      </c>
      <c r="F23" s="125">
        <f t="shared" si="0"/>
        <v>247460</v>
      </c>
      <c r="G23" s="1"/>
      <c r="H23" s="1"/>
      <c r="I23" s="1"/>
      <c r="J23" s="1"/>
      <c r="K23" s="6"/>
    </row>
    <row r="24" spans="1:17">
      <c r="A24" s="5"/>
      <c r="B24" s="124">
        <v>12</v>
      </c>
      <c r="C24" s="123" t="s">
        <v>205</v>
      </c>
      <c r="D24" s="121"/>
      <c r="E24" s="123">
        <v>45000</v>
      </c>
      <c r="F24" s="125">
        <f t="shared" si="0"/>
        <v>292460</v>
      </c>
      <c r="G24" s="1"/>
      <c r="H24" s="1"/>
      <c r="I24" s="1"/>
      <c r="J24" s="1"/>
      <c r="K24" s="6"/>
    </row>
    <row r="25" spans="1:17" ht="13.5" thickBot="1">
      <c r="A25" s="5"/>
      <c r="B25" s="126"/>
      <c r="C25" s="127" t="s">
        <v>729</v>
      </c>
      <c r="D25" s="128"/>
      <c r="E25" s="127"/>
      <c r="F25" s="395">
        <f>F24</f>
        <v>292460</v>
      </c>
      <c r="G25" s="1"/>
      <c r="H25" s="1"/>
      <c r="I25" s="1"/>
      <c r="J25" s="1"/>
      <c r="K25" s="6"/>
    </row>
    <row r="26" spans="1:17" ht="17.25" customHeight="1" thickBot="1">
      <c r="A26" s="5"/>
      <c r="B26" s="396"/>
      <c r="C26" s="397" t="s">
        <v>206</v>
      </c>
      <c r="D26" s="397">
        <f>SUM(D13:D25)</f>
        <v>0</v>
      </c>
      <c r="E26" s="397">
        <f>SUM(E13:E25)</f>
        <v>292460</v>
      </c>
      <c r="F26" s="398">
        <f>+F25</f>
        <v>292460</v>
      </c>
      <c r="G26" s="1"/>
      <c r="H26" s="1"/>
      <c r="I26" s="1"/>
      <c r="J26" s="1"/>
      <c r="K26" s="6"/>
    </row>
    <row r="27" spans="1:17" ht="13.5" thickBot="1">
      <c r="A27" s="5"/>
      <c r="B27" s="1"/>
      <c r="C27" s="1"/>
      <c r="D27" s="1"/>
      <c r="E27" s="188"/>
      <c r="F27" s="122"/>
      <c r="G27" s="1"/>
      <c r="H27" s="1"/>
      <c r="I27" s="1"/>
      <c r="J27" s="1"/>
      <c r="K27" s="6"/>
    </row>
    <row r="28" spans="1:17" ht="17.25" customHeight="1" thickBot="1">
      <c r="A28" s="5"/>
      <c r="B28" s="1"/>
      <c r="C28" s="3" t="s">
        <v>749</v>
      </c>
      <c r="D28" s="1"/>
      <c r="E28" s="188"/>
      <c r="F28" s="592">
        <f>'AKTIVI '!F14</f>
        <v>0</v>
      </c>
      <c r="G28" s="1"/>
      <c r="H28" s="1"/>
      <c r="I28" s="1"/>
      <c r="J28" s="1"/>
      <c r="K28" s="6"/>
    </row>
    <row r="29" spans="1:17" ht="13.5" thickBot="1">
      <c r="A29" s="5"/>
      <c r="B29" s="1"/>
      <c r="C29" s="1"/>
      <c r="D29" s="1"/>
      <c r="E29" s="188"/>
      <c r="F29" s="122"/>
      <c r="G29" s="1"/>
      <c r="H29" s="1"/>
      <c r="I29" s="1"/>
      <c r="J29" s="1"/>
      <c r="K29" s="6"/>
    </row>
    <row r="30" spans="1:17" ht="18.75" customHeight="1" thickBot="1">
      <c r="A30" s="5"/>
      <c r="B30" s="1"/>
      <c r="C30" s="60" t="s">
        <v>95</v>
      </c>
      <c r="D30" s="41"/>
      <c r="E30" s="189"/>
      <c r="F30" s="593">
        <f>F26+F28</f>
        <v>292460</v>
      </c>
      <c r="G30" s="1"/>
      <c r="H30" s="1"/>
      <c r="I30" s="1"/>
      <c r="J30" s="1"/>
      <c r="K30" s="6"/>
    </row>
    <row r="31" spans="1:17">
      <c r="A31" s="5"/>
      <c r="B31" s="1"/>
      <c r="C31" s="1"/>
      <c r="D31" s="1"/>
      <c r="E31" s="188"/>
      <c r="F31" s="122"/>
      <c r="G31" s="1"/>
      <c r="H31" s="1"/>
      <c r="I31" s="1"/>
      <c r="J31" s="1"/>
      <c r="K31" s="6"/>
    </row>
    <row r="32" spans="1:17" ht="13.5" thickBot="1">
      <c r="A32" s="5"/>
      <c r="B32" s="1"/>
      <c r="C32" s="1"/>
      <c r="D32" s="1"/>
      <c r="E32" s="188"/>
      <c r="F32" s="122"/>
      <c r="G32" s="1"/>
      <c r="H32" s="1"/>
      <c r="I32" s="1"/>
      <c r="J32" s="1"/>
      <c r="K32" s="6"/>
    </row>
    <row r="33" spans="1:11" ht="13.5" thickBot="1">
      <c r="A33" s="5"/>
      <c r="B33" s="1"/>
      <c r="C33" s="1" t="s">
        <v>242</v>
      </c>
      <c r="D33" s="1"/>
      <c r="E33" s="188"/>
      <c r="F33" s="592">
        <f>'Ardh e shp - natyres'!E38</f>
        <v>165072.02820694429</v>
      </c>
      <c r="G33" s="1"/>
      <c r="H33" s="1"/>
      <c r="I33" s="1"/>
      <c r="J33" s="1"/>
      <c r="K33" s="6"/>
    </row>
    <row r="34" spans="1:11">
      <c r="A34" s="5"/>
      <c r="B34" s="1"/>
      <c r="C34" s="1"/>
      <c r="D34" s="1"/>
      <c r="E34" s="188"/>
      <c r="F34" s="122"/>
      <c r="G34" s="1"/>
      <c r="H34" s="1"/>
      <c r="I34" s="1"/>
      <c r="J34" s="1"/>
      <c r="K34" s="6"/>
    </row>
    <row r="35" spans="1:11" ht="13.5" thickBot="1">
      <c r="A35" s="5"/>
      <c r="B35" s="1"/>
      <c r="C35" s="1"/>
      <c r="D35" s="1"/>
      <c r="E35" s="188"/>
      <c r="F35" s="122"/>
      <c r="G35" s="1"/>
      <c r="H35" s="1"/>
      <c r="I35" s="1"/>
      <c r="J35" s="1"/>
      <c r="K35" s="6"/>
    </row>
    <row r="36" spans="1:11" ht="13.5" thickBot="1">
      <c r="A36" s="5"/>
      <c r="B36" s="1"/>
      <c r="C36" s="1" t="s">
        <v>243</v>
      </c>
      <c r="D36" s="1"/>
      <c r="E36" s="188"/>
      <c r="F36" s="592">
        <f>F33-F30</f>
        <v>-127387.97179305571</v>
      </c>
      <c r="G36" s="1"/>
      <c r="H36" s="1"/>
      <c r="I36" s="1"/>
      <c r="J36" s="1"/>
      <c r="K36" s="6"/>
    </row>
    <row r="37" spans="1:11">
      <c r="A37" s="5"/>
      <c r="B37" s="1"/>
      <c r="C37" s="1"/>
      <c r="D37" s="1"/>
      <c r="E37" s="188"/>
      <c r="F37" s="122"/>
      <c r="G37" s="1"/>
      <c r="H37" s="1"/>
      <c r="I37" s="1"/>
      <c r="J37" s="1"/>
      <c r="K37" s="6"/>
    </row>
    <row r="38" spans="1:11">
      <c r="A38" s="5"/>
      <c r="B38" s="1"/>
      <c r="C38" s="1"/>
      <c r="D38" s="1"/>
      <c r="E38" s="188"/>
      <c r="F38" s="122"/>
      <c r="G38" s="1"/>
      <c r="H38" s="1"/>
      <c r="I38" s="1"/>
      <c r="J38" s="1"/>
      <c r="K38" s="6"/>
    </row>
    <row r="39" spans="1:11">
      <c r="A39" s="5"/>
      <c r="B39" s="1"/>
      <c r="C39" s="1"/>
      <c r="D39" s="1"/>
      <c r="E39" s="188"/>
      <c r="F39" s="122"/>
      <c r="G39" s="1"/>
      <c r="H39" s="1"/>
      <c r="I39" s="1"/>
      <c r="J39" s="1"/>
      <c r="K39" s="6"/>
    </row>
    <row r="40" spans="1:11">
      <c r="A40" s="5"/>
      <c r="B40" s="1"/>
      <c r="C40" s="1"/>
      <c r="D40" s="1"/>
      <c r="E40" s="59"/>
      <c r="F40" s="1"/>
      <c r="G40" s="1"/>
      <c r="H40" s="1"/>
      <c r="I40" s="1"/>
      <c r="J40" s="1"/>
      <c r="K40" s="6"/>
    </row>
    <row r="41" spans="1:11">
      <c r="A41" s="5"/>
      <c r="B41" s="1"/>
      <c r="C41" s="1"/>
      <c r="D41" s="1"/>
      <c r="E41" s="59"/>
      <c r="F41" s="1"/>
      <c r="G41" s="1"/>
      <c r="H41" s="1"/>
      <c r="I41" s="1"/>
      <c r="J41" s="1"/>
      <c r="K41" s="6"/>
    </row>
    <row r="42" spans="1:11">
      <c r="A42" s="5"/>
      <c r="B42" s="1"/>
      <c r="C42" s="1"/>
      <c r="D42" s="1"/>
      <c r="E42" s="59"/>
      <c r="F42" s="1"/>
      <c r="G42" s="1"/>
      <c r="H42" s="1"/>
      <c r="I42" s="1"/>
      <c r="J42" s="1"/>
      <c r="K42" s="6"/>
    </row>
    <row r="43" spans="1:11">
      <c r="A43" s="5"/>
      <c r="B43" s="1"/>
      <c r="C43" s="1"/>
      <c r="D43" s="1"/>
      <c r="E43" s="59"/>
      <c r="F43" s="1"/>
      <c r="G43" s="1"/>
      <c r="H43" s="1"/>
      <c r="I43" s="1"/>
      <c r="J43" s="1"/>
      <c r="K43" s="6"/>
    </row>
    <row r="44" spans="1:11">
      <c r="A44" s="5"/>
      <c r="B44" s="1"/>
      <c r="C44" s="1"/>
      <c r="D44" s="1"/>
      <c r="E44" s="59"/>
      <c r="F44" s="1"/>
      <c r="G44" s="1"/>
      <c r="H44" s="1"/>
      <c r="I44" s="1"/>
      <c r="J44" s="1"/>
      <c r="K44" s="6"/>
    </row>
    <row r="45" spans="1:11">
      <c r="A45" s="5"/>
      <c r="B45" s="1"/>
      <c r="C45" s="1"/>
      <c r="D45" s="1"/>
      <c r="E45" s="59"/>
      <c r="F45" s="1"/>
      <c r="G45" s="1"/>
      <c r="H45" s="1"/>
      <c r="I45" s="1"/>
      <c r="J45" s="1"/>
      <c r="K45" s="6"/>
    </row>
    <row r="46" spans="1:11">
      <c r="A46" s="5"/>
      <c r="B46" s="1"/>
      <c r="C46" s="1"/>
      <c r="D46" s="1"/>
      <c r="E46" s="59"/>
      <c r="F46" s="1"/>
      <c r="G46" s="1"/>
      <c r="H46" s="1"/>
      <c r="I46" s="1"/>
      <c r="J46" s="1"/>
      <c r="K46" s="6"/>
    </row>
    <row r="47" spans="1:11">
      <c r="A47" s="5"/>
      <c r="B47" s="1"/>
      <c r="C47" s="1"/>
      <c r="D47" s="1"/>
      <c r="E47" s="59"/>
      <c r="F47" s="1"/>
      <c r="G47" s="1"/>
      <c r="H47" s="1"/>
      <c r="I47" s="1"/>
      <c r="J47" s="1"/>
      <c r="K47" s="6"/>
    </row>
    <row r="48" spans="1:11">
      <c r="A48" s="5"/>
      <c r="B48" s="1"/>
      <c r="C48" s="1"/>
      <c r="D48" s="1"/>
      <c r="E48" s="59"/>
      <c r="F48" s="1"/>
      <c r="G48" s="1"/>
      <c r="H48" s="1"/>
      <c r="I48" s="1"/>
      <c r="J48" s="1"/>
      <c r="K48" s="6"/>
    </row>
    <row r="49" spans="1:11">
      <c r="A49" s="5"/>
      <c r="B49" s="1"/>
      <c r="C49" s="1"/>
      <c r="D49" s="1"/>
      <c r="E49" s="59"/>
      <c r="F49" s="1"/>
      <c r="G49" s="1"/>
      <c r="H49" s="1"/>
      <c r="I49" s="1"/>
      <c r="J49" s="1"/>
      <c r="K49" s="6"/>
    </row>
    <row r="50" spans="1:11">
      <c r="A50" s="5"/>
      <c r="B50" s="1"/>
      <c r="C50" s="1"/>
      <c r="D50" s="1"/>
      <c r="E50" s="59"/>
      <c r="F50" s="1"/>
      <c r="G50" s="1"/>
      <c r="H50" s="1"/>
      <c r="I50" s="1"/>
      <c r="J50" s="1"/>
      <c r="K50" s="6"/>
    </row>
    <row r="51" spans="1:11">
      <c r="A51" s="5"/>
      <c r="B51" s="1"/>
      <c r="C51" s="1"/>
      <c r="D51" s="1"/>
      <c r="E51" s="59"/>
      <c r="F51" s="1"/>
      <c r="G51" s="1"/>
      <c r="H51" s="1"/>
      <c r="I51" s="1"/>
      <c r="J51" s="1"/>
      <c r="K51" s="6"/>
    </row>
    <row r="52" spans="1:11">
      <c r="A52" s="5"/>
      <c r="B52" s="1"/>
      <c r="C52" s="1"/>
      <c r="D52" s="1"/>
      <c r="E52" s="59"/>
      <c r="F52" s="1"/>
      <c r="G52" s="1"/>
      <c r="H52" s="1"/>
      <c r="I52" s="1"/>
      <c r="J52" s="1"/>
      <c r="K52" s="6"/>
    </row>
    <row r="53" spans="1:11">
      <c r="A53" s="5"/>
      <c r="B53" s="1"/>
      <c r="C53" s="1"/>
      <c r="D53" s="1"/>
      <c r="E53" s="59"/>
      <c r="F53" s="1"/>
      <c r="G53" s="1"/>
      <c r="H53" s="1"/>
      <c r="I53" s="1"/>
      <c r="J53" s="1"/>
      <c r="K53" s="6"/>
    </row>
    <row r="54" spans="1:11">
      <c r="A54" s="5"/>
      <c r="B54" s="1"/>
      <c r="C54" s="1"/>
      <c r="D54" s="1"/>
      <c r="E54" s="59"/>
      <c r="F54" s="1"/>
      <c r="G54" s="1"/>
      <c r="H54" s="1"/>
      <c r="I54" s="1"/>
      <c r="J54" s="1"/>
      <c r="K54" s="6"/>
    </row>
    <row r="55" spans="1:11">
      <c r="A55" s="5"/>
      <c r="B55" s="1"/>
      <c r="C55" s="1"/>
      <c r="D55" s="1"/>
      <c r="E55" s="59"/>
      <c r="F55" s="1"/>
      <c r="G55" s="1"/>
      <c r="H55" s="1"/>
      <c r="I55" s="1"/>
      <c r="J55" s="1"/>
      <c r="K55" s="6"/>
    </row>
    <row r="56" spans="1:11">
      <c r="A56" s="5"/>
      <c r="B56" s="1"/>
      <c r="C56" s="1"/>
      <c r="D56" s="1"/>
      <c r="E56" s="59"/>
      <c r="F56" s="1"/>
      <c r="G56" s="1"/>
      <c r="H56" s="1"/>
      <c r="I56" s="1"/>
      <c r="J56" s="1"/>
      <c r="K56" s="6"/>
    </row>
    <row r="57" spans="1:11">
      <c r="A57" s="5"/>
      <c r="B57" s="1"/>
      <c r="C57" s="1"/>
      <c r="D57" s="1"/>
      <c r="E57" s="59"/>
      <c r="F57" s="1"/>
      <c r="G57" s="1"/>
      <c r="H57" s="1"/>
      <c r="I57" s="1"/>
      <c r="J57" s="1"/>
      <c r="K57" s="6"/>
    </row>
    <row r="58" spans="1:11">
      <c r="A58" s="5"/>
      <c r="B58" s="1"/>
      <c r="C58" s="1"/>
      <c r="D58" s="1"/>
      <c r="E58" s="59"/>
      <c r="F58" s="1"/>
      <c r="G58" s="1"/>
      <c r="H58" s="1"/>
      <c r="I58" s="1"/>
      <c r="J58" s="1"/>
      <c r="K58" s="6"/>
    </row>
    <row r="59" spans="1:11">
      <c r="A59" s="5"/>
      <c r="B59" s="1"/>
      <c r="C59" s="1"/>
      <c r="D59" s="1"/>
      <c r="E59" s="59"/>
      <c r="F59" s="1"/>
      <c r="G59" s="1"/>
      <c r="H59" s="1"/>
      <c r="I59" s="1"/>
      <c r="J59" s="1"/>
      <c r="K59" s="6"/>
    </row>
    <row r="60" spans="1:11">
      <c r="A60" s="5"/>
      <c r="B60" s="1"/>
      <c r="C60" s="1"/>
      <c r="D60" s="1"/>
      <c r="E60" s="59"/>
      <c r="F60" s="1"/>
      <c r="G60" s="1"/>
      <c r="H60" s="1"/>
      <c r="I60" s="1"/>
      <c r="J60" s="1"/>
      <c r="K60" s="6"/>
    </row>
    <row r="61" spans="1:11">
      <c r="A61" s="5"/>
      <c r="B61" s="1"/>
      <c r="C61" s="1"/>
      <c r="D61" s="1"/>
      <c r="E61" s="59"/>
      <c r="F61" s="1"/>
      <c r="G61" s="1"/>
      <c r="H61" s="1"/>
      <c r="I61" s="1"/>
      <c r="J61" s="1"/>
      <c r="K61" s="6"/>
    </row>
    <row r="62" spans="1:11" ht="13.5" thickBot="1">
      <c r="A62" s="7"/>
      <c r="B62" s="8"/>
      <c r="C62" s="8"/>
      <c r="D62" s="8"/>
      <c r="E62" s="181"/>
      <c r="F62" s="8"/>
      <c r="G62" s="8"/>
      <c r="H62" s="8"/>
      <c r="I62" s="8"/>
      <c r="J62" s="8"/>
      <c r="K62" s="9"/>
    </row>
    <row r="63" spans="1:11">
      <c r="A63" s="1"/>
    </row>
    <row r="64" spans="1:11">
      <c r="A64" s="1"/>
    </row>
    <row r="65" spans="1:1">
      <c r="A65" s="1"/>
    </row>
    <row r="66" spans="1:1">
      <c r="A66" s="1"/>
    </row>
    <row r="67" spans="1:1">
      <c r="A67" s="1"/>
    </row>
  </sheetData>
  <mergeCells count="1">
    <mergeCell ref="C6:I6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6"/>
  <sheetViews>
    <sheetView topLeftCell="A36" workbookViewId="0">
      <selection activeCell="D41" sqref="D41:F41"/>
    </sheetView>
  </sheetViews>
  <sheetFormatPr defaultRowHeight="12.75"/>
  <cols>
    <col min="1" max="1" width="4.5703125" customWidth="1"/>
    <col min="2" max="2" width="7.5703125" customWidth="1"/>
    <col min="3" max="3" width="6" customWidth="1"/>
    <col min="4" max="4" width="22.42578125" customWidth="1"/>
    <col min="5" max="5" width="5.7109375" hidden="1" customWidth="1"/>
    <col min="6" max="6" width="8.85546875" customWidth="1"/>
    <col min="7" max="7" width="8.140625" customWidth="1"/>
    <col min="8" max="8" width="9.42578125" customWidth="1"/>
    <col min="9" max="9" width="15.85546875" customWidth="1"/>
    <col min="10" max="10" width="6.5703125" customWidth="1"/>
    <col min="11" max="11" width="6.28515625" customWidth="1"/>
    <col min="12" max="12" width="6" customWidth="1"/>
  </cols>
  <sheetData>
    <row r="1" spans="1:10">
      <c r="A1" t="s">
        <v>134</v>
      </c>
    </row>
    <row r="3" spans="1:10">
      <c r="B3" s="2"/>
      <c r="C3" s="49"/>
      <c r="D3" s="49"/>
      <c r="E3" s="49"/>
      <c r="F3" s="49"/>
      <c r="G3" s="2"/>
    </row>
    <row r="4" spans="1:10">
      <c r="B4" s="2" t="s">
        <v>131</v>
      </c>
      <c r="C4" s="2" t="str">
        <f>'Kopertina '!F4</f>
        <v>Eskeld</v>
      </c>
      <c r="D4" s="2"/>
      <c r="E4" s="2"/>
      <c r="F4" s="2"/>
      <c r="G4" s="2"/>
    </row>
    <row r="5" spans="1:10">
      <c r="B5" s="1"/>
      <c r="C5" s="1"/>
      <c r="D5" s="1"/>
      <c r="E5" s="1"/>
      <c r="F5" s="1"/>
      <c r="G5" s="2"/>
      <c r="H5" s="2"/>
      <c r="I5" s="2"/>
      <c r="J5" s="2" t="s">
        <v>137</v>
      </c>
    </row>
    <row r="6" spans="1:10">
      <c r="B6" s="1"/>
      <c r="C6" s="1354" t="s">
        <v>150</v>
      </c>
      <c r="D6" s="1354"/>
      <c r="E6" s="1354"/>
      <c r="F6" s="1354"/>
      <c r="G6" s="1354"/>
      <c r="H6" s="1354"/>
    </row>
    <row r="7" spans="1:10">
      <c r="B7" s="1"/>
      <c r="C7" s="1"/>
      <c r="D7" s="1"/>
      <c r="E7" s="1"/>
      <c r="F7" s="1"/>
      <c r="G7" s="2" t="s">
        <v>132</v>
      </c>
      <c r="H7" s="19"/>
      <c r="I7" s="19">
        <f>'Kopertina '!F29</f>
        <v>2012</v>
      </c>
    </row>
    <row r="8" spans="1:10" ht="13.5" thickBot="1">
      <c r="B8" s="1"/>
      <c r="C8" s="1"/>
      <c r="D8" s="1"/>
      <c r="E8" s="1"/>
      <c r="F8" s="1"/>
      <c r="G8" s="1"/>
    </row>
    <row r="9" spans="1:10">
      <c r="B9" s="16"/>
      <c r="C9" s="17"/>
      <c r="D9" s="17"/>
      <c r="E9" s="17"/>
      <c r="F9" s="17"/>
      <c r="G9" s="17"/>
      <c r="H9" s="17"/>
      <c r="I9" s="17"/>
      <c r="J9" s="18"/>
    </row>
    <row r="10" spans="1:10" ht="13.5" thickBot="1">
      <c r="B10" s="5"/>
      <c r="C10" s="1"/>
      <c r="D10" s="1"/>
      <c r="E10" s="1"/>
      <c r="F10" s="1"/>
      <c r="G10" s="1"/>
      <c r="H10" s="1"/>
      <c r="I10" s="1"/>
      <c r="J10" s="6"/>
    </row>
    <row r="11" spans="1:10" ht="21" customHeight="1" thickBot="1">
      <c r="B11" s="5"/>
      <c r="C11" s="333" t="s">
        <v>1</v>
      </c>
      <c r="D11" s="334" t="s">
        <v>376</v>
      </c>
      <c r="E11" s="334" t="s">
        <v>377</v>
      </c>
      <c r="F11" s="334" t="s">
        <v>377</v>
      </c>
      <c r="G11" s="334" t="s">
        <v>378</v>
      </c>
      <c r="H11" s="334" t="s">
        <v>255</v>
      </c>
      <c r="I11" s="399" t="s">
        <v>379</v>
      </c>
      <c r="J11" s="6"/>
    </row>
    <row r="12" spans="1:10">
      <c r="B12" s="5"/>
      <c r="C12" s="359">
        <v>1</v>
      </c>
      <c r="D12" s="361"/>
      <c r="E12" s="361"/>
      <c r="F12" s="361"/>
      <c r="G12" s="361"/>
      <c r="H12" s="361"/>
      <c r="I12" s="362">
        <f>G12*H12</f>
        <v>0</v>
      </c>
      <c r="J12" s="6"/>
    </row>
    <row r="13" spans="1:10">
      <c r="B13" s="5"/>
      <c r="C13" s="357">
        <v>2</v>
      </c>
      <c r="D13" s="160"/>
      <c r="E13" s="160"/>
      <c r="F13" s="160"/>
      <c r="G13" s="160"/>
      <c r="H13" s="160"/>
      <c r="I13" s="351">
        <f t="shared" ref="I13:I40" si="0">G13*H13</f>
        <v>0</v>
      </c>
      <c r="J13" s="6"/>
    </row>
    <row r="14" spans="1:10">
      <c r="B14" s="5"/>
      <c r="C14" s="357">
        <v>3</v>
      </c>
      <c r="D14" s="160"/>
      <c r="E14" s="160"/>
      <c r="F14" s="160"/>
      <c r="G14" s="160"/>
      <c r="H14" s="160"/>
      <c r="I14" s="351">
        <f t="shared" si="0"/>
        <v>0</v>
      </c>
      <c r="J14" s="6"/>
    </row>
    <row r="15" spans="1:10">
      <c r="B15" s="5"/>
      <c r="C15" s="400">
        <v>4</v>
      </c>
      <c r="D15" s="160"/>
      <c r="E15" s="160"/>
      <c r="F15" s="160"/>
      <c r="G15" s="160"/>
      <c r="H15" s="160"/>
      <c r="I15" s="351">
        <f t="shared" si="0"/>
        <v>0</v>
      </c>
      <c r="J15" s="6"/>
    </row>
    <row r="16" spans="1:10">
      <c r="B16" s="5"/>
      <c r="C16" s="400">
        <v>5</v>
      </c>
      <c r="D16" s="160"/>
      <c r="E16" s="160"/>
      <c r="F16" s="160"/>
      <c r="G16" s="160"/>
      <c r="H16" s="160"/>
      <c r="I16" s="351">
        <f t="shared" si="0"/>
        <v>0</v>
      </c>
      <c r="J16" s="6"/>
    </row>
    <row r="17" spans="2:10">
      <c r="B17" s="5"/>
      <c r="C17" s="357">
        <v>6</v>
      </c>
      <c r="D17" s="160"/>
      <c r="E17" s="160"/>
      <c r="F17" s="160"/>
      <c r="G17" s="160"/>
      <c r="H17" s="160"/>
      <c r="I17" s="351">
        <f t="shared" si="0"/>
        <v>0</v>
      </c>
      <c r="J17" s="6"/>
    </row>
    <row r="18" spans="2:10">
      <c r="B18" s="5"/>
      <c r="C18" s="357">
        <v>7</v>
      </c>
      <c r="D18" s="160"/>
      <c r="E18" s="160"/>
      <c r="F18" s="160"/>
      <c r="G18" s="160"/>
      <c r="H18" s="160"/>
      <c r="I18" s="351">
        <f t="shared" si="0"/>
        <v>0</v>
      </c>
      <c r="J18" s="6"/>
    </row>
    <row r="19" spans="2:10">
      <c r="B19" s="5"/>
      <c r="C19" s="357">
        <v>8</v>
      </c>
      <c r="D19" s="160"/>
      <c r="E19" s="160"/>
      <c r="F19" s="160"/>
      <c r="G19" s="160"/>
      <c r="H19" s="160"/>
      <c r="I19" s="351">
        <f t="shared" si="0"/>
        <v>0</v>
      </c>
      <c r="J19" s="6"/>
    </row>
    <row r="20" spans="2:10">
      <c r="B20" s="5"/>
      <c r="C20" s="400">
        <v>9</v>
      </c>
      <c r="D20" s="160"/>
      <c r="E20" s="160"/>
      <c r="F20" s="160"/>
      <c r="G20" s="160"/>
      <c r="H20" s="160"/>
      <c r="I20" s="351">
        <f t="shared" si="0"/>
        <v>0</v>
      </c>
      <c r="J20" s="6"/>
    </row>
    <row r="21" spans="2:10">
      <c r="B21" s="5"/>
      <c r="C21" s="400">
        <v>10</v>
      </c>
      <c r="D21" s="160"/>
      <c r="E21" s="160"/>
      <c r="F21" s="160"/>
      <c r="G21" s="160"/>
      <c r="H21" s="160"/>
      <c r="I21" s="351">
        <f t="shared" si="0"/>
        <v>0</v>
      </c>
      <c r="J21" s="6"/>
    </row>
    <row r="22" spans="2:10">
      <c r="B22" s="5"/>
      <c r="C22" s="357">
        <v>11</v>
      </c>
      <c r="D22" s="160"/>
      <c r="E22" s="160"/>
      <c r="F22" s="160"/>
      <c r="G22" s="160"/>
      <c r="H22" s="160"/>
      <c r="I22" s="351">
        <f t="shared" si="0"/>
        <v>0</v>
      </c>
      <c r="J22" s="6"/>
    </row>
    <row r="23" spans="2:10">
      <c r="B23" s="5"/>
      <c r="C23" s="357">
        <v>12</v>
      </c>
      <c r="D23" s="160"/>
      <c r="E23" s="160"/>
      <c r="F23" s="160"/>
      <c r="G23" s="160"/>
      <c r="H23" s="160"/>
      <c r="I23" s="351">
        <f t="shared" si="0"/>
        <v>0</v>
      </c>
      <c r="J23" s="6"/>
    </row>
    <row r="24" spans="2:10">
      <c r="B24" s="5"/>
      <c r="C24" s="357">
        <v>13</v>
      </c>
      <c r="D24" s="160"/>
      <c r="E24" s="160"/>
      <c r="F24" s="160"/>
      <c r="G24" s="160"/>
      <c r="H24" s="160"/>
      <c r="I24" s="351">
        <f t="shared" si="0"/>
        <v>0</v>
      </c>
      <c r="J24" s="6"/>
    </row>
    <row r="25" spans="2:10">
      <c r="B25" s="5"/>
      <c r="C25" s="400">
        <v>14</v>
      </c>
      <c r="D25" s="160"/>
      <c r="E25" s="160"/>
      <c r="F25" s="160"/>
      <c r="G25" s="160"/>
      <c r="H25" s="160"/>
      <c r="I25" s="351">
        <f t="shared" si="0"/>
        <v>0</v>
      </c>
      <c r="J25" s="6"/>
    </row>
    <row r="26" spans="2:10">
      <c r="B26" s="5"/>
      <c r="C26" s="400">
        <v>15</v>
      </c>
      <c r="D26" s="160"/>
      <c r="E26" s="160"/>
      <c r="F26" s="160"/>
      <c r="G26" s="160"/>
      <c r="H26" s="160"/>
      <c r="I26" s="351">
        <f t="shared" si="0"/>
        <v>0</v>
      </c>
      <c r="J26" s="6"/>
    </row>
    <row r="27" spans="2:10">
      <c r="B27" s="5"/>
      <c r="C27" s="357">
        <v>16</v>
      </c>
      <c r="D27" s="160"/>
      <c r="E27" s="160"/>
      <c r="F27" s="160"/>
      <c r="G27" s="160"/>
      <c r="H27" s="160"/>
      <c r="I27" s="351">
        <f t="shared" si="0"/>
        <v>0</v>
      </c>
      <c r="J27" s="6"/>
    </row>
    <row r="28" spans="2:10">
      <c r="B28" s="5"/>
      <c r="C28" s="357">
        <v>17</v>
      </c>
      <c r="D28" s="160"/>
      <c r="E28" s="160"/>
      <c r="F28" s="160"/>
      <c r="G28" s="160"/>
      <c r="H28" s="160"/>
      <c r="I28" s="351">
        <f t="shared" si="0"/>
        <v>0</v>
      </c>
      <c r="J28" s="6"/>
    </row>
    <row r="29" spans="2:10">
      <c r="B29" s="5"/>
      <c r="C29" s="357">
        <v>18</v>
      </c>
      <c r="D29" s="160"/>
      <c r="E29" s="160"/>
      <c r="F29" s="160"/>
      <c r="G29" s="160"/>
      <c r="H29" s="160"/>
      <c r="I29" s="351">
        <f t="shared" si="0"/>
        <v>0</v>
      </c>
      <c r="J29" s="6"/>
    </row>
    <row r="30" spans="2:10">
      <c r="B30" s="5"/>
      <c r="C30" s="400">
        <v>19</v>
      </c>
      <c r="D30" s="160"/>
      <c r="E30" s="160"/>
      <c r="F30" s="160"/>
      <c r="G30" s="160"/>
      <c r="H30" s="160"/>
      <c r="I30" s="351">
        <f t="shared" si="0"/>
        <v>0</v>
      </c>
      <c r="J30" s="6"/>
    </row>
    <row r="31" spans="2:10">
      <c r="B31" s="5"/>
      <c r="C31" s="400">
        <v>20</v>
      </c>
      <c r="D31" s="160"/>
      <c r="E31" s="160"/>
      <c r="F31" s="160"/>
      <c r="G31" s="160"/>
      <c r="H31" s="160"/>
      <c r="I31" s="351">
        <f t="shared" si="0"/>
        <v>0</v>
      </c>
      <c r="J31" s="6"/>
    </row>
    <row r="32" spans="2:10">
      <c r="B32" s="5"/>
      <c r="C32" s="357">
        <v>21</v>
      </c>
      <c r="D32" s="160"/>
      <c r="E32" s="160"/>
      <c r="F32" s="160"/>
      <c r="G32" s="160"/>
      <c r="H32" s="160"/>
      <c r="I32" s="351">
        <f t="shared" si="0"/>
        <v>0</v>
      </c>
      <c r="J32" s="6"/>
    </row>
    <row r="33" spans="2:10">
      <c r="B33" s="5"/>
      <c r="C33" s="357">
        <v>22</v>
      </c>
      <c r="D33" s="160"/>
      <c r="E33" s="160"/>
      <c r="F33" s="160"/>
      <c r="G33" s="160"/>
      <c r="H33" s="160"/>
      <c r="I33" s="351">
        <f t="shared" si="0"/>
        <v>0</v>
      </c>
      <c r="J33" s="6"/>
    </row>
    <row r="34" spans="2:10">
      <c r="B34" s="5"/>
      <c r="C34" s="357">
        <v>23</v>
      </c>
      <c r="D34" s="160"/>
      <c r="E34" s="160"/>
      <c r="F34" s="160"/>
      <c r="G34" s="160"/>
      <c r="H34" s="160"/>
      <c r="I34" s="351">
        <f t="shared" si="0"/>
        <v>0</v>
      </c>
      <c r="J34" s="6"/>
    </row>
    <row r="35" spans="2:10">
      <c r="B35" s="5"/>
      <c r="C35" s="400">
        <v>24</v>
      </c>
      <c r="D35" s="160"/>
      <c r="E35" s="160"/>
      <c r="F35" s="160"/>
      <c r="G35" s="160"/>
      <c r="H35" s="160"/>
      <c r="I35" s="351">
        <f t="shared" si="0"/>
        <v>0</v>
      </c>
      <c r="J35" s="6"/>
    </row>
    <row r="36" spans="2:10">
      <c r="B36" s="5"/>
      <c r="C36" s="400">
        <v>25</v>
      </c>
      <c r="D36" s="160"/>
      <c r="E36" s="160"/>
      <c r="F36" s="160"/>
      <c r="G36" s="160"/>
      <c r="H36" s="160"/>
      <c r="I36" s="351">
        <f t="shared" si="0"/>
        <v>0</v>
      </c>
      <c r="J36" s="6"/>
    </row>
    <row r="37" spans="2:10">
      <c r="B37" s="5"/>
      <c r="C37" s="357">
        <v>26</v>
      </c>
      <c r="D37" s="160"/>
      <c r="E37" s="160"/>
      <c r="F37" s="160"/>
      <c r="G37" s="160"/>
      <c r="H37" s="160"/>
      <c r="I37" s="351">
        <f t="shared" si="0"/>
        <v>0</v>
      </c>
      <c r="J37" s="6"/>
    </row>
    <row r="38" spans="2:10">
      <c r="B38" s="5"/>
      <c r="C38" s="357">
        <v>27</v>
      </c>
      <c r="D38" s="160"/>
      <c r="E38" s="160"/>
      <c r="F38" s="160"/>
      <c r="G38" s="160"/>
      <c r="H38" s="160"/>
      <c r="I38" s="351">
        <f t="shared" si="0"/>
        <v>0</v>
      </c>
      <c r="J38" s="6"/>
    </row>
    <row r="39" spans="2:10">
      <c r="B39" s="5"/>
      <c r="C39" s="357">
        <v>28</v>
      </c>
      <c r="D39" s="160"/>
      <c r="E39" s="160"/>
      <c r="F39" s="160"/>
      <c r="G39" s="160"/>
      <c r="H39" s="160"/>
      <c r="I39" s="351">
        <f t="shared" si="0"/>
        <v>0</v>
      </c>
      <c r="J39" s="6"/>
    </row>
    <row r="40" spans="2:10" ht="13.5" thickBot="1">
      <c r="B40" s="5"/>
      <c r="C40" s="401"/>
      <c r="D40" s="363"/>
      <c r="E40" s="363"/>
      <c r="F40" s="363"/>
      <c r="G40" s="363"/>
      <c r="H40" s="363"/>
      <c r="I40" s="364">
        <f t="shared" si="0"/>
        <v>0</v>
      </c>
      <c r="J40" s="6"/>
    </row>
    <row r="41" spans="2:10" ht="13.5" thickBot="1">
      <c r="B41" s="5"/>
      <c r="C41" s="1"/>
      <c r="D41" s="1354" t="s">
        <v>165</v>
      </c>
      <c r="E41" s="1354"/>
      <c r="F41" s="1354"/>
      <c r="G41" s="2"/>
      <c r="H41" s="2"/>
      <c r="I41" s="289">
        <f>SUM(I12:I40)</f>
        <v>0</v>
      </c>
      <c r="J41" s="6"/>
    </row>
    <row r="42" spans="2:10">
      <c r="B42" s="5"/>
      <c r="C42" s="1"/>
      <c r="D42" s="1"/>
      <c r="E42" s="1"/>
      <c r="F42" s="1"/>
      <c r="G42" s="1"/>
      <c r="H42" s="1"/>
      <c r="I42" s="1"/>
      <c r="J42" s="6"/>
    </row>
    <row r="43" spans="2:10">
      <c r="B43" s="5"/>
      <c r="C43" s="1"/>
      <c r="D43" s="1"/>
      <c r="E43" s="1"/>
      <c r="F43" s="1"/>
      <c r="G43" s="1"/>
      <c r="H43" s="1"/>
      <c r="I43" s="1"/>
      <c r="J43" s="6"/>
    </row>
    <row r="44" spans="2:10">
      <c r="B44" s="5"/>
      <c r="C44" s="1"/>
      <c r="D44" s="1"/>
      <c r="E44" s="1"/>
      <c r="F44" s="1"/>
      <c r="G44" s="1"/>
      <c r="H44" s="1"/>
      <c r="I44" s="1"/>
      <c r="J44" s="6"/>
    </row>
    <row r="45" spans="2:10">
      <c r="B45" s="5"/>
      <c r="C45" s="1"/>
      <c r="D45" s="1"/>
      <c r="E45" s="1"/>
      <c r="F45" s="1"/>
      <c r="G45" s="1"/>
      <c r="H45" s="1"/>
      <c r="I45" s="1"/>
      <c r="J45" s="6"/>
    </row>
    <row r="46" spans="2:10" ht="13.5" thickBot="1">
      <c r="B46" s="7"/>
      <c r="C46" s="8"/>
      <c r="D46" s="8"/>
      <c r="E46" s="8"/>
      <c r="F46" s="8"/>
      <c r="G46" s="8"/>
      <c r="H46" s="8"/>
      <c r="I46" s="8"/>
      <c r="J46" s="9"/>
    </row>
  </sheetData>
  <mergeCells count="2">
    <mergeCell ref="C6:H6"/>
    <mergeCell ref="D41:F41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3:I57"/>
  <sheetViews>
    <sheetView workbookViewId="0">
      <selection activeCell="K59" sqref="K59"/>
    </sheetView>
  </sheetViews>
  <sheetFormatPr defaultRowHeight="12.75"/>
  <cols>
    <col min="1" max="1" width="3.28515625" customWidth="1"/>
    <col min="2" max="3" width="5.140625" customWidth="1"/>
    <col min="4" max="4" width="21.42578125" customWidth="1"/>
    <col min="5" max="5" width="8.28515625" customWidth="1"/>
    <col min="6" max="6" width="10.5703125" customWidth="1"/>
    <col min="7" max="8" width="15" customWidth="1"/>
    <col min="9" max="9" width="6.5703125" customWidth="1"/>
    <col min="10" max="10" width="6.140625" customWidth="1"/>
    <col min="11" max="11" width="5.28515625" customWidth="1"/>
  </cols>
  <sheetData>
    <row r="3" spans="2:9">
      <c r="B3" s="2"/>
      <c r="C3" s="49"/>
      <c r="D3" s="49"/>
      <c r="E3" s="49"/>
      <c r="F3" s="2"/>
      <c r="G3" s="2"/>
    </row>
    <row r="4" spans="2:9">
      <c r="B4" s="2" t="s">
        <v>131</v>
      </c>
      <c r="C4" s="2" t="str">
        <f>'Kopertina '!F4</f>
        <v>Eskeld</v>
      </c>
      <c r="D4" s="2"/>
      <c r="E4" s="2"/>
      <c r="F4" s="2"/>
      <c r="G4" s="2"/>
    </row>
    <row r="5" spans="2:9">
      <c r="B5" s="1"/>
      <c r="C5" s="1"/>
      <c r="D5" s="1"/>
      <c r="E5" s="1"/>
      <c r="F5" s="2"/>
      <c r="G5" s="2"/>
      <c r="H5" s="2"/>
      <c r="I5" s="2"/>
    </row>
    <row r="6" spans="2:9">
      <c r="B6" s="1"/>
      <c r="C6" s="1354" t="s">
        <v>152</v>
      </c>
      <c r="D6" s="1354"/>
      <c r="E6" s="1354"/>
      <c r="F6" s="1354"/>
      <c r="G6" s="1354"/>
      <c r="H6" s="1354"/>
    </row>
    <row r="7" spans="2:9">
      <c r="B7" s="1"/>
      <c r="C7" s="1"/>
      <c r="D7" s="1"/>
      <c r="E7" s="1"/>
      <c r="F7" s="1"/>
      <c r="G7" s="2" t="s">
        <v>132</v>
      </c>
      <c r="H7" s="19"/>
      <c r="I7" s="19">
        <f>'Kopertina '!F29</f>
        <v>2012</v>
      </c>
    </row>
    <row r="8" spans="2:9" ht="13.5" thickBot="1">
      <c r="B8" s="1"/>
      <c r="C8" s="1"/>
      <c r="D8" s="1"/>
      <c r="E8" s="1"/>
      <c r="F8" s="1"/>
      <c r="G8" s="1"/>
    </row>
    <row r="9" spans="2:9" ht="13.5" thickBot="1">
      <c r="B9" s="16"/>
      <c r="C9" s="17"/>
      <c r="D9" s="17"/>
      <c r="E9" s="17"/>
      <c r="F9" s="17"/>
      <c r="G9" s="17"/>
      <c r="H9" s="17"/>
      <c r="I9" s="18"/>
    </row>
    <row r="10" spans="2:9" ht="21" customHeight="1" thickBot="1">
      <c r="B10" s="5"/>
      <c r="C10" s="338" t="s">
        <v>1</v>
      </c>
      <c r="D10" s="339" t="s">
        <v>376</v>
      </c>
      <c r="E10" s="339" t="s">
        <v>377</v>
      </c>
      <c r="F10" s="339" t="s">
        <v>378</v>
      </c>
      <c r="G10" s="339" t="s">
        <v>255</v>
      </c>
      <c r="H10" s="797" t="s">
        <v>379</v>
      </c>
      <c r="I10" s="6"/>
    </row>
    <row r="11" spans="2:9">
      <c r="B11" s="5"/>
      <c r="C11" s="56">
        <v>1</v>
      </c>
      <c r="D11" s="74" t="s">
        <v>750</v>
      </c>
      <c r="E11" s="74" t="s">
        <v>364</v>
      </c>
      <c r="F11" s="39">
        <v>1</v>
      </c>
      <c r="G11" s="39"/>
      <c r="H11" s="186">
        <f t="shared" ref="H11:H41" si="0">F11*G11</f>
        <v>0</v>
      </c>
      <c r="I11" s="6"/>
    </row>
    <row r="12" spans="2:9">
      <c r="B12" s="5"/>
      <c r="C12" s="30">
        <v>2</v>
      </c>
      <c r="D12" s="74" t="s">
        <v>751</v>
      </c>
      <c r="E12" s="22"/>
      <c r="F12" s="22"/>
      <c r="G12" s="22"/>
      <c r="H12" s="186">
        <f t="shared" si="0"/>
        <v>0</v>
      </c>
      <c r="I12" s="6"/>
    </row>
    <row r="13" spans="2:9">
      <c r="B13" s="5"/>
      <c r="C13" s="30">
        <v>3</v>
      </c>
      <c r="D13" s="22"/>
      <c r="E13" s="22"/>
      <c r="F13" s="22"/>
      <c r="G13" s="22"/>
      <c r="H13" s="186">
        <f t="shared" si="0"/>
        <v>0</v>
      </c>
      <c r="I13" s="6"/>
    </row>
    <row r="14" spans="2:9">
      <c r="B14" s="5"/>
      <c r="C14" s="800">
        <v>4</v>
      </c>
      <c r="D14" s="22"/>
      <c r="E14" s="22"/>
      <c r="F14" s="22"/>
      <c r="G14" s="22"/>
      <c r="H14" s="186">
        <f t="shared" si="0"/>
        <v>0</v>
      </c>
      <c r="I14" s="6"/>
    </row>
    <row r="15" spans="2:9">
      <c r="B15" s="5"/>
      <c r="C15" s="800">
        <v>5</v>
      </c>
      <c r="D15" s="22"/>
      <c r="E15" s="22"/>
      <c r="F15" s="22"/>
      <c r="G15" s="22"/>
      <c r="H15" s="186">
        <f t="shared" si="0"/>
        <v>0</v>
      </c>
      <c r="I15" s="6"/>
    </row>
    <row r="16" spans="2:9">
      <c r="B16" s="5"/>
      <c r="C16" s="30">
        <v>6</v>
      </c>
      <c r="D16" s="22"/>
      <c r="E16" s="22"/>
      <c r="F16" s="22"/>
      <c r="G16" s="22"/>
      <c r="H16" s="186">
        <f t="shared" si="0"/>
        <v>0</v>
      </c>
      <c r="I16" s="6"/>
    </row>
    <row r="17" spans="2:9">
      <c r="B17" s="5"/>
      <c r="C17" s="30">
        <v>7</v>
      </c>
      <c r="D17" s="22"/>
      <c r="E17" s="22"/>
      <c r="F17" s="22"/>
      <c r="G17" s="22"/>
      <c r="H17" s="186">
        <f t="shared" si="0"/>
        <v>0</v>
      </c>
      <c r="I17" s="6"/>
    </row>
    <row r="18" spans="2:9">
      <c r="B18" s="5"/>
      <c r="C18" s="30">
        <v>8</v>
      </c>
      <c r="D18" s="22"/>
      <c r="E18" s="22"/>
      <c r="F18" s="22"/>
      <c r="G18" s="22"/>
      <c r="H18" s="186">
        <f t="shared" si="0"/>
        <v>0</v>
      </c>
      <c r="I18" s="6"/>
    </row>
    <row r="19" spans="2:9">
      <c r="B19" s="5"/>
      <c r="C19" s="800">
        <v>9</v>
      </c>
      <c r="D19" s="22"/>
      <c r="E19" s="22"/>
      <c r="F19" s="22"/>
      <c r="G19" s="22"/>
      <c r="H19" s="186">
        <f t="shared" si="0"/>
        <v>0</v>
      </c>
      <c r="I19" s="6"/>
    </row>
    <row r="20" spans="2:9">
      <c r="B20" s="5"/>
      <c r="C20" s="800">
        <v>10</v>
      </c>
      <c r="D20" s="22"/>
      <c r="E20" s="22"/>
      <c r="F20" s="22"/>
      <c r="G20" s="22"/>
      <c r="H20" s="186">
        <f t="shared" si="0"/>
        <v>0</v>
      </c>
      <c r="I20" s="6"/>
    </row>
    <row r="21" spans="2:9">
      <c r="B21" s="5"/>
      <c r="C21" s="30">
        <v>11</v>
      </c>
      <c r="D21" s="22"/>
      <c r="E21" s="22"/>
      <c r="F21" s="22"/>
      <c r="G21" s="22"/>
      <c r="H21" s="186">
        <f t="shared" si="0"/>
        <v>0</v>
      </c>
      <c r="I21" s="6"/>
    </row>
    <row r="22" spans="2:9">
      <c r="B22" s="5"/>
      <c r="C22" s="30">
        <v>12</v>
      </c>
      <c r="D22" s="22"/>
      <c r="E22" s="22"/>
      <c r="F22" s="22"/>
      <c r="G22" s="22"/>
      <c r="H22" s="186">
        <f t="shared" si="0"/>
        <v>0</v>
      </c>
      <c r="I22" s="6"/>
    </row>
    <row r="23" spans="2:9">
      <c r="B23" s="5"/>
      <c r="C23" s="30">
        <v>13</v>
      </c>
      <c r="D23" s="22"/>
      <c r="E23" s="22"/>
      <c r="F23" s="22"/>
      <c r="G23" s="22"/>
      <c r="H23" s="186">
        <f t="shared" si="0"/>
        <v>0</v>
      </c>
      <c r="I23" s="6"/>
    </row>
    <row r="24" spans="2:9">
      <c r="B24" s="5"/>
      <c r="C24" s="800">
        <v>14</v>
      </c>
      <c r="D24" s="22"/>
      <c r="E24" s="22"/>
      <c r="F24" s="22"/>
      <c r="G24" s="22"/>
      <c r="H24" s="186">
        <f t="shared" si="0"/>
        <v>0</v>
      </c>
      <c r="I24" s="6"/>
    </row>
    <row r="25" spans="2:9">
      <c r="B25" s="5"/>
      <c r="C25" s="800">
        <v>15</v>
      </c>
      <c r="D25" s="22"/>
      <c r="E25" s="22"/>
      <c r="F25" s="22"/>
      <c r="G25" s="22"/>
      <c r="H25" s="186">
        <f t="shared" si="0"/>
        <v>0</v>
      </c>
      <c r="I25" s="6"/>
    </row>
    <row r="26" spans="2:9">
      <c r="B26" s="5"/>
      <c r="C26" s="30">
        <v>16</v>
      </c>
      <c r="D26" s="22"/>
      <c r="E26" s="22"/>
      <c r="F26" s="22"/>
      <c r="G26" s="22"/>
      <c r="H26" s="186">
        <f t="shared" si="0"/>
        <v>0</v>
      </c>
      <c r="I26" s="6"/>
    </row>
    <row r="27" spans="2:9">
      <c r="B27" s="5"/>
      <c r="C27" s="30">
        <v>17</v>
      </c>
      <c r="D27" s="22"/>
      <c r="E27" s="22"/>
      <c r="F27" s="22"/>
      <c r="G27" s="22"/>
      <c r="H27" s="186">
        <f t="shared" si="0"/>
        <v>0</v>
      </c>
      <c r="I27" s="6"/>
    </row>
    <row r="28" spans="2:9">
      <c r="B28" s="5"/>
      <c r="C28" s="30">
        <v>18</v>
      </c>
      <c r="D28" s="22"/>
      <c r="E28" s="22"/>
      <c r="F28" s="22"/>
      <c r="G28" s="22"/>
      <c r="H28" s="186">
        <f t="shared" si="0"/>
        <v>0</v>
      </c>
      <c r="I28" s="6"/>
    </row>
    <row r="29" spans="2:9">
      <c r="B29" s="5"/>
      <c r="C29" s="800">
        <v>19</v>
      </c>
      <c r="D29" s="22"/>
      <c r="E29" s="22"/>
      <c r="F29" s="22"/>
      <c r="G29" s="22"/>
      <c r="H29" s="186">
        <f t="shared" si="0"/>
        <v>0</v>
      </c>
      <c r="I29" s="6"/>
    </row>
    <row r="30" spans="2:9">
      <c r="B30" s="5"/>
      <c r="C30" s="800">
        <v>20</v>
      </c>
      <c r="D30" s="22"/>
      <c r="E30" s="22"/>
      <c r="F30" s="22"/>
      <c r="G30" s="22"/>
      <c r="H30" s="186">
        <f t="shared" si="0"/>
        <v>0</v>
      </c>
      <c r="I30" s="6"/>
    </row>
    <row r="31" spans="2:9">
      <c r="B31" s="5"/>
      <c r="C31" s="30">
        <v>21</v>
      </c>
      <c r="D31" s="22"/>
      <c r="E31" s="22"/>
      <c r="F31" s="22"/>
      <c r="G31" s="22"/>
      <c r="H31" s="186">
        <f t="shared" si="0"/>
        <v>0</v>
      </c>
      <c r="I31" s="6"/>
    </row>
    <row r="32" spans="2:9">
      <c r="B32" s="5"/>
      <c r="C32" s="30">
        <v>22</v>
      </c>
      <c r="D32" s="22"/>
      <c r="E32" s="22"/>
      <c r="F32" s="22"/>
      <c r="G32" s="22"/>
      <c r="H32" s="186">
        <f t="shared" si="0"/>
        <v>0</v>
      </c>
      <c r="I32" s="6"/>
    </row>
    <row r="33" spans="2:9">
      <c r="B33" s="5"/>
      <c r="C33" s="30">
        <v>23</v>
      </c>
      <c r="D33" s="22"/>
      <c r="E33" s="22"/>
      <c r="F33" s="22"/>
      <c r="G33" s="22"/>
      <c r="H33" s="186">
        <f t="shared" si="0"/>
        <v>0</v>
      </c>
      <c r="I33" s="6"/>
    </row>
    <row r="34" spans="2:9">
      <c r="B34" s="5"/>
      <c r="C34" s="800">
        <v>24</v>
      </c>
      <c r="D34" s="22"/>
      <c r="E34" s="22"/>
      <c r="F34" s="22"/>
      <c r="G34" s="22"/>
      <c r="H34" s="186">
        <f t="shared" si="0"/>
        <v>0</v>
      </c>
      <c r="I34" s="6"/>
    </row>
    <row r="35" spans="2:9">
      <c r="B35" s="5"/>
      <c r="C35" s="800">
        <v>25</v>
      </c>
      <c r="D35" s="22"/>
      <c r="E35" s="22"/>
      <c r="F35" s="22"/>
      <c r="G35" s="22"/>
      <c r="H35" s="186">
        <f t="shared" si="0"/>
        <v>0</v>
      </c>
      <c r="I35" s="6"/>
    </row>
    <row r="36" spans="2:9">
      <c r="B36" s="5"/>
      <c r="C36" s="30">
        <v>26</v>
      </c>
      <c r="D36" s="22"/>
      <c r="E36" s="22"/>
      <c r="F36" s="22"/>
      <c r="G36" s="22"/>
      <c r="H36" s="186">
        <f t="shared" si="0"/>
        <v>0</v>
      </c>
      <c r="I36" s="6"/>
    </row>
    <row r="37" spans="2:9">
      <c r="B37" s="5"/>
      <c r="C37" s="30">
        <v>27</v>
      </c>
      <c r="D37" s="22"/>
      <c r="E37" s="22"/>
      <c r="F37" s="22"/>
      <c r="G37" s="22"/>
      <c r="H37" s="186">
        <f t="shared" si="0"/>
        <v>0</v>
      </c>
      <c r="I37" s="6"/>
    </row>
    <row r="38" spans="2:9">
      <c r="B38" s="5"/>
      <c r="C38" s="30">
        <v>28</v>
      </c>
      <c r="D38" s="22"/>
      <c r="E38" s="22"/>
      <c r="F38" s="22"/>
      <c r="G38" s="22"/>
      <c r="H38" s="186">
        <f t="shared" si="0"/>
        <v>0</v>
      </c>
      <c r="I38" s="6"/>
    </row>
    <row r="39" spans="2:9">
      <c r="B39" s="5"/>
      <c r="C39" s="800">
        <v>29</v>
      </c>
      <c r="D39" s="22"/>
      <c r="E39" s="22"/>
      <c r="F39" s="22"/>
      <c r="G39" s="22"/>
      <c r="H39" s="186">
        <f t="shared" si="0"/>
        <v>0</v>
      </c>
      <c r="I39" s="6"/>
    </row>
    <row r="40" spans="2:9">
      <c r="B40" s="5"/>
      <c r="C40" s="800">
        <v>30</v>
      </c>
      <c r="D40" s="22"/>
      <c r="E40" s="22"/>
      <c r="F40" s="22"/>
      <c r="G40" s="22"/>
      <c r="H40" s="186">
        <f t="shared" si="0"/>
        <v>0</v>
      </c>
      <c r="I40" s="6"/>
    </row>
    <row r="41" spans="2:9" ht="13.5" thickBot="1">
      <c r="B41" s="5"/>
      <c r="C41" s="31">
        <v>31</v>
      </c>
      <c r="D41" s="25"/>
      <c r="E41" s="25"/>
      <c r="F41" s="25"/>
      <c r="G41" s="25"/>
      <c r="H41" s="280">
        <f t="shared" si="0"/>
        <v>0</v>
      </c>
      <c r="I41" s="6"/>
    </row>
    <row r="42" spans="2:9">
      <c r="B42" s="5"/>
      <c r="C42" s="1"/>
      <c r="D42" s="1"/>
      <c r="E42" s="1"/>
      <c r="F42" s="1"/>
      <c r="G42" s="1"/>
      <c r="H42" s="1"/>
      <c r="I42" s="6"/>
    </row>
    <row r="43" spans="2:9" ht="13.5" thickBot="1">
      <c r="B43" s="5"/>
      <c r="C43" s="1"/>
      <c r="D43" s="1"/>
      <c r="E43" s="1"/>
      <c r="F43" s="1"/>
      <c r="G43" s="1"/>
      <c r="H43" s="1"/>
      <c r="I43" s="6"/>
    </row>
    <row r="44" spans="2:9" ht="13.5" thickBot="1">
      <c r="B44" s="5"/>
      <c r="C44" s="1"/>
      <c r="D44" s="1382" t="s">
        <v>165</v>
      </c>
      <c r="E44" s="1383"/>
      <c r="F44" s="1383"/>
      <c r="G44" s="1383"/>
      <c r="H44" s="289">
        <f>SUM(H11:H43)</f>
        <v>0</v>
      </c>
      <c r="I44" s="6"/>
    </row>
    <row r="45" spans="2:9">
      <c r="B45" s="5"/>
      <c r="C45" s="1"/>
      <c r="D45" s="1"/>
      <c r="E45" s="1"/>
      <c r="F45" s="1"/>
      <c r="G45" s="1"/>
      <c r="H45" s="1"/>
      <c r="I45" s="6"/>
    </row>
    <row r="46" spans="2:9">
      <c r="B46" s="5"/>
      <c r="C46" s="1"/>
      <c r="D46" s="1"/>
      <c r="E46" s="1"/>
      <c r="F46" s="1"/>
      <c r="G46" s="1"/>
      <c r="H46" s="1"/>
      <c r="I46" s="6"/>
    </row>
    <row r="47" spans="2:9">
      <c r="B47" s="5"/>
      <c r="C47" s="1"/>
      <c r="D47" s="1"/>
      <c r="E47" s="1"/>
      <c r="F47" s="1"/>
      <c r="G47" s="1"/>
      <c r="H47" s="1"/>
      <c r="I47" s="6"/>
    </row>
    <row r="48" spans="2:9">
      <c r="B48" s="5"/>
      <c r="C48" s="1"/>
      <c r="D48" s="1"/>
      <c r="E48" s="1"/>
      <c r="F48" s="1"/>
      <c r="G48" s="1"/>
      <c r="H48" s="1"/>
      <c r="I48" s="6"/>
    </row>
    <row r="49" spans="2:9">
      <c r="B49" s="5"/>
      <c r="C49" s="1"/>
      <c r="D49" s="1"/>
      <c r="E49" s="1"/>
      <c r="F49" s="1"/>
      <c r="G49" s="1"/>
      <c r="H49" s="1"/>
      <c r="I49" s="6"/>
    </row>
    <row r="50" spans="2:9">
      <c r="B50" s="5"/>
      <c r="C50" s="1"/>
      <c r="D50" s="1"/>
      <c r="E50" s="1"/>
      <c r="F50" s="1"/>
      <c r="G50" s="1"/>
      <c r="H50" s="1"/>
      <c r="I50" s="6"/>
    </row>
    <row r="51" spans="2:9">
      <c r="B51" s="5"/>
      <c r="C51" s="1"/>
      <c r="D51" s="1"/>
      <c r="E51" s="1"/>
      <c r="F51" s="1"/>
      <c r="G51" s="1"/>
      <c r="H51" s="1"/>
      <c r="I51" s="6"/>
    </row>
    <row r="52" spans="2:9">
      <c r="B52" s="5"/>
      <c r="C52" s="1"/>
      <c r="D52" s="1"/>
      <c r="E52" s="1"/>
      <c r="F52" s="1"/>
      <c r="G52" s="1"/>
      <c r="H52" s="1"/>
      <c r="I52" s="6"/>
    </row>
    <row r="53" spans="2:9">
      <c r="B53" s="5"/>
      <c r="C53" s="1"/>
      <c r="D53" s="1"/>
      <c r="E53" s="1"/>
      <c r="F53" s="1"/>
      <c r="G53" s="1"/>
      <c r="H53" s="1"/>
      <c r="I53" s="6"/>
    </row>
    <row r="54" spans="2:9">
      <c r="B54" s="5"/>
      <c r="C54" s="1"/>
      <c r="D54" s="1"/>
      <c r="E54" s="1"/>
      <c r="F54" s="1"/>
      <c r="G54" s="1"/>
      <c r="H54" s="1"/>
      <c r="I54" s="6"/>
    </row>
    <row r="55" spans="2:9">
      <c r="B55" s="5"/>
      <c r="C55" s="1"/>
      <c r="D55" s="1"/>
      <c r="E55" s="1"/>
      <c r="F55" s="1"/>
      <c r="G55" s="1"/>
      <c r="H55" s="1"/>
      <c r="I55" s="6"/>
    </row>
    <row r="56" spans="2:9" ht="13.5" thickBot="1">
      <c r="B56" s="7"/>
      <c r="C56" s="8"/>
      <c r="D56" s="8"/>
      <c r="E56" s="8"/>
      <c r="F56" s="8"/>
      <c r="G56" s="8"/>
      <c r="H56" s="8"/>
      <c r="I56" s="9"/>
    </row>
    <row r="57" spans="2:9">
      <c r="I57" s="1"/>
    </row>
  </sheetData>
  <mergeCells count="2">
    <mergeCell ref="C6:H6"/>
    <mergeCell ref="D44:G44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B3:I54"/>
  <sheetViews>
    <sheetView workbookViewId="0">
      <selection activeCell="L14" sqref="L14:L16"/>
    </sheetView>
  </sheetViews>
  <sheetFormatPr defaultRowHeight="12.75"/>
  <cols>
    <col min="1" max="1" width="3.7109375" customWidth="1"/>
    <col min="2" max="2" width="7" customWidth="1"/>
    <col min="3" max="3" width="4.85546875" customWidth="1"/>
    <col min="4" max="4" width="19.7109375" customWidth="1"/>
    <col min="5" max="5" width="8.85546875" customWidth="1"/>
    <col min="6" max="6" width="10.5703125" customWidth="1"/>
    <col min="7" max="7" width="9.5703125" customWidth="1"/>
    <col min="8" max="8" width="16" style="156" customWidth="1"/>
    <col min="9" max="9" width="4.5703125" customWidth="1"/>
    <col min="10" max="10" width="7" customWidth="1"/>
    <col min="11" max="11" width="4.28515625" customWidth="1"/>
  </cols>
  <sheetData>
    <row r="3" spans="2:9">
      <c r="B3" s="2"/>
      <c r="C3" s="49"/>
      <c r="D3" s="49"/>
      <c r="E3" s="49"/>
      <c r="F3" s="49"/>
      <c r="G3" s="2"/>
      <c r="H3" s="157"/>
    </row>
    <row r="4" spans="2:9">
      <c r="B4" s="2" t="s">
        <v>131</v>
      </c>
      <c r="C4" s="2" t="str">
        <f>'Kopertina '!F4</f>
        <v>Eskeld</v>
      </c>
      <c r="D4" s="2"/>
      <c r="E4" s="2"/>
      <c r="F4" s="2"/>
      <c r="G4" s="2"/>
      <c r="H4" s="157"/>
    </row>
    <row r="5" spans="2:9">
      <c r="B5" s="1"/>
      <c r="C5" s="1"/>
      <c r="D5" s="1"/>
      <c r="E5" s="1"/>
      <c r="F5" s="1"/>
      <c r="G5" s="2"/>
      <c r="H5" s="799" t="s">
        <v>259</v>
      </c>
      <c r="I5" s="2"/>
    </row>
    <row r="6" spans="2:9">
      <c r="B6" s="1"/>
      <c r="C6" s="1354" t="s">
        <v>151</v>
      </c>
      <c r="D6" s="1354"/>
      <c r="E6" s="1354"/>
      <c r="F6" s="1354"/>
      <c r="G6" s="1354"/>
      <c r="H6" s="1354"/>
      <c r="I6" s="1354"/>
    </row>
    <row r="7" spans="2:9" ht="13.5" thickBot="1">
      <c r="B7" s="1"/>
      <c r="C7" s="1"/>
      <c r="D7" s="1"/>
      <c r="E7" s="1"/>
      <c r="F7" s="1"/>
      <c r="G7" s="157" t="s">
        <v>132</v>
      </c>
      <c r="H7" s="19">
        <f>'Kopertina '!F29</f>
        <v>2012</v>
      </c>
    </row>
    <row r="8" spans="2:9" ht="13.5" thickBot="1">
      <c r="B8" s="16"/>
      <c r="C8" s="17"/>
      <c r="D8" s="17"/>
      <c r="E8" s="17"/>
      <c r="F8" s="17"/>
      <c r="G8" s="17"/>
      <c r="H8" s="159"/>
      <c r="I8" s="18"/>
    </row>
    <row r="9" spans="2:9" ht="20.25" customHeight="1" thickBot="1">
      <c r="B9" s="5"/>
      <c r="C9" s="338" t="s">
        <v>1</v>
      </c>
      <c r="D9" s="339" t="s">
        <v>376</v>
      </c>
      <c r="E9" s="339" t="s">
        <v>377</v>
      </c>
      <c r="F9" s="339" t="s">
        <v>378</v>
      </c>
      <c r="G9" s="339" t="s">
        <v>255</v>
      </c>
      <c r="H9" s="798" t="s">
        <v>379</v>
      </c>
      <c r="I9" s="6"/>
    </row>
    <row r="10" spans="2:9">
      <c r="B10" s="5"/>
      <c r="C10" s="56">
        <v>1</v>
      </c>
      <c r="D10" s="39"/>
      <c r="E10" s="39"/>
      <c r="F10" s="39"/>
      <c r="G10" s="39"/>
      <c r="H10" s="459">
        <f>F10*G10</f>
        <v>0</v>
      </c>
      <c r="I10" s="6"/>
    </row>
    <row r="11" spans="2:9">
      <c r="B11" s="5"/>
      <c r="C11" s="30">
        <v>2</v>
      </c>
      <c r="D11" s="22"/>
      <c r="E11" s="22"/>
      <c r="F11" s="22"/>
      <c r="G11" s="22"/>
      <c r="H11" s="351">
        <f>F11*G11</f>
        <v>0</v>
      </c>
      <c r="I11" s="6"/>
    </row>
    <row r="12" spans="2:9">
      <c r="B12" s="5"/>
      <c r="C12" s="30">
        <v>3</v>
      </c>
      <c r="D12" s="22"/>
      <c r="E12" s="22"/>
      <c r="F12" s="22"/>
      <c r="G12" s="22"/>
      <c r="H12" s="351">
        <f>F12*G12</f>
        <v>0</v>
      </c>
      <c r="I12" s="6"/>
    </row>
    <row r="13" spans="2:9">
      <c r="B13" s="5"/>
      <c r="C13" s="800">
        <v>4</v>
      </c>
      <c r="D13" s="22"/>
      <c r="E13" s="22"/>
      <c r="F13" s="22"/>
      <c r="G13" s="22"/>
      <c r="H13" s="351">
        <f t="shared" ref="H13:H40" si="0">F13*G13</f>
        <v>0</v>
      </c>
      <c r="I13" s="6"/>
    </row>
    <row r="14" spans="2:9">
      <c r="B14" s="5"/>
      <c r="C14" s="800">
        <v>5</v>
      </c>
      <c r="D14" s="22"/>
      <c r="E14" s="22"/>
      <c r="F14" s="22"/>
      <c r="G14" s="22"/>
      <c r="H14" s="351">
        <f t="shared" si="0"/>
        <v>0</v>
      </c>
      <c r="I14" s="6"/>
    </row>
    <row r="15" spans="2:9">
      <c r="B15" s="5"/>
      <c r="C15" s="30">
        <v>6</v>
      </c>
      <c r="D15" s="22"/>
      <c r="E15" s="22"/>
      <c r="F15" s="22"/>
      <c r="G15" s="22"/>
      <c r="H15" s="351">
        <f t="shared" si="0"/>
        <v>0</v>
      </c>
      <c r="I15" s="6"/>
    </row>
    <row r="16" spans="2:9">
      <c r="B16" s="5"/>
      <c r="C16" s="30">
        <v>7</v>
      </c>
      <c r="D16" s="22"/>
      <c r="E16" s="22"/>
      <c r="F16" s="22"/>
      <c r="G16" s="22"/>
      <c r="H16" s="351">
        <f t="shared" si="0"/>
        <v>0</v>
      </c>
      <c r="I16" s="6"/>
    </row>
    <row r="17" spans="2:9">
      <c r="B17" s="5"/>
      <c r="C17" s="30">
        <v>8</v>
      </c>
      <c r="D17" s="22"/>
      <c r="E17" s="22"/>
      <c r="F17" s="22"/>
      <c r="G17" s="22"/>
      <c r="H17" s="351">
        <f t="shared" si="0"/>
        <v>0</v>
      </c>
      <c r="I17" s="6"/>
    </row>
    <row r="18" spans="2:9">
      <c r="B18" s="5"/>
      <c r="C18" s="800">
        <v>9</v>
      </c>
      <c r="D18" s="22"/>
      <c r="E18" s="22"/>
      <c r="F18" s="22"/>
      <c r="G18" s="22"/>
      <c r="H18" s="351">
        <f t="shared" si="0"/>
        <v>0</v>
      </c>
      <c r="I18" s="6"/>
    </row>
    <row r="19" spans="2:9">
      <c r="B19" s="5"/>
      <c r="C19" s="800">
        <v>10</v>
      </c>
      <c r="D19" s="22"/>
      <c r="E19" s="22"/>
      <c r="F19" s="22"/>
      <c r="G19" s="22"/>
      <c r="H19" s="351">
        <f t="shared" si="0"/>
        <v>0</v>
      </c>
      <c r="I19" s="6"/>
    </row>
    <row r="20" spans="2:9">
      <c r="B20" s="5"/>
      <c r="C20" s="30">
        <v>11</v>
      </c>
      <c r="D20" s="22"/>
      <c r="E20" s="22"/>
      <c r="F20" s="22"/>
      <c r="G20" s="22"/>
      <c r="H20" s="351">
        <f t="shared" si="0"/>
        <v>0</v>
      </c>
      <c r="I20" s="6"/>
    </row>
    <row r="21" spans="2:9">
      <c r="B21" s="5"/>
      <c r="C21" s="30">
        <v>12</v>
      </c>
      <c r="D21" s="22"/>
      <c r="E21" s="22"/>
      <c r="F21" s="22"/>
      <c r="G21" s="22"/>
      <c r="H21" s="351">
        <f t="shared" si="0"/>
        <v>0</v>
      </c>
      <c r="I21" s="6"/>
    </row>
    <row r="22" spans="2:9">
      <c r="B22" s="5"/>
      <c r="C22" s="30">
        <v>13</v>
      </c>
      <c r="D22" s="22"/>
      <c r="E22" s="22"/>
      <c r="F22" s="22"/>
      <c r="G22" s="22"/>
      <c r="H22" s="351">
        <f t="shared" si="0"/>
        <v>0</v>
      </c>
      <c r="I22" s="6"/>
    </row>
    <row r="23" spans="2:9">
      <c r="B23" s="5"/>
      <c r="C23" s="800">
        <v>14</v>
      </c>
      <c r="D23" s="22"/>
      <c r="E23" s="22"/>
      <c r="F23" s="22"/>
      <c r="G23" s="22"/>
      <c r="H23" s="351">
        <f t="shared" si="0"/>
        <v>0</v>
      </c>
      <c r="I23" s="6"/>
    </row>
    <row r="24" spans="2:9">
      <c r="B24" s="5"/>
      <c r="C24" s="800">
        <v>15</v>
      </c>
      <c r="D24" s="22"/>
      <c r="E24" s="22"/>
      <c r="F24" s="22"/>
      <c r="G24" s="22"/>
      <c r="H24" s="351">
        <f t="shared" si="0"/>
        <v>0</v>
      </c>
      <c r="I24" s="6"/>
    </row>
    <row r="25" spans="2:9">
      <c r="B25" s="5"/>
      <c r="C25" s="30">
        <v>16</v>
      </c>
      <c r="D25" s="22"/>
      <c r="E25" s="22"/>
      <c r="F25" s="22"/>
      <c r="G25" s="22"/>
      <c r="H25" s="351">
        <f t="shared" si="0"/>
        <v>0</v>
      </c>
      <c r="I25" s="6"/>
    </row>
    <row r="26" spans="2:9">
      <c r="B26" s="5"/>
      <c r="C26" s="30">
        <v>17</v>
      </c>
      <c r="D26" s="22"/>
      <c r="E26" s="22"/>
      <c r="F26" s="22"/>
      <c r="G26" s="22"/>
      <c r="H26" s="351">
        <f t="shared" si="0"/>
        <v>0</v>
      </c>
      <c r="I26" s="6"/>
    </row>
    <row r="27" spans="2:9">
      <c r="B27" s="5"/>
      <c r="C27" s="30">
        <v>18</v>
      </c>
      <c r="D27" s="22"/>
      <c r="E27" s="22"/>
      <c r="F27" s="22"/>
      <c r="G27" s="22"/>
      <c r="H27" s="351">
        <f t="shared" si="0"/>
        <v>0</v>
      </c>
      <c r="I27" s="6"/>
    </row>
    <row r="28" spans="2:9">
      <c r="B28" s="5"/>
      <c r="C28" s="800">
        <v>19</v>
      </c>
      <c r="D28" s="22"/>
      <c r="E28" s="22"/>
      <c r="F28" s="22"/>
      <c r="G28" s="22"/>
      <c r="H28" s="351">
        <f t="shared" si="0"/>
        <v>0</v>
      </c>
      <c r="I28" s="6"/>
    </row>
    <row r="29" spans="2:9">
      <c r="B29" s="5"/>
      <c r="C29" s="800">
        <v>20</v>
      </c>
      <c r="D29" s="22"/>
      <c r="E29" s="22"/>
      <c r="F29" s="22"/>
      <c r="G29" s="22"/>
      <c r="H29" s="351">
        <f t="shared" si="0"/>
        <v>0</v>
      </c>
      <c r="I29" s="6"/>
    </row>
    <row r="30" spans="2:9">
      <c r="B30" s="5"/>
      <c r="C30" s="30">
        <v>21</v>
      </c>
      <c r="D30" s="22"/>
      <c r="E30" s="22"/>
      <c r="F30" s="22"/>
      <c r="G30" s="22"/>
      <c r="H30" s="351">
        <f t="shared" si="0"/>
        <v>0</v>
      </c>
      <c r="I30" s="6"/>
    </row>
    <row r="31" spans="2:9">
      <c r="B31" s="5"/>
      <c r="C31" s="30">
        <v>22</v>
      </c>
      <c r="D31" s="22"/>
      <c r="E31" s="22"/>
      <c r="F31" s="22"/>
      <c r="G31" s="22"/>
      <c r="H31" s="351">
        <f t="shared" si="0"/>
        <v>0</v>
      </c>
      <c r="I31" s="6"/>
    </row>
    <row r="32" spans="2:9">
      <c r="B32" s="5"/>
      <c r="C32" s="30">
        <v>23</v>
      </c>
      <c r="D32" s="22"/>
      <c r="E32" s="22"/>
      <c r="F32" s="22"/>
      <c r="G32" s="22"/>
      <c r="H32" s="351">
        <f t="shared" si="0"/>
        <v>0</v>
      </c>
      <c r="I32" s="6"/>
    </row>
    <row r="33" spans="2:9">
      <c r="B33" s="5"/>
      <c r="C33" s="800">
        <v>24</v>
      </c>
      <c r="D33" s="22"/>
      <c r="E33" s="22"/>
      <c r="F33" s="22"/>
      <c r="G33" s="22"/>
      <c r="H33" s="351">
        <f t="shared" si="0"/>
        <v>0</v>
      </c>
      <c r="I33" s="6"/>
    </row>
    <row r="34" spans="2:9">
      <c r="B34" s="5"/>
      <c r="C34" s="800">
        <v>25</v>
      </c>
      <c r="D34" s="22"/>
      <c r="E34" s="22"/>
      <c r="F34" s="22"/>
      <c r="G34" s="22"/>
      <c r="H34" s="351">
        <f t="shared" si="0"/>
        <v>0</v>
      </c>
      <c r="I34" s="6"/>
    </row>
    <row r="35" spans="2:9">
      <c r="B35" s="5"/>
      <c r="C35" s="30">
        <v>26</v>
      </c>
      <c r="D35" s="22"/>
      <c r="E35" s="22"/>
      <c r="F35" s="22"/>
      <c r="G35" s="22"/>
      <c r="H35" s="351">
        <f t="shared" si="0"/>
        <v>0</v>
      </c>
      <c r="I35" s="6"/>
    </row>
    <row r="36" spans="2:9">
      <c r="B36" s="5"/>
      <c r="C36" s="30">
        <v>27</v>
      </c>
      <c r="D36" s="22"/>
      <c r="E36" s="22"/>
      <c r="F36" s="22"/>
      <c r="G36" s="22"/>
      <c r="H36" s="351">
        <f t="shared" si="0"/>
        <v>0</v>
      </c>
      <c r="I36" s="6"/>
    </row>
    <row r="37" spans="2:9">
      <c r="B37" s="5"/>
      <c r="C37" s="30">
        <v>28</v>
      </c>
      <c r="D37" s="22"/>
      <c r="E37" s="22"/>
      <c r="F37" s="22"/>
      <c r="G37" s="22"/>
      <c r="H37" s="351">
        <f t="shared" si="0"/>
        <v>0</v>
      </c>
      <c r="I37" s="6"/>
    </row>
    <row r="38" spans="2:9">
      <c r="B38" s="5"/>
      <c r="C38" s="800">
        <v>29</v>
      </c>
      <c r="D38" s="22"/>
      <c r="E38" s="22"/>
      <c r="F38" s="22"/>
      <c r="G38" s="22"/>
      <c r="H38" s="351">
        <f t="shared" si="0"/>
        <v>0</v>
      </c>
      <c r="I38" s="6"/>
    </row>
    <row r="39" spans="2:9">
      <c r="B39" s="5"/>
      <c r="C39" s="800">
        <v>30</v>
      </c>
      <c r="D39" s="22"/>
      <c r="E39" s="22"/>
      <c r="F39" s="22"/>
      <c r="G39" s="22"/>
      <c r="H39" s="351">
        <f t="shared" si="0"/>
        <v>0</v>
      </c>
      <c r="I39" s="6"/>
    </row>
    <row r="40" spans="2:9" ht="13.5" thickBot="1">
      <c r="B40" s="5"/>
      <c r="C40" s="31">
        <v>31</v>
      </c>
      <c r="D40" s="25"/>
      <c r="E40" s="25"/>
      <c r="F40" s="25"/>
      <c r="G40" s="25"/>
      <c r="H40" s="364">
        <f t="shared" si="0"/>
        <v>0</v>
      </c>
      <c r="I40" s="6"/>
    </row>
    <row r="41" spans="2:9">
      <c r="B41" s="5"/>
      <c r="C41" s="1"/>
      <c r="D41" s="1"/>
      <c r="E41" s="1"/>
      <c r="F41" s="1"/>
      <c r="G41" s="1"/>
      <c r="H41" s="120"/>
      <c r="I41" s="6"/>
    </row>
    <row r="42" spans="2:9" ht="13.5" thickBot="1">
      <c r="B42" s="5"/>
      <c r="C42" s="1"/>
      <c r="D42" s="1"/>
      <c r="E42" s="1"/>
      <c r="F42" s="1"/>
      <c r="G42" s="1"/>
      <c r="H42" s="120"/>
      <c r="I42" s="6"/>
    </row>
    <row r="43" spans="2:9" ht="13.5" thickBot="1">
      <c r="B43" s="5"/>
      <c r="C43" s="1"/>
      <c r="D43" s="1384" t="s">
        <v>165</v>
      </c>
      <c r="E43" s="1385"/>
      <c r="F43" s="1385"/>
      <c r="G43" s="1385"/>
      <c r="H43" s="771">
        <f>SUM(H10:H42)</f>
        <v>0</v>
      </c>
      <c r="I43" s="6"/>
    </row>
    <row r="44" spans="2:9">
      <c r="B44" s="5"/>
      <c r="C44" s="1"/>
      <c r="D44" s="1"/>
      <c r="E44" s="1"/>
      <c r="F44" s="1"/>
      <c r="G44" s="1"/>
      <c r="H44" s="120"/>
      <c r="I44" s="6"/>
    </row>
    <row r="45" spans="2:9">
      <c r="B45" s="5"/>
      <c r="C45" s="1"/>
      <c r="D45" s="1"/>
      <c r="E45" s="1"/>
      <c r="F45" s="1"/>
      <c r="G45" s="1"/>
      <c r="H45" s="120"/>
      <c r="I45" s="6"/>
    </row>
    <row r="46" spans="2:9">
      <c r="B46" s="5"/>
      <c r="C46" s="1"/>
      <c r="D46" s="1"/>
      <c r="E46" s="1"/>
      <c r="F46" s="1"/>
      <c r="G46" s="1"/>
      <c r="H46" s="120"/>
      <c r="I46" s="6"/>
    </row>
    <row r="47" spans="2:9">
      <c r="B47" s="5"/>
      <c r="C47" s="1"/>
      <c r="D47" s="1"/>
      <c r="E47" s="1"/>
      <c r="F47" s="1"/>
      <c r="G47" s="1"/>
      <c r="H47" s="120"/>
      <c r="I47" s="6"/>
    </row>
    <row r="48" spans="2:9">
      <c r="B48" s="5"/>
      <c r="C48" s="1"/>
      <c r="D48" s="1"/>
      <c r="E48" s="1"/>
      <c r="F48" s="1"/>
      <c r="G48" s="1"/>
      <c r="H48" s="120"/>
      <c r="I48" s="6"/>
    </row>
    <row r="49" spans="2:9">
      <c r="B49" s="5"/>
      <c r="C49" s="1"/>
      <c r="D49" s="1"/>
      <c r="E49" s="1"/>
      <c r="F49" s="1"/>
      <c r="G49" s="1"/>
      <c r="H49" s="120"/>
      <c r="I49" s="6"/>
    </row>
    <row r="50" spans="2:9">
      <c r="B50" s="5"/>
      <c r="C50" s="1"/>
      <c r="D50" s="1"/>
      <c r="E50" s="1"/>
      <c r="F50" s="1"/>
      <c r="G50" s="1"/>
      <c r="H50" s="120"/>
      <c r="I50" s="6"/>
    </row>
    <row r="51" spans="2:9">
      <c r="B51" s="5"/>
      <c r="C51" s="1"/>
      <c r="D51" s="1"/>
      <c r="E51" s="1"/>
      <c r="F51" s="1"/>
      <c r="G51" s="1"/>
      <c r="H51" s="120"/>
      <c r="I51" s="6"/>
    </row>
    <row r="52" spans="2:9">
      <c r="B52" s="5"/>
      <c r="C52" s="1"/>
      <c r="D52" s="1"/>
      <c r="E52" s="1"/>
      <c r="F52" s="1"/>
      <c r="G52" s="1"/>
      <c r="H52" s="120"/>
      <c r="I52" s="6"/>
    </row>
    <row r="53" spans="2:9">
      <c r="B53" s="5"/>
      <c r="C53" s="1"/>
      <c r="D53" s="1"/>
      <c r="E53" s="1"/>
      <c r="F53" s="1"/>
      <c r="G53" s="1"/>
      <c r="H53" s="120"/>
      <c r="I53" s="6"/>
    </row>
    <row r="54" spans="2:9" ht="13.5" thickBot="1">
      <c r="B54" s="7"/>
      <c r="C54" s="8"/>
      <c r="D54" s="8"/>
      <c r="E54" s="8"/>
      <c r="F54" s="8"/>
      <c r="G54" s="8"/>
      <c r="H54" s="162"/>
      <c r="I54" s="9"/>
    </row>
  </sheetData>
  <mergeCells count="2">
    <mergeCell ref="C6:I6"/>
    <mergeCell ref="D43:G43"/>
  </mergeCells>
  <phoneticPr fontId="4" type="noConversion"/>
  <pageMargins left="0" right="0" top="0" bottom="0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B3:I64"/>
  <sheetViews>
    <sheetView workbookViewId="0">
      <selection activeCell="H13" sqref="H13:H21"/>
    </sheetView>
  </sheetViews>
  <sheetFormatPr defaultRowHeight="12.75"/>
  <cols>
    <col min="1" max="1" width="4.140625" customWidth="1"/>
    <col min="2" max="2" width="7.5703125" customWidth="1"/>
    <col min="3" max="3" width="5.42578125" customWidth="1"/>
    <col min="4" max="4" width="22.42578125" customWidth="1"/>
    <col min="5" max="5" width="10" customWidth="1"/>
    <col min="6" max="6" width="12.7109375" customWidth="1"/>
    <col min="7" max="7" width="11.140625" customWidth="1"/>
    <col min="8" max="8" width="15" customWidth="1"/>
    <col min="9" max="9" width="7.7109375" customWidth="1"/>
    <col min="10" max="10" width="4.28515625" customWidth="1"/>
  </cols>
  <sheetData>
    <row r="3" spans="2:9">
      <c r="B3" s="2"/>
      <c r="C3" s="49"/>
      <c r="D3" s="49"/>
      <c r="E3" s="2"/>
      <c r="F3" s="2"/>
    </row>
    <row r="4" spans="2:9">
      <c r="B4" s="2" t="s">
        <v>131</v>
      </c>
      <c r="C4" s="2" t="str">
        <f>'Kopertina '!F4</f>
        <v>Eskeld</v>
      </c>
      <c r="D4" s="2"/>
      <c r="E4" s="2"/>
      <c r="F4" s="2"/>
    </row>
    <row r="5" spans="2:9">
      <c r="B5" s="1"/>
      <c r="C5" s="1"/>
      <c r="D5" s="1"/>
      <c r="E5" s="2"/>
      <c r="F5" s="2"/>
      <c r="G5" s="2"/>
      <c r="H5" s="2"/>
      <c r="I5" s="2" t="s">
        <v>260</v>
      </c>
    </row>
    <row r="6" spans="2:9">
      <c r="B6" s="1"/>
      <c r="C6" s="1354" t="s">
        <v>386</v>
      </c>
      <c r="D6" s="1354"/>
      <c r="E6" s="1354"/>
      <c r="F6" s="1354"/>
      <c r="G6" s="1354"/>
    </row>
    <row r="7" spans="2:9">
      <c r="B7" s="1"/>
      <c r="C7" s="1"/>
      <c r="D7" s="1"/>
      <c r="E7" s="1"/>
      <c r="F7" s="2" t="s">
        <v>132</v>
      </c>
      <c r="G7" s="19"/>
      <c r="H7" s="19">
        <f>'Kopertina '!F29</f>
        <v>2012</v>
      </c>
    </row>
    <row r="8" spans="2:9" ht="13.5" thickBot="1">
      <c r="B8" s="1"/>
      <c r="C8" s="1"/>
      <c r="D8" s="1"/>
      <c r="E8" s="1"/>
      <c r="F8" s="1"/>
    </row>
    <row r="9" spans="2:9">
      <c r="B9" s="16"/>
      <c r="C9" s="17"/>
      <c r="D9" s="17"/>
      <c r="E9" s="17"/>
      <c r="F9" s="17"/>
      <c r="G9" s="17"/>
      <c r="H9" s="17"/>
      <c r="I9" s="18"/>
    </row>
    <row r="10" spans="2:9">
      <c r="B10" s="5"/>
      <c r="C10" s="1"/>
      <c r="D10" s="1"/>
      <c r="E10" s="1"/>
      <c r="F10" s="1"/>
      <c r="G10" s="1"/>
      <c r="H10" s="1"/>
      <c r="I10" s="6"/>
    </row>
    <row r="11" spans="2:9" ht="13.5" thickBot="1">
      <c r="B11" s="5"/>
      <c r="C11" s="1"/>
      <c r="D11" s="1"/>
      <c r="E11" s="1"/>
      <c r="F11" s="1"/>
      <c r="G11" s="1"/>
      <c r="H11" s="1"/>
      <c r="I11" s="6"/>
    </row>
    <row r="12" spans="2:9" ht="19.5" customHeight="1" thickBot="1">
      <c r="B12" s="5"/>
      <c r="C12" s="403" t="s">
        <v>1</v>
      </c>
      <c r="D12" s="404" t="s">
        <v>252</v>
      </c>
      <c r="E12" s="404" t="s">
        <v>253</v>
      </c>
      <c r="F12" s="404" t="s">
        <v>254</v>
      </c>
      <c r="G12" s="404" t="s">
        <v>255</v>
      </c>
      <c r="H12" s="405" t="s">
        <v>256</v>
      </c>
      <c r="I12" s="6"/>
    </row>
    <row r="13" spans="2:9">
      <c r="B13" s="5"/>
      <c r="C13" s="55">
        <v>1</v>
      </c>
      <c r="D13" s="206"/>
      <c r="E13" s="206"/>
      <c r="F13" s="573"/>
      <c r="G13" s="573"/>
      <c r="H13" s="573"/>
      <c r="I13" s="6"/>
    </row>
    <row r="14" spans="2:9">
      <c r="B14" s="5"/>
      <c r="C14" s="30">
        <v>2</v>
      </c>
      <c r="D14" s="22"/>
      <c r="E14" s="22"/>
      <c r="F14" s="572"/>
      <c r="G14" s="572"/>
      <c r="H14" s="572"/>
      <c r="I14" s="6"/>
    </row>
    <row r="15" spans="2:9">
      <c r="B15" s="5"/>
      <c r="C15" s="30">
        <v>3</v>
      </c>
      <c r="D15" s="22"/>
      <c r="E15" s="22"/>
      <c r="F15" s="572"/>
      <c r="G15" s="572"/>
      <c r="H15" s="572"/>
      <c r="I15" s="6"/>
    </row>
    <row r="16" spans="2:9">
      <c r="B16" s="5"/>
      <c r="C16" s="30">
        <v>4</v>
      </c>
      <c r="D16" s="22"/>
      <c r="E16" s="22"/>
      <c r="F16" s="572"/>
      <c r="G16" s="572"/>
      <c r="H16" s="572"/>
      <c r="I16" s="6"/>
    </row>
    <row r="17" spans="2:9">
      <c r="B17" s="5"/>
      <c r="C17" s="30">
        <v>5</v>
      </c>
      <c r="D17" s="22"/>
      <c r="E17" s="22"/>
      <c r="F17" s="572"/>
      <c r="G17" s="572"/>
      <c r="H17" s="572"/>
      <c r="I17" s="6"/>
    </row>
    <row r="18" spans="2:9">
      <c r="B18" s="5"/>
      <c r="C18" s="30">
        <v>6</v>
      </c>
      <c r="D18" s="22"/>
      <c r="E18" s="22"/>
      <c r="F18" s="572"/>
      <c r="G18" s="572"/>
      <c r="H18" s="572"/>
      <c r="I18" s="6"/>
    </row>
    <row r="19" spans="2:9">
      <c r="B19" s="5"/>
      <c r="C19" s="30">
        <v>7</v>
      </c>
      <c r="D19" s="22"/>
      <c r="E19" s="22"/>
      <c r="F19" s="22"/>
      <c r="G19" s="22"/>
      <c r="H19" s="186"/>
      <c r="I19" s="6"/>
    </row>
    <row r="20" spans="2:9">
      <c r="B20" s="5"/>
      <c r="C20" s="30">
        <v>8</v>
      </c>
      <c r="D20" s="22"/>
      <c r="E20" s="22"/>
      <c r="F20" s="22"/>
      <c r="G20" s="22"/>
      <c r="H20" s="186"/>
      <c r="I20" s="6"/>
    </row>
    <row r="21" spans="2:9">
      <c r="B21" s="5"/>
      <c r="C21" s="30">
        <v>9</v>
      </c>
      <c r="D21" s="22"/>
      <c r="E21" s="22"/>
      <c r="F21" s="22"/>
      <c r="G21" s="22"/>
      <c r="H21" s="186"/>
      <c r="I21" s="6"/>
    </row>
    <row r="22" spans="2:9">
      <c r="B22" s="5"/>
      <c r="C22" s="30">
        <v>10</v>
      </c>
      <c r="D22" s="22"/>
      <c r="E22" s="22"/>
      <c r="F22" s="22"/>
      <c r="G22" s="22"/>
      <c r="H22" s="186">
        <f t="shared" ref="H22:H51" si="0">F22*G22</f>
        <v>0</v>
      </c>
      <c r="I22" s="6"/>
    </row>
    <row r="23" spans="2:9">
      <c r="B23" s="5"/>
      <c r="C23" s="30">
        <v>11</v>
      </c>
      <c r="D23" s="22"/>
      <c r="E23" s="22"/>
      <c r="F23" s="22"/>
      <c r="G23" s="22"/>
      <c r="H23" s="186">
        <f t="shared" si="0"/>
        <v>0</v>
      </c>
      <c r="I23" s="6"/>
    </row>
    <row r="24" spans="2:9">
      <c r="B24" s="5"/>
      <c r="C24" s="30">
        <v>12</v>
      </c>
      <c r="D24" s="22"/>
      <c r="E24" s="22"/>
      <c r="F24" s="22"/>
      <c r="G24" s="22"/>
      <c r="H24" s="186">
        <f t="shared" si="0"/>
        <v>0</v>
      </c>
      <c r="I24" s="6"/>
    </row>
    <row r="25" spans="2:9">
      <c r="B25" s="5"/>
      <c r="C25" s="30">
        <v>13</v>
      </c>
      <c r="D25" s="22"/>
      <c r="E25" s="22"/>
      <c r="F25" s="22"/>
      <c r="G25" s="22"/>
      <c r="H25" s="186">
        <f t="shared" si="0"/>
        <v>0</v>
      </c>
      <c r="I25" s="6"/>
    </row>
    <row r="26" spans="2:9">
      <c r="B26" s="5"/>
      <c r="C26" s="30">
        <v>14</v>
      </c>
      <c r="D26" s="22"/>
      <c r="E26" s="22"/>
      <c r="F26" s="22"/>
      <c r="G26" s="22"/>
      <c r="H26" s="186">
        <f t="shared" si="0"/>
        <v>0</v>
      </c>
      <c r="I26" s="6"/>
    </row>
    <row r="27" spans="2:9">
      <c r="B27" s="5"/>
      <c r="C27" s="30">
        <v>15</v>
      </c>
      <c r="D27" s="22"/>
      <c r="E27" s="22"/>
      <c r="F27" s="22"/>
      <c r="G27" s="22"/>
      <c r="H27" s="186">
        <f t="shared" si="0"/>
        <v>0</v>
      </c>
      <c r="I27" s="6"/>
    </row>
    <row r="28" spans="2:9">
      <c r="B28" s="5"/>
      <c r="C28" s="30">
        <v>16</v>
      </c>
      <c r="D28" s="22"/>
      <c r="E28" s="22"/>
      <c r="F28" s="22"/>
      <c r="G28" s="22"/>
      <c r="H28" s="186">
        <f t="shared" si="0"/>
        <v>0</v>
      </c>
      <c r="I28" s="6"/>
    </row>
    <row r="29" spans="2:9">
      <c r="B29" s="5"/>
      <c r="C29" s="30">
        <v>17</v>
      </c>
      <c r="D29" s="22"/>
      <c r="E29" s="22"/>
      <c r="F29" s="22"/>
      <c r="G29" s="22"/>
      <c r="H29" s="186">
        <f t="shared" si="0"/>
        <v>0</v>
      </c>
      <c r="I29" s="6"/>
    </row>
    <row r="30" spans="2:9">
      <c r="B30" s="5"/>
      <c r="C30" s="30">
        <v>18</v>
      </c>
      <c r="D30" s="22"/>
      <c r="E30" s="22"/>
      <c r="F30" s="22"/>
      <c r="G30" s="22"/>
      <c r="H30" s="186">
        <f t="shared" si="0"/>
        <v>0</v>
      </c>
      <c r="I30" s="6"/>
    </row>
    <row r="31" spans="2:9">
      <c r="B31" s="5"/>
      <c r="C31" s="30">
        <v>19</v>
      </c>
      <c r="D31" s="22"/>
      <c r="E31" s="22"/>
      <c r="F31" s="22"/>
      <c r="G31" s="22"/>
      <c r="H31" s="186">
        <f t="shared" si="0"/>
        <v>0</v>
      </c>
      <c r="I31" s="6"/>
    </row>
    <row r="32" spans="2:9">
      <c r="B32" s="5"/>
      <c r="C32" s="30">
        <v>20</v>
      </c>
      <c r="D32" s="22"/>
      <c r="E32" s="22"/>
      <c r="F32" s="22"/>
      <c r="G32" s="22"/>
      <c r="H32" s="186">
        <f t="shared" si="0"/>
        <v>0</v>
      </c>
      <c r="I32" s="6"/>
    </row>
    <row r="33" spans="2:9">
      <c r="B33" s="5"/>
      <c r="C33" s="30">
        <v>21</v>
      </c>
      <c r="D33" s="22"/>
      <c r="E33" s="22"/>
      <c r="F33" s="22"/>
      <c r="G33" s="22"/>
      <c r="H33" s="186">
        <f t="shared" si="0"/>
        <v>0</v>
      </c>
      <c r="I33" s="6"/>
    </row>
    <row r="34" spans="2:9">
      <c r="B34" s="5"/>
      <c r="C34" s="30">
        <v>22</v>
      </c>
      <c r="D34" s="22"/>
      <c r="E34" s="22"/>
      <c r="F34" s="22"/>
      <c r="G34" s="22"/>
      <c r="H34" s="186">
        <f t="shared" si="0"/>
        <v>0</v>
      </c>
      <c r="I34" s="6"/>
    </row>
    <row r="35" spans="2:9">
      <c r="B35" s="5"/>
      <c r="C35" s="30">
        <v>23</v>
      </c>
      <c r="D35" s="22"/>
      <c r="E35" s="22"/>
      <c r="F35" s="22"/>
      <c r="G35" s="22"/>
      <c r="H35" s="186">
        <f t="shared" si="0"/>
        <v>0</v>
      </c>
      <c r="I35" s="6"/>
    </row>
    <row r="36" spans="2:9">
      <c r="B36" s="5"/>
      <c r="C36" s="30">
        <v>24</v>
      </c>
      <c r="D36" s="22"/>
      <c r="E36" s="22"/>
      <c r="F36" s="22"/>
      <c r="G36" s="22"/>
      <c r="H36" s="186">
        <f t="shared" si="0"/>
        <v>0</v>
      </c>
      <c r="I36" s="6"/>
    </row>
    <row r="37" spans="2:9">
      <c r="B37" s="5"/>
      <c r="C37" s="30">
        <v>25</v>
      </c>
      <c r="D37" s="22"/>
      <c r="E37" s="22"/>
      <c r="F37" s="22"/>
      <c r="G37" s="22"/>
      <c r="H37" s="186">
        <f t="shared" si="0"/>
        <v>0</v>
      </c>
      <c r="I37" s="6"/>
    </row>
    <row r="38" spans="2:9">
      <c r="B38" s="5"/>
      <c r="C38" s="30">
        <v>26</v>
      </c>
      <c r="D38" s="22"/>
      <c r="E38" s="22"/>
      <c r="F38" s="22"/>
      <c r="G38" s="22"/>
      <c r="H38" s="186">
        <f t="shared" si="0"/>
        <v>0</v>
      </c>
      <c r="I38" s="6"/>
    </row>
    <row r="39" spans="2:9">
      <c r="B39" s="5"/>
      <c r="C39" s="30">
        <v>27</v>
      </c>
      <c r="D39" s="22"/>
      <c r="E39" s="22"/>
      <c r="F39" s="22"/>
      <c r="G39" s="22"/>
      <c r="H39" s="186">
        <f t="shared" si="0"/>
        <v>0</v>
      </c>
      <c r="I39" s="6"/>
    </row>
    <row r="40" spans="2:9">
      <c r="B40" s="5"/>
      <c r="C40" s="30">
        <v>28</v>
      </c>
      <c r="D40" s="22"/>
      <c r="E40" s="22"/>
      <c r="F40" s="22"/>
      <c r="G40" s="22"/>
      <c r="H40" s="186">
        <f t="shared" si="0"/>
        <v>0</v>
      </c>
      <c r="I40" s="6"/>
    </row>
    <row r="41" spans="2:9">
      <c r="B41" s="5"/>
      <c r="C41" s="30">
        <v>29</v>
      </c>
      <c r="D41" s="22"/>
      <c r="E41" s="22"/>
      <c r="F41" s="22"/>
      <c r="G41" s="22"/>
      <c r="H41" s="186">
        <f t="shared" si="0"/>
        <v>0</v>
      </c>
      <c r="I41" s="6"/>
    </row>
    <row r="42" spans="2:9">
      <c r="B42" s="5"/>
      <c r="C42" s="30">
        <v>30</v>
      </c>
      <c r="D42" s="22"/>
      <c r="E42" s="22"/>
      <c r="F42" s="22"/>
      <c r="G42" s="22"/>
      <c r="H42" s="186">
        <f t="shared" si="0"/>
        <v>0</v>
      </c>
      <c r="I42" s="6"/>
    </row>
    <row r="43" spans="2:9">
      <c r="B43" s="5"/>
      <c r="C43" s="30">
        <v>31</v>
      </c>
      <c r="D43" s="22"/>
      <c r="E43" s="22"/>
      <c r="F43" s="22"/>
      <c r="G43" s="22"/>
      <c r="H43" s="186">
        <f t="shared" si="0"/>
        <v>0</v>
      </c>
      <c r="I43" s="6"/>
    </row>
    <row r="44" spans="2:9">
      <c r="B44" s="5"/>
      <c r="C44" s="30">
        <v>32</v>
      </c>
      <c r="D44" s="22"/>
      <c r="E44" s="22"/>
      <c r="F44" s="22"/>
      <c r="G44" s="22"/>
      <c r="H44" s="186">
        <f t="shared" si="0"/>
        <v>0</v>
      </c>
      <c r="I44" s="6"/>
    </row>
    <row r="45" spans="2:9">
      <c r="B45" s="5"/>
      <c r="C45" s="30">
        <v>33</v>
      </c>
      <c r="D45" s="22"/>
      <c r="E45" s="22"/>
      <c r="F45" s="22"/>
      <c r="G45" s="22"/>
      <c r="H45" s="186">
        <f t="shared" si="0"/>
        <v>0</v>
      </c>
      <c r="I45" s="6"/>
    </row>
    <row r="46" spans="2:9">
      <c r="B46" s="5"/>
      <c r="C46" s="30">
        <v>34</v>
      </c>
      <c r="D46" s="22"/>
      <c r="E46" s="22"/>
      <c r="F46" s="22"/>
      <c r="G46" s="22"/>
      <c r="H46" s="186">
        <f t="shared" si="0"/>
        <v>0</v>
      </c>
      <c r="I46" s="6"/>
    </row>
    <row r="47" spans="2:9">
      <c r="B47" s="5"/>
      <c r="C47" s="30">
        <v>35</v>
      </c>
      <c r="D47" s="22"/>
      <c r="E47" s="22"/>
      <c r="F47" s="22"/>
      <c r="G47" s="22"/>
      <c r="H47" s="186">
        <f t="shared" si="0"/>
        <v>0</v>
      </c>
      <c r="I47" s="6"/>
    </row>
    <row r="48" spans="2:9">
      <c r="B48" s="5"/>
      <c r="C48" s="30">
        <v>36</v>
      </c>
      <c r="D48" s="22"/>
      <c r="E48" s="22"/>
      <c r="F48" s="22"/>
      <c r="G48" s="22"/>
      <c r="H48" s="186">
        <f t="shared" si="0"/>
        <v>0</v>
      </c>
      <c r="I48" s="6"/>
    </row>
    <row r="49" spans="2:9">
      <c r="B49" s="5"/>
      <c r="C49" s="30">
        <v>37</v>
      </c>
      <c r="D49" s="22"/>
      <c r="E49" s="22"/>
      <c r="F49" s="22"/>
      <c r="G49" s="22"/>
      <c r="H49" s="186">
        <f t="shared" si="0"/>
        <v>0</v>
      </c>
      <c r="I49" s="6"/>
    </row>
    <row r="50" spans="2:9">
      <c r="B50" s="5"/>
      <c r="C50" s="30">
        <v>38</v>
      </c>
      <c r="D50" s="22"/>
      <c r="E50" s="22"/>
      <c r="F50" s="22"/>
      <c r="G50" s="22"/>
      <c r="H50" s="186">
        <f t="shared" si="0"/>
        <v>0</v>
      </c>
      <c r="I50" s="6"/>
    </row>
    <row r="51" spans="2:9" ht="13.5" thickBot="1">
      <c r="B51" s="5"/>
      <c r="C51" s="31">
        <v>39</v>
      </c>
      <c r="D51" s="25"/>
      <c r="E51" s="25"/>
      <c r="F51" s="25"/>
      <c r="G51" s="25"/>
      <c r="H51" s="280">
        <f t="shared" si="0"/>
        <v>0</v>
      </c>
      <c r="I51" s="6"/>
    </row>
    <row r="52" spans="2:9" ht="13.5" thickBot="1">
      <c r="B52" s="5"/>
      <c r="C52" s="406" t="s">
        <v>251</v>
      </c>
      <c r="D52" s="407"/>
      <c r="E52" s="407"/>
      <c r="F52" s="407"/>
      <c r="G52" s="408"/>
      <c r="H52" s="289">
        <f>SUM(H13:H51)</f>
        <v>0</v>
      </c>
      <c r="I52" s="6"/>
    </row>
    <row r="53" spans="2:9">
      <c r="B53" s="5"/>
      <c r="C53" s="1"/>
      <c r="D53" s="1"/>
      <c r="E53" s="1"/>
      <c r="F53" s="1"/>
      <c r="G53" s="1"/>
      <c r="H53" s="1"/>
      <c r="I53" s="6"/>
    </row>
    <row r="54" spans="2:9">
      <c r="B54" s="5"/>
      <c r="C54" s="1"/>
      <c r="D54" s="1"/>
      <c r="E54" s="1"/>
      <c r="F54" s="1"/>
      <c r="G54" s="1"/>
      <c r="H54" s="1"/>
      <c r="I54" s="6"/>
    </row>
    <row r="55" spans="2:9">
      <c r="B55" s="5"/>
      <c r="C55" s="1"/>
      <c r="D55" s="1"/>
      <c r="E55" s="1"/>
      <c r="F55" s="1"/>
      <c r="G55" s="1"/>
      <c r="H55" s="1"/>
      <c r="I55" s="6"/>
    </row>
    <row r="56" spans="2:9">
      <c r="B56" s="5"/>
      <c r="C56" s="1"/>
      <c r="D56" s="1"/>
      <c r="E56" s="1"/>
      <c r="F56" s="1"/>
      <c r="G56" s="1"/>
      <c r="H56" s="1"/>
      <c r="I56" s="6"/>
    </row>
    <row r="57" spans="2:9">
      <c r="B57" s="5"/>
      <c r="C57" s="1"/>
      <c r="D57" s="1"/>
      <c r="E57" s="1"/>
      <c r="F57" s="1"/>
      <c r="G57" s="1"/>
      <c r="H57" s="1"/>
      <c r="I57" s="6"/>
    </row>
    <row r="58" spans="2:9">
      <c r="B58" s="5"/>
      <c r="C58" s="1"/>
      <c r="D58" s="1"/>
      <c r="E58" s="1"/>
      <c r="F58" s="1"/>
      <c r="G58" s="1"/>
      <c r="H58" s="1"/>
      <c r="I58" s="6"/>
    </row>
    <row r="59" spans="2:9">
      <c r="B59" s="5"/>
      <c r="C59" s="1"/>
      <c r="D59" s="1"/>
      <c r="E59" s="1"/>
      <c r="F59" s="1"/>
      <c r="G59" s="1"/>
      <c r="H59" s="1"/>
      <c r="I59" s="6"/>
    </row>
    <row r="60" spans="2:9">
      <c r="B60" s="5"/>
      <c r="C60" s="1"/>
      <c r="D60" s="1"/>
      <c r="E60" s="1"/>
      <c r="F60" s="1"/>
      <c r="G60" s="1"/>
      <c r="H60" s="1"/>
      <c r="I60" s="6"/>
    </row>
    <row r="61" spans="2:9">
      <c r="B61" s="5"/>
      <c r="C61" s="1"/>
      <c r="D61" s="1"/>
      <c r="E61" s="1"/>
      <c r="F61" s="1"/>
      <c r="G61" s="1"/>
      <c r="H61" s="1"/>
      <c r="I61" s="6"/>
    </row>
    <row r="62" spans="2:9">
      <c r="B62" s="5"/>
      <c r="C62" s="1"/>
      <c r="D62" s="1"/>
      <c r="E62" s="1"/>
      <c r="F62" s="1"/>
      <c r="G62" s="1"/>
      <c r="H62" s="1"/>
      <c r="I62" s="6"/>
    </row>
    <row r="63" spans="2:9">
      <c r="B63" s="5"/>
      <c r="C63" s="1"/>
      <c r="D63" s="1"/>
      <c r="E63" s="1"/>
      <c r="F63" s="1"/>
      <c r="G63" s="1"/>
      <c r="H63" s="1"/>
      <c r="I63" s="6"/>
    </row>
    <row r="64" spans="2:9" ht="13.5" thickBot="1">
      <c r="B64" s="7"/>
      <c r="C64" s="8"/>
      <c r="D64" s="8"/>
      <c r="E64" s="8"/>
      <c r="F64" s="8"/>
      <c r="G64" s="8"/>
      <c r="H64" s="8"/>
      <c r="I64" s="9"/>
    </row>
  </sheetData>
  <mergeCells count="1">
    <mergeCell ref="C6:G6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3:K41"/>
  <sheetViews>
    <sheetView topLeftCell="A4" workbookViewId="0">
      <selection activeCell="M20" sqref="M20"/>
    </sheetView>
  </sheetViews>
  <sheetFormatPr defaultRowHeight="12.75"/>
  <cols>
    <col min="1" max="1" width="4.5703125" customWidth="1"/>
    <col min="2" max="2" width="7.85546875" customWidth="1"/>
    <col min="3" max="3" width="6" customWidth="1"/>
    <col min="4" max="4" width="7.5703125" customWidth="1"/>
    <col min="5" max="5" width="7.140625" customWidth="1"/>
    <col min="6" max="6" width="24.42578125" customWidth="1"/>
    <col min="7" max="7" width="11.28515625" customWidth="1"/>
    <col min="8" max="8" width="8.140625" customWidth="1"/>
    <col min="9" max="9" width="12.5703125" customWidth="1"/>
    <col min="10" max="10" width="23.42578125" customWidth="1"/>
    <col min="12" max="13" width="6.7109375" customWidth="1"/>
    <col min="14" max="14" width="5.140625" customWidth="1"/>
    <col min="15" max="15" width="4.42578125" customWidth="1"/>
  </cols>
  <sheetData>
    <row r="3" spans="2:11">
      <c r="B3" s="2"/>
      <c r="C3" s="49"/>
      <c r="D3" s="49"/>
      <c r="E3" s="49"/>
      <c r="F3" s="49"/>
      <c r="G3" s="2"/>
      <c r="H3" s="2"/>
      <c r="I3" s="2"/>
      <c r="J3" s="2"/>
    </row>
    <row r="4" spans="2:11">
      <c r="B4" s="2" t="s">
        <v>131</v>
      </c>
      <c r="C4" s="2" t="str">
        <f>'Kopertina '!F4</f>
        <v>Eskeld</v>
      </c>
      <c r="D4" s="2"/>
      <c r="E4" s="2"/>
      <c r="F4" s="2"/>
      <c r="G4" s="2"/>
      <c r="H4" s="2"/>
      <c r="I4" s="2"/>
      <c r="J4" s="2"/>
    </row>
    <row r="5" spans="2:11">
      <c r="B5" s="1"/>
      <c r="C5" s="1"/>
      <c r="D5" s="1"/>
      <c r="E5" s="1"/>
      <c r="F5" s="1"/>
      <c r="G5" s="2"/>
      <c r="H5" s="2"/>
      <c r="I5" s="2"/>
      <c r="J5" s="2"/>
      <c r="K5" s="2" t="s">
        <v>128</v>
      </c>
    </row>
    <row r="6" spans="2:11">
      <c r="B6" s="1"/>
      <c r="C6" s="1354" t="s">
        <v>153</v>
      </c>
      <c r="D6" s="1354"/>
      <c r="E6" s="1354"/>
      <c r="F6" s="1354"/>
      <c r="G6" s="1354"/>
      <c r="H6" s="1354"/>
      <c r="I6" s="1354"/>
      <c r="J6" s="1354"/>
    </row>
    <row r="7" spans="2:11">
      <c r="B7" s="1"/>
      <c r="C7" s="1"/>
      <c r="D7" s="1"/>
      <c r="E7" s="1"/>
      <c r="F7" s="1"/>
      <c r="G7" s="1"/>
      <c r="H7" s="1"/>
      <c r="I7" s="1"/>
      <c r="J7" s="2">
        <f>'Kopertina '!F29</f>
        <v>2012</v>
      </c>
      <c r="K7" s="19"/>
    </row>
    <row r="8" spans="2:11" ht="13.5" thickBot="1">
      <c r="B8" s="1"/>
      <c r="C8" s="1"/>
      <c r="D8" s="1"/>
      <c r="E8" s="1"/>
      <c r="F8" s="1"/>
      <c r="G8" s="1"/>
      <c r="H8" s="1"/>
      <c r="I8" s="1"/>
      <c r="J8" s="1"/>
    </row>
    <row r="9" spans="2:11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2:11">
      <c r="B10" s="5"/>
      <c r="C10" s="1"/>
      <c r="D10" s="1"/>
      <c r="E10" s="1"/>
      <c r="F10" s="1"/>
      <c r="G10" s="1"/>
      <c r="H10" s="1"/>
      <c r="I10" s="1"/>
      <c r="J10" s="1"/>
      <c r="K10" s="6"/>
    </row>
    <row r="11" spans="2:11" ht="13.5" thickBot="1">
      <c r="B11" s="5"/>
      <c r="C11" s="1"/>
      <c r="D11" s="1"/>
      <c r="E11" s="1"/>
      <c r="F11" s="1"/>
      <c r="G11" s="1"/>
      <c r="H11" s="1"/>
      <c r="I11" s="1"/>
      <c r="J11" s="1"/>
      <c r="K11" s="6"/>
    </row>
    <row r="12" spans="2:11" ht="13.5" thickBot="1">
      <c r="B12" s="5"/>
      <c r="C12" s="441" t="s">
        <v>1</v>
      </c>
      <c r="D12" s="332" t="s">
        <v>342</v>
      </c>
      <c r="E12" s="442"/>
      <c r="F12" s="443" t="s">
        <v>341</v>
      </c>
      <c r="G12" s="444" t="s">
        <v>343</v>
      </c>
      <c r="H12" s="444" t="s">
        <v>346</v>
      </c>
      <c r="I12" s="444" t="s">
        <v>343</v>
      </c>
      <c r="J12" s="444" t="s">
        <v>94</v>
      </c>
      <c r="K12" s="6"/>
    </row>
    <row r="13" spans="2:11" ht="13.5" thickBot="1">
      <c r="B13" s="5"/>
      <c r="C13" s="445"/>
      <c r="D13" s="446" t="s">
        <v>1</v>
      </c>
      <c r="E13" s="446" t="s">
        <v>218</v>
      </c>
      <c r="F13" s="447"/>
      <c r="G13" s="448" t="s">
        <v>345</v>
      </c>
      <c r="H13" s="448" t="s">
        <v>347</v>
      </c>
      <c r="I13" s="448" t="s">
        <v>344</v>
      </c>
      <c r="J13" s="448" t="s">
        <v>473</v>
      </c>
      <c r="K13" s="6"/>
    </row>
    <row r="14" spans="2:11">
      <c r="B14" s="5"/>
      <c r="C14" s="55">
        <v>1</v>
      </c>
      <c r="D14" s="206"/>
      <c r="E14" s="793"/>
      <c r="F14" s="793"/>
      <c r="G14" s="794"/>
      <c r="H14" s="794"/>
      <c r="I14" s="794">
        <f t="shared" ref="I14:I19" si="0">G14*H14</f>
        <v>0</v>
      </c>
      <c r="J14" s="795"/>
      <c r="K14" s="6"/>
    </row>
    <row r="15" spans="2:11">
      <c r="B15" s="5"/>
      <c r="C15" s="30">
        <v>2</v>
      </c>
      <c r="D15" s="22"/>
      <c r="E15" s="75"/>
      <c r="F15" s="75"/>
      <c r="G15" s="73"/>
      <c r="H15" s="73"/>
      <c r="I15" s="72">
        <f t="shared" si="0"/>
        <v>0</v>
      </c>
      <c r="J15" s="76"/>
      <c r="K15" s="6"/>
    </row>
    <row r="16" spans="2:11">
      <c r="B16" s="5"/>
      <c r="C16" s="30">
        <v>3</v>
      </c>
      <c r="D16" s="22"/>
      <c r="E16" s="75"/>
      <c r="F16" s="75"/>
      <c r="G16" s="73"/>
      <c r="H16" s="73"/>
      <c r="I16" s="72">
        <f t="shared" si="0"/>
        <v>0</v>
      </c>
      <c r="J16" s="76"/>
      <c r="K16" s="6"/>
    </row>
    <row r="17" spans="2:11">
      <c r="B17" s="5"/>
      <c r="C17" s="30">
        <v>4</v>
      </c>
      <c r="D17" s="22"/>
      <c r="E17" s="75"/>
      <c r="F17" s="22"/>
      <c r="G17" s="73"/>
      <c r="H17" s="73"/>
      <c r="I17" s="72">
        <f t="shared" si="0"/>
        <v>0</v>
      </c>
      <c r="J17" s="76"/>
      <c r="K17" s="6"/>
    </row>
    <row r="18" spans="2:11">
      <c r="B18" s="5"/>
      <c r="C18" s="30">
        <v>5</v>
      </c>
      <c r="D18" s="22"/>
      <c r="E18" s="75"/>
      <c r="F18" s="22"/>
      <c r="G18" s="73"/>
      <c r="H18" s="73"/>
      <c r="I18" s="72">
        <f t="shared" si="0"/>
        <v>0</v>
      </c>
      <c r="J18" s="71"/>
      <c r="K18" s="6"/>
    </row>
    <row r="19" spans="2:11" ht="13.5" thickBot="1">
      <c r="B19" s="5"/>
      <c r="C19" s="31">
        <v>6</v>
      </c>
      <c r="D19" s="25"/>
      <c r="E19" s="25"/>
      <c r="F19" s="25"/>
      <c r="G19" s="25"/>
      <c r="H19" s="25"/>
      <c r="I19" s="25">
        <f t="shared" si="0"/>
        <v>0</v>
      </c>
      <c r="J19" s="796"/>
      <c r="K19" s="6"/>
    </row>
    <row r="20" spans="2:11" ht="23.25" customHeight="1" thickBot="1">
      <c r="B20" s="5"/>
      <c r="C20" s="791"/>
      <c r="D20" s="1383" t="s">
        <v>730</v>
      </c>
      <c r="E20" s="1383"/>
      <c r="F20" s="1386"/>
      <c r="G20" s="792">
        <f>SUM(G14:G17)</f>
        <v>0</v>
      </c>
      <c r="H20" s="792"/>
      <c r="I20" s="792">
        <f>SUM(I14:I19)</f>
        <v>0</v>
      </c>
      <c r="J20" s="789"/>
      <c r="K20" s="6"/>
    </row>
    <row r="21" spans="2:11">
      <c r="B21" s="5"/>
      <c r="C21" s="1"/>
      <c r="D21" s="1"/>
      <c r="E21" s="1"/>
      <c r="F21" s="1"/>
      <c r="G21" s="1"/>
      <c r="H21" s="1"/>
      <c r="I21" s="1"/>
      <c r="J21" s="1"/>
      <c r="K21" s="6"/>
    </row>
    <row r="22" spans="2:11">
      <c r="B22" s="5"/>
      <c r="C22" s="1"/>
      <c r="D22" s="1"/>
      <c r="E22" s="1"/>
      <c r="F22" s="1"/>
      <c r="G22" s="1"/>
      <c r="H22" s="1"/>
      <c r="I22" s="1"/>
      <c r="J22" s="1"/>
      <c r="K22" s="6"/>
    </row>
    <row r="23" spans="2:11">
      <c r="B23" s="5"/>
      <c r="C23" s="1"/>
      <c r="D23" s="1"/>
      <c r="E23" s="1"/>
      <c r="F23" s="1"/>
      <c r="G23" s="1"/>
      <c r="H23" s="1"/>
      <c r="I23" s="1"/>
      <c r="J23" s="1"/>
      <c r="K23" s="6"/>
    </row>
    <row r="24" spans="2:11">
      <c r="B24" s="5"/>
      <c r="C24" s="1"/>
      <c r="D24" s="1"/>
      <c r="E24" s="1"/>
      <c r="F24" s="1"/>
      <c r="G24" s="1"/>
      <c r="H24" s="1"/>
      <c r="I24" s="1"/>
      <c r="J24" s="1"/>
      <c r="K24" s="6"/>
    </row>
    <row r="25" spans="2:11">
      <c r="B25" s="5"/>
      <c r="C25" s="1"/>
      <c r="D25" s="1"/>
      <c r="E25" s="1"/>
      <c r="F25" s="1"/>
      <c r="G25" s="1"/>
      <c r="H25" s="1"/>
      <c r="I25" s="1"/>
      <c r="J25" s="1"/>
      <c r="K25" s="6"/>
    </row>
    <row r="26" spans="2:11">
      <c r="B26" s="5"/>
      <c r="C26" s="1"/>
      <c r="D26" s="1"/>
      <c r="E26" s="1"/>
      <c r="F26" s="1"/>
      <c r="G26" s="1"/>
      <c r="H26" s="1"/>
      <c r="I26" s="1"/>
      <c r="J26" s="1"/>
      <c r="K26" s="6"/>
    </row>
    <row r="27" spans="2:11">
      <c r="B27" s="5"/>
      <c r="C27" s="1"/>
      <c r="D27" s="1"/>
      <c r="E27" s="1"/>
      <c r="F27" s="1"/>
      <c r="G27" s="1"/>
      <c r="H27" s="1"/>
      <c r="I27" s="1"/>
      <c r="J27" s="1"/>
      <c r="K27" s="6"/>
    </row>
    <row r="28" spans="2:11">
      <c r="B28" s="5"/>
      <c r="C28" s="1"/>
      <c r="D28" s="1"/>
      <c r="E28" s="1"/>
      <c r="F28" s="1"/>
      <c r="G28" s="1"/>
      <c r="H28" s="1"/>
      <c r="I28" s="1"/>
      <c r="J28" s="1"/>
      <c r="K28" s="6"/>
    </row>
    <row r="29" spans="2:11">
      <c r="B29" s="5"/>
      <c r="C29" s="1"/>
      <c r="D29" s="1"/>
      <c r="E29" s="1"/>
      <c r="F29" s="1"/>
      <c r="G29" s="1"/>
      <c r="H29" s="1"/>
      <c r="I29" s="1"/>
      <c r="J29" s="1"/>
      <c r="K29" s="6"/>
    </row>
    <row r="30" spans="2:11">
      <c r="B30" s="5"/>
      <c r="C30" s="1"/>
      <c r="D30" s="1"/>
      <c r="E30" s="1"/>
      <c r="F30" s="1"/>
      <c r="G30" s="1"/>
      <c r="H30" s="1"/>
      <c r="I30" s="1"/>
      <c r="J30" s="1"/>
      <c r="K30" s="6"/>
    </row>
    <row r="31" spans="2:11">
      <c r="B31" s="5"/>
      <c r="C31" s="1"/>
      <c r="D31" s="1"/>
      <c r="E31" s="1"/>
      <c r="F31" s="1"/>
      <c r="G31" s="1"/>
      <c r="H31" s="1"/>
      <c r="I31" s="1"/>
      <c r="J31" s="1"/>
      <c r="K31" s="6"/>
    </row>
    <row r="32" spans="2:11">
      <c r="B32" s="5"/>
      <c r="C32" s="1"/>
      <c r="D32" s="1"/>
      <c r="E32" s="1"/>
      <c r="F32" s="1"/>
      <c r="G32" s="1"/>
      <c r="H32" s="1"/>
      <c r="I32" s="1"/>
      <c r="J32" s="1"/>
      <c r="K32" s="6"/>
    </row>
    <row r="33" spans="2:11">
      <c r="B33" s="5"/>
      <c r="C33" s="1"/>
      <c r="D33" s="1"/>
      <c r="E33" s="1"/>
      <c r="F33" s="1"/>
      <c r="G33" s="1"/>
      <c r="H33" s="1"/>
      <c r="I33" s="1"/>
      <c r="J33" s="1"/>
      <c r="K33" s="6"/>
    </row>
    <row r="34" spans="2:11">
      <c r="B34" s="5"/>
      <c r="C34" s="1"/>
      <c r="D34" s="1"/>
      <c r="E34" s="1"/>
      <c r="F34" s="1"/>
      <c r="G34" s="1"/>
      <c r="H34" s="1"/>
      <c r="I34" s="1"/>
      <c r="J34" s="1"/>
      <c r="K34" s="6"/>
    </row>
    <row r="35" spans="2:11">
      <c r="B35" s="5"/>
      <c r="C35" s="1"/>
      <c r="D35" s="1"/>
      <c r="E35" s="1"/>
      <c r="F35" s="1"/>
      <c r="G35" s="1"/>
      <c r="H35" s="1"/>
      <c r="I35" s="1"/>
      <c r="J35" s="1"/>
      <c r="K35" s="6"/>
    </row>
    <row r="36" spans="2:11">
      <c r="B36" s="5"/>
      <c r="C36" s="1"/>
      <c r="D36" s="1"/>
      <c r="E36" s="1"/>
      <c r="F36" s="1"/>
      <c r="G36" s="1"/>
      <c r="H36" s="1"/>
      <c r="I36" s="1"/>
      <c r="J36" s="1"/>
      <c r="K36" s="6"/>
    </row>
    <row r="37" spans="2:11">
      <c r="B37" s="5"/>
      <c r="C37" s="1"/>
      <c r="D37" s="1"/>
      <c r="E37" s="1"/>
      <c r="F37" s="1"/>
      <c r="G37" s="1"/>
      <c r="H37" s="1"/>
      <c r="I37" s="1"/>
      <c r="J37" s="1"/>
      <c r="K37" s="6"/>
    </row>
    <row r="38" spans="2:11">
      <c r="B38" s="5"/>
      <c r="C38" s="1"/>
      <c r="D38" s="1"/>
      <c r="E38" s="1"/>
      <c r="F38" s="1"/>
      <c r="G38" s="1"/>
      <c r="H38" s="1"/>
      <c r="I38" s="1"/>
      <c r="J38" s="1"/>
      <c r="K38" s="6"/>
    </row>
    <row r="39" spans="2:11">
      <c r="B39" s="5"/>
      <c r="C39" s="1"/>
      <c r="D39" s="1"/>
      <c r="E39" s="1"/>
      <c r="F39" s="1"/>
      <c r="G39" s="1"/>
      <c r="H39" s="1"/>
      <c r="I39" s="1"/>
      <c r="J39" s="1"/>
      <c r="K39" s="6"/>
    </row>
    <row r="40" spans="2:11">
      <c r="B40" s="5"/>
      <c r="C40" s="1"/>
      <c r="D40" s="1"/>
      <c r="E40" s="1"/>
      <c r="F40" s="1"/>
      <c r="G40" s="1"/>
      <c r="H40" s="1"/>
      <c r="I40" s="1"/>
      <c r="J40" s="1"/>
      <c r="K40" s="6"/>
    </row>
    <row r="41" spans="2:11" ht="13.5" thickBot="1">
      <c r="B41" s="7"/>
      <c r="C41" s="8"/>
      <c r="D41" s="8"/>
      <c r="E41" s="8"/>
      <c r="F41" s="8"/>
      <c r="G41" s="8"/>
      <c r="H41" s="8"/>
      <c r="I41" s="8"/>
      <c r="J41" s="8"/>
      <c r="K41" s="9"/>
    </row>
  </sheetData>
  <mergeCells count="2">
    <mergeCell ref="C6:J6"/>
    <mergeCell ref="D20:F20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7030A0"/>
  </sheetPr>
  <dimension ref="A4:N15"/>
  <sheetViews>
    <sheetView workbookViewId="0">
      <selection activeCell="I27" sqref="I27"/>
    </sheetView>
  </sheetViews>
  <sheetFormatPr defaultRowHeight="12.75"/>
  <cols>
    <col min="1" max="1" width="3.140625" customWidth="1"/>
    <col min="2" max="2" width="11.85546875" customWidth="1"/>
    <col min="4" max="4" width="12.42578125" customWidth="1"/>
    <col min="7" max="7" width="12.42578125" customWidth="1"/>
    <col min="10" max="10" width="11.140625" customWidth="1"/>
    <col min="11" max="11" width="9" customWidth="1"/>
    <col min="12" max="12" width="8" customWidth="1"/>
    <col min="13" max="13" width="10.140625" customWidth="1"/>
  </cols>
  <sheetData>
    <row r="4" spans="1:14">
      <c r="A4" s="1"/>
      <c r="B4" s="1"/>
      <c r="C4" s="1"/>
      <c r="D4" s="449" t="s">
        <v>682</v>
      </c>
      <c r="E4" s="86"/>
      <c r="F4" s="86"/>
      <c r="G4" s="86"/>
      <c r="H4" s="86"/>
      <c r="I4" s="86"/>
      <c r="J4" s="86"/>
      <c r="K4" s="86"/>
      <c r="L4" s="86"/>
      <c r="M4" s="86"/>
      <c r="N4" s="79"/>
    </row>
    <row r="5" spans="1:14" ht="15.75">
      <c r="A5" s="2" t="s">
        <v>483</v>
      </c>
      <c r="B5" s="1"/>
      <c r="C5" s="1" t="str">
        <f>+'Kopertina '!D42</f>
        <v>Eskeld</v>
      </c>
      <c r="D5" s="86"/>
      <c r="E5" s="86"/>
      <c r="F5" s="86"/>
      <c r="G5" s="86"/>
      <c r="H5" s="86"/>
      <c r="I5" s="86"/>
      <c r="J5" s="86"/>
      <c r="K5" s="86"/>
      <c r="L5" s="86"/>
      <c r="M5" s="449"/>
      <c r="N5" s="79"/>
    </row>
    <row r="6" spans="1:14" ht="15.75">
      <c r="A6" s="2" t="s">
        <v>484</v>
      </c>
      <c r="B6" s="1"/>
      <c r="C6" s="1" t="str">
        <f>+'Kopertina '!D44</f>
        <v>K86607207N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79"/>
    </row>
    <row r="7" spans="1:14" ht="16.5" thickBot="1">
      <c r="A7" s="2" t="s">
        <v>485</v>
      </c>
      <c r="B7" s="1"/>
      <c r="C7" s="1"/>
      <c r="D7" s="86"/>
      <c r="E7" s="86"/>
      <c r="F7" s="86"/>
      <c r="G7" s="86"/>
      <c r="H7" s="86"/>
      <c r="I7" s="86"/>
      <c r="J7" s="86"/>
      <c r="K7" s="86"/>
      <c r="L7" s="86"/>
      <c r="M7" s="86"/>
      <c r="N7" s="79"/>
    </row>
    <row r="8" spans="1:14">
      <c r="A8" s="1187" t="s">
        <v>1</v>
      </c>
      <c r="B8" s="1188" t="s">
        <v>486</v>
      </c>
      <c r="C8" s="1394" t="s">
        <v>487</v>
      </c>
      <c r="D8" s="1390" t="s">
        <v>488</v>
      </c>
      <c r="E8" s="1396" t="s">
        <v>489</v>
      </c>
      <c r="F8" s="1397"/>
      <c r="G8" s="1398"/>
      <c r="H8" s="1390" t="s">
        <v>490</v>
      </c>
      <c r="I8" s="1390" t="s">
        <v>755</v>
      </c>
      <c r="J8" s="1390" t="s">
        <v>1177</v>
      </c>
      <c r="K8" s="1390" t="s">
        <v>756</v>
      </c>
      <c r="L8" s="1390" t="s">
        <v>757</v>
      </c>
      <c r="M8" s="1392" t="s">
        <v>758</v>
      </c>
      <c r="N8" s="1387" t="s">
        <v>759</v>
      </c>
    </row>
    <row r="9" spans="1:14" ht="33" customHeight="1" thickBot="1">
      <c r="A9" s="1189"/>
      <c r="B9" s="1190"/>
      <c r="C9" s="1395"/>
      <c r="D9" s="1391"/>
      <c r="E9" s="1191" t="s">
        <v>491</v>
      </c>
      <c r="F9" s="1191" t="s">
        <v>492</v>
      </c>
      <c r="G9" s="1191" t="s">
        <v>754</v>
      </c>
      <c r="H9" s="1391"/>
      <c r="I9" s="1391"/>
      <c r="J9" s="1391"/>
      <c r="K9" s="1391"/>
      <c r="L9" s="1391"/>
      <c r="M9" s="1393"/>
      <c r="N9" s="1388"/>
    </row>
    <row r="10" spans="1:14">
      <c r="A10" s="1192">
        <v>1</v>
      </c>
      <c r="B10" s="1193" t="s">
        <v>1169</v>
      </c>
      <c r="C10" s="1194" t="s">
        <v>1170</v>
      </c>
      <c r="D10" s="123">
        <v>373210</v>
      </c>
      <c r="E10" s="123"/>
      <c r="F10" s="121"/>
      <c r="G10" s="123">
        <f>D10+E10-F10</f>
        <v>373210</v>
      </c>
      <c r="H10" s="121">
        <v>50</v>
      </c>
      <c r="I10" s="121">
        <v>255773</v>
      </c>
      <c r="J10" s="121">
        <f>+D10-I10</f>
        <v>117437</v>
      </c>
      <c r="K10" s="121"/>
      <c r="L10" s="121">
        <v>0</v>
      </c>
      <c r="M10" s="121">
        <f t="shared" ref="M10:M14" si="0">I10+K10-L10</f>
        <v>255773</v>
      </c>
      <c r="N10" s="125">
        <f t="shared" ref="N10:N14" si="1">G10-M10</f>
        <v>117437</v>
      </c>
    </row>
    <row r="11" spans="1:14">
      <c r="A11" s="1192">
        <v>2</v>
      </c>
      <c r="B11" s="1197" t="s">
        <v>1171</v>
      </c>
      <c r="C11" s="1194">
        <v>2011</v>
      </c>
      <c r="D11" s="123">
        <v>276000</v>
      </c>
      <c r="E11" s="123"/>
      <c r="F11" s="121"/>
      <c r="G11" s="123">
        <f t="shared" ref="G11:G14" si="2">D11+E11-F11</f>
        <v>276000</v>
      </c>
      <c r="H11" s="121">
        <v>50</v>
      </c>
      <c r="I11" s="121">
        <v>138000</v>
      </c>
      <c r="J11" s="121">
        <f t="shared" ref="J11:J14" si="3">+D11-I11</f>
        <v>138000</v>
      </c>
      <c r="K11" s="121"/>
      <c r="L11" s="121">
        <v>0</v>
      </c>
      <c r="M11" s="121">
        <f t="shared" si="0"/>
        <v>138000</v>
      </c>
      <c r="N11" s="125">
        <f t="shared" si="1"/>
        <v>138000</v>
      </c>
    </row>
    <row r="12" spans="1:14">
      <c r="A12" s="1192">
        <v>3</v>
      </c>
      <c r="B12" s="1198" t="s">
        <v>1172</v>
      </c>
      <c r="C12" s="1194">
        <v>2011</v>
      </c>
      <c r="D12" s="123">
        <v>312480</v>
      </c>
      <c r="E12" s="123"/>
      <c r="F12" s="121"/>
      <c r="G12" s="123">
        <f t="shared" si="2"/>
        <v>312480</v>
      </c>
      <c r="H12" s="121">
        <v>50</v>
      </c>
      <c r="I12" s="121">
        <v>156240</v>
      </c>
      <c r="J12" s="121">
        <f t="shared" si="3"/>
        <v>156240</v>
      </c>
      <c r="K12" s="121"/>
      <c r="L12" s="121">
        <v>0</v>
      </c>
      <c r="M12" s="121">
        <f t="shared" si="0"/>
        <v>156240</v>
      </c>
      <c r="N12" s="125">
        <f t="shared" si="1"/>
        <v>156240</v>
      </c>
    </row>
    <row r="13" spans="1:14">
      <c r="A13" s="1192">
        <v>4</v>
      </c>
      <c r="B13" s="493" t="s">
        <v>1173</v>
      </c>
      <c r="C13" s="1194" t="s">
        <v>1174</v>
      </c>
      <c r="D13" s="123">
        <v>514000</v>
      </c>
      <c r="E13" s="123"/>
      <c r="F13" s="121"/>
      <c r="G13" s="123">
        <f t="shared" si="2"/>
        <v>514000</v>
      </c>
      <c r="H13" s="121">
        <v>50</v>
      </c>
      <c r="I13" s="121">
        <v>311826</v>
      </c>
      <c r="J13" s="121">
        <f t="shared" si="3"/>
        <v>202174</v>
      </c>
      <c r="K13" s="121"/>
      <c r="L13" s="121">
        <v>0</v>
      </c>
      <c r="M13" s="121">
        <f t="shared" si="0"/>
        <v>311826</v>
      </c>
      <c r="N13" s="125">
        <f t="shared" si="1"/>
        <v>202174</v>
      </c>
    </row>
    <row r="14" spans="1:14" ht="13.5" thickBot="1">
      <c r="A14" s="1192">
        <v>5</v>
      </c>
      <c r="B14" s="1199" t="s">
        <v>1175</v>
      </c>
      <c r="C14" s="1195" t="s">
        <v>1176</v>
      </c>
      <c r="D14" s="123">
        <v>177100</v>
      </c>
      <c r="E14" s="123"/>
      <c r="F14" s="121"/>
      <c r="G14" s="123">
        <f t="shared" si="2"/>
        <v>177100</v>
      </c>
      <c r="H14" s="121">
        <v>50</v>
      </c>
      <c r="I14" s="121">
        <v>113344</v>
      </c>
      <c r="J14" s="121">
        <f t="shared" si="3"/>
        <v>63756</v>
      </c>
      <c r="K14" s="121"/>
      <c r="L14" s="121">
        <v>0</v>
      </c>
      <c r="M14" s="121">
        <f t="shared" si="0"/>
        <v>113344</v>
      </c>
      <c r="N14" s="395">
        <f t="shared" si="1"/>
        <v>63756</v>
      </c>
    </row>
    <row r="15" spans="1:14" ht="13.5" thickBot="1">
      <c r="A15" s="1382" t="s">
        <v>380</v>
      </c>
      <c r="B15" s="1383"/>
      <c r="C15" s="1389"/>
      <c r="D15" s="1196">
        <f t="shared" ref="D15:N15" si="4">SUM(D10:D14)</f>
        <v>1652790</v>
      </c>
      <c r="E15" s="1196">
        <f t="shared" si="4"/>
        <v>0</v>
      </c>
      <c r="F15" s="1196">
        <f t="shared" si="4"/>
        <v>0</v>
      </c>
      <c r="G15" s="1196">
        <f t="shared" si="4"/>
        <v>1652790</v>
      </c>
      <c r="H15" s="1196">
        <f t="shared" si="4"/>
        <v>250</v>
      </c>
      <c r="I15" s="1196">
        <f>SUM(I10:I14)</f>
        <v>975183</v>
      </c>
      <c r="J15" s="1196">
        <f t="shared" si="4"/>
        <v>677607</v>
      </c>
      <c r="K15" s="1196">
        <f t="shared" si="4"/>
        <v>0</v>
      </c>
      <c r="L15" s="1196">
        <f t="shared" si="4"/>
        <v>0</v>
      </c>
      <c r="M15" s="1196">
        <f t="shared" si="4"/>
        <v>975183</v>
      </c>
      <c r="N15" s="1196">
        <f t="shared" si="4"/>
        <v>677607</v>
      </c>
    </row>
  </sheetData>
  <mergeCells count="11">
    <mergeCell ref="N8:N9"/>
    <mergeCell ref="A15:C15"/>
    <mergeCell ref="I8:I9"/>
    <mergeCell ref="J8:J9"/>
    <mergeCell ref="K8:K9"/>
    <mergeCell ref="L8:L9"/>
    <mergeCell ref="M8:M9"/>
    <mergeCell ref="C8:C9"/>
    <mergeCell ref="D8:D9"/>
    <mergeCell ref="E8:G8"/>
    <mergeCell ref="H8:H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8"/>
  <sheetViews>
    <sheetView topLeftCell="A46" workbookViewId="0">
      <selection activeCell="H22" sqref="H22"/>
    </sheetView>
  </sheetViews>
  <sheetFormatPr defaultRowHeight="12.75"/>
  <cols>
    <col min="1" max="1" width="4.42578125" customWidth="1"/>
    <col min="2" max="2" width="5.42578125" customWidth="1"/>
    <col min="3" max="3" width="45.5703125" customWidth="1"/>
    <col min="4" max="4" width="8.28515625" customWidth="1"/>
    <col min="5" max="5" width="14.42578125" style="79" customWidth="1"/>
    <col min="6" max="6" width="15" style="79" customWidth="1"/>
    <col min="7" max="7" width="4.85546875" customWidth="1"/>
    <col min="8" max="8" width="10.28515625" bestFit="1" customWidth="1"/>
  </cols>
  <sheetData>
    <row r="1" spans="1:6" ht="15">
      <c r="A1" s="10"/>
      <c r="B1" s="10"/>
      <c r="C1" s="10"/>
      <c r="D1" s="10"/>
      <c r="E1" s="591" t="str">
        <f>'Kopertina '!F4</f>
        <v>Eskeld</v>
      </c>
      <c r="F1" s="82"/>
    </row>
    <row r="2" spans="1:6" ht="15.75">
      <c r="A2" s="10"/>
      <c r="B2" s="1331" t="s">
        <v>0</v>
      </c>
      <c r="C2" s="1331"/>
      <c r="D2" s="1331"/>
      <c r="E2" s="1331"/>
      <c r="F2" s="83">
        <f>'Kopertina '!F29</f>
        <v>2012</v>
      </c>
    </row>
    <row r="3" spans="1:6" ht="15" thickBot="1">
      <c r="A3" s="10"/>
      <c r="B3" s="10"/>
      <c r="C3" s="10"/>
      <c r="D3" s="10"/>
      <c r="E3" s="82"/>
      <c r="F3" s="82"/>
    </row>
    <row r="4" spans="1:6" ht="18.75" customHeight="1">
      <c r="A4" s="10"/>
      <c r="B4" s="1336" t="s">
        <v>1</v>
      </c>
      <c r="C4" s="1336" t="s">
        <v>2</v>
      </c>
      <c r="D4" s="1332" t="s">
        <v>705</v>
      </c>
      <c r="E4" s="1334" t="s">
        <v>722</v>
      </c>
      <c r="F4" s="1334" t="s">
        <v>704</v>
      </c>
    </row>
    <row r="5" spans="1:6" ht="19.5" customHeight="1" thickBot="1">
      <c r="A5" s="10"/>
      <c r="B5" s="1337"/>
      <c r="C5" s="1337"/>
      <c r="D5" s="1333"/>
      <c r="E5" s="1335"/>
      <c r="F5" s="1335"/>
    </row>
    <row r="6" spans="1:6" ht="18.75" customHeight="1">
      <c r="A6" s="10"/>
      <c r="B6" s="291" t="s">
        <v>4</v>
      </c>
      <c r="C6" s="292" t="s">
        <v>5</v>
      </c>
      <c r="D6" s="302"/>
      <c r="E6" s="304">
        <f>E7+E10+E11+E21+E30+E32+E31</f>
        <v>28475246.447893053</v>
      </c>
      <c r="F6" s="678">
        <f>F7+F10+F11+F21+F30+F32+F31</f>
        <v>18524335</v>
      </c>
    </row>
    <row r="7" spans="1:6" ht="15">
      <c r="A7" s="10"/>
      <c r="B7" s="12"/>
      <c r="C7" s="630" t="s">
        <v>8</v>
      </c>
      <c r="D7" s="631"/>
      <c r="E7" s="632">
        <f>E8+E9</f>
        <v>343442.0393</v>
      </c>
      <c r="F7" s="635">
        <f>F8+F9</f>
        <v>3567737</v>
      </c>
    </row>
    <row r="8" spans="1:6" ht="15">
      <c r="A8" s="10"/>
      <c r="B8" s="12"/>
      <c r="C8" s="11" t="s">
        <v>7</v>
      </c>
      <c r="D8" s="297" t="s">
        <v>116</v>
      </c>
      <c r="E8" s="305">
        <f>+'A1'!F12</f>
        <v>315499</v>
      </c>
      <c r="F8" s="306"/>
    </row>
    <row r="9" spans="1:6" ht="15">
      <c r="A9" s="10"/>
      <c r="B9" s="12"/>
      <c r="C9" s="11" t="s">
        <v>6</v>
      </c>
      <c r="D9" s="297" t="s">
        <v>117</v>
      </c>
      <c r="E9" s="319">
        <f>+'A2'!I35</f>
        <v>27943.039300000004</v>
      </c>
      <c r="F9" s="327">
        <v>3567737</v>
      </c>
    </row>
    <row r="10" spans="1:6" ht="14.25">
      <c r="A10" s="10"/>
      <c r="B10" s="12"/>
      <c r="C10" s="633" t="s">
        <v>9</v>
      </c>
      <c r="D10" s="634"/>
      <c r="E10" s="632"/>
      <c r="F10" s="635"/>
    </row>
    <row r="11" spans="1:6" ht="14.25">
      <c r="A11" s="10"/>
      <c r="B11" s="12"/>
      <c r="C11" s="633" t="s">
        <v>13</v>
      </c>
      <c r="D11" s="634"/>
      <c r="E11" s="632">
        <f>E12+E13+E14+E15+E16+E17+E18+E19</f>
        <v>26388977.838593055</v>
      </c>
      <c r="F11" s="635">
        <f>F12+F13+F14+F15+F16+F17+F18+F19</f>
        <v>14278992</v>
      </c>
    </row>
    <row r="12" spans="1:6" ht="15">
      <c r="A12" s="10"/>
      <c r="B12" s="12"/>
      <c r="C12" s="11" t="s">
        <v>257</v>
      </c>
      <c r="D12" s="1264" t="s">
        <v>118</v>
      </c>
      <c r="E12" s="319">
        <f>+'C1'!G39</f>
        <v>0</v>
      </c>
      <c r="F12" s="327"/>
    </row>
    <row r="13" spans="1:6" ht="15">
      <c r="A13" s="10"/>
      <c r="B13" s="12"/>
      <c r="C13" s="11" t="s">
        <v>258</v>
      </c>
      <c r="D13" s="297" t="s">
        <v>119</v>
      </c>
      <c r="E13" s="319">
        <f>+'C2'!G22</f>
        <v>0</v>
      </c>
      <c r="F13" s="327"/>
    </row>
    <row r="14" spans="1:6" ht="15">
      <c r="A14" s="10"/>
      <c r="B14" s="12"/>
      <c r="C14" s="11" t="s">
        <v>12</v>
      </c>
      <c r="D14" s="297" t="s">
        <v>120</v>
      </c>
      <c r="E14" s="319">
        <f>+IF('C3'!F36&gt;0,0,-'C3'!F36)</f>
        <v>127387.97179305571</v>
      </c>
      <c r="F14" s="327"/>
    </row>
    <row r="15" spans="1:6" ht="15">
      <c r="A15" s="10"/>
      <c r="B15" s="12"/>
      <c r="C15" s="11" t="s">
        <v>11</v>
      </c>
      <c r="D15" s="298" t="s">
        <v>130</v>
      </c>
      <c r="E15" s="319">
        <f>+IF('P -Ardh Analiz '!V26&gt;0,0,'P -Ardh Analiz '!U27)</f>
        <v>754</v>
      </c>
      <c r="F15" s="327">
        <v>754</v>
      </c>
    </row>
    <row r="16" spans="1:6" ht="14.25">
      <c r="A16" s="10"/>
      <c r="B16" s="12"/>
      <c r="C16" s="11" t="s">
        <v>10</v>
      </c>
      <c r="D16" s="299" t="s">
        <v>458</v>
      </c>
      <c r="E16" s="319">
        <v>0</v>
      </c>
      <c r="F16" s="327"/>
    </row>
    <row r="17" spans="1:9" ht="15">
      <c r="A17" s="10"/>
      <c r="B17" s="12"/>
      <c r="C17" s="11" t="s">
        <v>1266</v>
      </c>
      <c r="D17" s="299" t="s">
        <v>458</v>
      </c>
      <c r="E17" s="319">
        <f>+'L4'!F25</f>
        <v>17820597.866799999</v>
      </c>
      <c r="F17" s="327">
        <v>5538500</v>
      </c>
    </row>
    <row r="18" spans="1:9" ht="14.25">
      <c r="A18" s="10"/>
      <c r="B18" s="12"/>
      <c r="C18" s="11" t="s">
        <v>1100</v>
      </c>
      <c r="D18" s="299" t="s">
        <v>458</v>
      </c>
      <c r="E18" s="319">
        <f>+F18-299500</f>
        <v>8440238</v>
      </c>
      <c r="F18" s="327">
        <v>8739738</v>
      </c>
      <c r="I18" s="700"/>
    </row>
    <row r="19" spans="1:9" ht="15">
      <c r="A19" s="10"/>
      <c r="B19" s="12"/>
      <c r="C19" s="11"/>
      <c r="D19" s="297"/>
      <c r="E19" s="305"/>
      <c r="F19" s="306"/>
    </row>
    <row r="20" spans="1:9" ht="15">
      <c r="A20" s="10"/>
      <c r="B20" s="12"/>
      <c r="C20" s="11"/>
      <c r="D20" s="297"/>
      <c r="E20" s="305"/>
      <c r="F20" s="306"/>
    </row>
    <row r="21" spans="1:9" ht="15">
      <c r="A21" s="10"/>
      <c r="B21" s="12"/>
      <c r="C21" s="630" t="s">
        <v>14</v>
      </c>
      <c r="D21" s="631"/>
      <c r="E21" s="636">
        <f>E22+E23+E24+E25+E26+E27+E28+E29</f>
        <v>677607</v>
      </c>
      <c r="F21" s="637">
        <f>F22+F23+F24+F25+F26+F27+F28+F29</f>
        <v>677606</v>
      </c>
    </row>
    <row r="22" spans="1:9" ht="15">
      <c r="A22" s="10"/>
      <c r="B22" s="12"/>
      <c r="C22" s="11" t="s">
        <v>15</v>
      </c>
      <c r="D22" s="298" t="s">
        <v>792</v>
      </c>
      <c r="E22" s="305">
        <f>+'D1'!I41</f>
        <v>0</v>
      </c>
      <c r="F22" s="306">
        <v>0</v>
      </c>
    </row>
    <row r="23" spans="1:9" ht="15">
      <c r="A23" s="10"/>
      <c r="B23" s="12"/>
      <c r="C23" s="11" t="s">
        <v>286</v>
      </c>
      <c r="D23" s="298" t="s">
        <v>793</v>
      </c>
      <c r="E23" s="305">
        <f>+'D2'!H44</f>
        <v>0</v>
      </c>
      <c r="F23" s="306">
        <v>0</v>
      </c>
    </row>
    <row r="24" spans="1:9" ht="15">
      <c r="A24" s="10"/>
      <c r="B24" s="12"/>
      <c r="C24" s="11" t="s">
        <v>16</v>
      </c>
      <c r="D24" s="298" t="s">
        <v>794</v>
      </c>
      <c r="E24" s="305">
        <f>+'D3'!H43</f>
        <v>0</v>
      </c>
      <c r="F24" s="306"/>
    </row>
    <row r="25" spans="1:9" ht="15">
      <c r="A25" s="10"/>
      <c r="B25" s="12"/>
      <c r="C25" s="11" t="s">
        <v>17</v>
      </c>
      <c r="D25" s="298" t="s">
        <v>795</v>
      </c>
      <c r="E25" s="305">
        <f>+'D4'!H52</f>
        <v>0</v>
      </c>
      <c r="F25" s="306"/>
    </row>
    <row r="26" spans="1:9" ht="15">
      <c r="A26" s="10"/>
      <c r="B26" s="12"/>
      <c r="C26" s="11" t="s">
        <v>283</v>
      </c>
      <c r="D26" s="1298" t="s">
        <v>796</v>
      </c>
      <c r="E26" s="319">
        <f>+'D5-'!I20</f>
        <v>0</v>
      </c>
      <c r="F26" s="327"/>
      <c r="H26" s="156"/>
      <c r="I26" s="156"/>
    </row>
    <row r="27" spans="1:9" ht="15">
      <c r="A27" s="10"/>
      <c r="B27" s="12"/>
      <c r="C27" s="290" t="s">
        <v>752</v>
      </c>
      <c r="D27" s="1298" t="s">
        <v>791</v>
      </c>
      <c r="E27" s="319">
        <f>+'D 6'!N15</f>
        <v>677607</v>
      </c>
      <c r="F27" s="327">
        <v>677606</v>
      </c>
      <c r="H27" s="1204">
        <f>+F27-E27</f>
        <v>-1</v>
      </c>
      <c r="I27" s="156"/>
    </row>
    <row r="28" spans="1:9" ht="15">
      <c r="A28" s="10"/>
      <c r="B28" s="12"/>
      <c r="C28" s="11" t="s">
        <v>740</v>
      </c>
      <c r="D28" s="1264"/>
      <c r="E28" s="319">
        <f>E23*0.2</f>
        <v>0</v>
      </c>
      <c r="F28" s="327">
        <f>F23*0.2</f>
        <v>0</v>
      </c>
      <c r="H28" s="1205"/>
      <c r="I28" s="156"/>
    </row>
    <row r="29" spans="1:9" ht="15">
      <c r="A29" s="10"/>
      <c r="B29" s="12"/>
      <c r="C29" s="11"/>
      <c r="D29" s="297"/>
      <c r="E29" s="305"/>
      <c r="F29" s="306"/>
      <c r="H29" s="1205"/>
      <c r="I29" s="156"/>
    </row>
    <row r="30" spans="1:9" ht="15">
      <c r="A30" s="10"/>
      <c r="B30" s="12"/>
      <c r="C30" s="630" t="s">
        <v>261</v>
      </c>
      <c r="D30" s="631"/>
      <c r="E30" s="636">
        <v>0</v>
      </c>
      <c r="F30" s="637">
        <v>0</v>
      </c>
      <c r="H30" s="1205"/>
      <c r="I30" s="156"/>
    </row>
    <row r="31" spans="1:9" ht="15">
      <c r="A31" s="10"/>
      <c r="B31" s="12"/>
      <c r="C31" s="638" t="s">
        <v>18</v>
      </c>
      <c r="D31" s="631" t="s">
        <v>124</v>
      </c>
      <c r="E31" s="632"/>
      <c r="F31" s="635"/>
      <c r="H31" s="1205"/>
      <c r="I31" s="156"/>
    </row>
    <row r="32" spans="1:9" ht="15">
      <c r="A32" s="10"/>
      <c r="B32" s="12"/>
      <c r="C32" s="638" t="s">
        <v>19</v>
      </c>
      <c r="D32" s="631" t="s">
        <v>125</v>
      </c>
      <c r="E32" s="632">
        <f>+'E2'!G50</f>
        <v>1065219.57</v>
      </c>
      <c r="F32" s="635"/>
      <c r="H32" s="1205"/>
      <c r="I32" s="156"/>
    </row>
    <row r="33" spans="1:9" ht="18.75" customHeight="1">
      <c r="A33" s="10"/>
      <c r="B33" s="293" t="s">
        <v>20</v>
      </c>
      <c r="C33" s="294" t="s">
        <v>21</v>
      </c>
      <c r="D33" s="300"/>
      <c r="E33" s="307">
        <f>E34+E38+E45+E50+E51+E46</f>
        <v>59703847.761402786</v>
      </c>
      <c r="F33" s="308">
        <f>F34+F38+F45+F50+F51</f>
        <v>59307199.768333331</v>
      </c>
      <c r="H33" s="1205"/>
      <c r="I33" s="156"/>
    </row>
    <row r="34" spans="1:9" ht="15">
      <c r="A34" s="10"/>
      <c r="B34" s="12"/>
      <c r="C34" s="630" t="s">
        <v>262</v>
      </c>
      <c r="D34" s="631"/>
      <c r="E34" s="632">
        <f>E35+E36+E37</f>
        <v>0</v>
      </c>
      <c r="F34" s="635">
        <f>F35+F36+F37</f>
        <v>0</v>
      </c>
      <c r="H34" s="1205"/>
      <c r="I34" s="156"/>
    </row>
    <row r="35" spans="1:9" ht="14.25">
      <c r="A35" s="10"/>
      <c r="B35" s="12"/>
      <c r="C35" s="15" t="s">
        <v>263</v>
      </c>
      <c r="D35" s="299" t="s">
        <v>458</v>
      </c>
      <c r="E35" s="305"/>
      <c r="F35" s="306"/>
      <c r="H35" s="1205"/>
      <c r="I35" s="156"/>
    </row>
    <row r="36" spans="1:9" ht="14.25">
      <c r="A36" s="10"/>
      <c r="B36" s="12"/>
      <c r="C36" s="15" t="s">
        <v>264</v>
      </c>
      <c r="D36" s="299" t="s">
        <v>458</v>
      </c>
      <c r="E36" s="305"/>
      <c r="F36" s="306"/>
      <c r="H36" s="1205"/>
      <c r="I36" s="156"/>
    </row>
    <row r="37" spans="1:9" ht="14.25">
      <c r="A37" s="10"/>
      <c r="B37" s="12"/>
      <c r="C37" s="15" t="s">
        <v>265</v>
      </c>
      <c r="D37" s="299" t="s">
        <v>458</v>
      </c>
      <c r="E37" s="305"/>
      <c r="F37" s="306"/>
      <c r="H37" s="1205"/>
      <c r="I37" s="156"/>
    </row>
    <row r="38" spans="1:9" ht="15">
      <c r="A38" s="10"/>
      <c r="B38" s="12"/>
      <c r="C38" s="579" t="s">
        <v>22</v>
      </c>
      <c r="D38" s="580"/>
      <c r="E38" s="581">
        <f>E39+E40+E41+E42+E44+E43</f>
        <v>59703847.761402786</v>
      </c>
      <c r="F38" s="679">
        <f>F39+F40+F41+F42+F44+F43</f>
        <v>59307199.768333331</v>
      </c>
      <c r="H38" s="1204">
        <f>+F38-E38+S!Q53-'Ardh e shp - natyres'!E22</f>
        <v>-1.0710209608078003E-8</v>
      </c>
      <c r="I38" s="1206"/>
    </row>
    <row r="39" spans="1:9" ht="15">
      <c r="A39" s="10"/>
      <c r="B39" s="12"/>
      <c r="C39" s="11" t="s">
        <v>23</v>
      </c>
      <c r="D39" s="297" t="s">
        <v>159</v>
      </c>
      <c r="E39" s="319">
        <f>U!O9</f>
        <v>0</v>
      </c>
      <c r="F39" s="327">
        <f>U!K8</f>
        <v>0</v>
      </c>
      <c r="H39" s="156"/>
      <c r="I39" s="156"/>
    </row>
    <row r="40" spans="1:9" ht="15">
      <c r="A40" s="10"/>
      <c r="B40" s="12"/>
      <c r="C40" s="11" t="s">
        <v>24</v>
      </c>
      <c r="D40" s="297" t="s">
        <v>159</v>
      </c>
      <c r="E40" s="319">
        <f>U!O13</f>
        <v>49042081.071666665</v>
      </c>
      <c r="F40" s="327">
        <f>U!K13</f>
        <v>49454199.399999999</v>
      </c>
      <c r="H40" s="156"/>
      <c r="I40" s="156"/>
    </row>
    <row r="41" spans="1:9" ht="15">
      <c r="A41" s="10"/>
      <c r="B41" s="12"/>
      <c r="C41" s="11" t="s">
        <v>25</v>
      </c>
      <c r="D41" s="297" t="s">
        <v>159</v>
      </c>
      <c r="E41" s="319">
        <f>U!O30</f>
        <v>1827591.4746666667</v>
      </c>
      <c r="F41" s="327">
        <f>U!K30</f>
        <v>1216232.56</v>
      </c>
      <c r="H41" s="156"/>
      <c r="I41" s="156"/>
    </row>
    <row r="42" spans="1:9" ht="15">
      <c r="A42" s="10"/>
      <c r="B42" s="12"/>
      <c r="C42" s="11" t="s">
        <v>800</v>
      </c>
      <c r="D42" s="297" t="s">
        <v>159</v>
      </c>
      <c r="E42" s="319">
        <f>U!O34</f>
        <v>2852391.7439999995</v>
      </c>
      <c r="F42" s="327">
        <f>U!K34</f>
        <v>2950750.0799999996</v>
      </c>
    </row>
    <row r="43" spans="1:9" ht="15">
      <c r="A43" s="10"/>
      <c r="B43" s="12"/>
      <c r="C43" s="11" t="s">
        <v>801</v>
      </c>
      <c r="D43" s="297" t="s">
        <v>159</v>
      </c>
      <c r="E43" s="319">
        <f>U!O58</f>
        <v>5981783.471069444</v>
      </c>
      <c r="F43" s="327">
        <f>U!K58</f>
        <v>5686017.7283333335</v>
      </c>
    </row>
    <row r="44" spans="1:9" ht="15">
      <c r="A44" s="10"/>
      <c r="B44" s="12"/>
      <c r="C44" s="11" t="s">
        <v>753</v>
      </c>
      <c r="D44" s="297" t="s">
        <v>159</v>
      </c>
      <c r="E44" s="305">
        <f>U!O59</f>
        <v>0</v>
      </c>
      <c r="F44" s="306">
        <f>U!K59</f>
        <v>0</v>
      </c>
    </row>
    <row r="45" spans="1:9" ht="15">
      <c r="A45" s="10"/>
      <c r="B45" s="12"/>
      <c r="C45" s="630" t="s">
        <v>26</v>
      </c>
      <c r="D45" s="639" t="s">
        <v>458</v>
      </c>
      <c r="E45" s="632"/>
      <c r="F45" s="635"/>
    </row>
    <row r="46" spans="1:9" ht="15">
      <c r="A46" s="10"/>
      <c r="B46" s="12"/>
      <c r="C46" s="630" t="s">
        <v>27</v>
      </c>
      <c r="D46" s="639" t="s">
        <v>458</v>
      </c>
      <c r="E46" s="632">
        <f>E47+E48+E49</f>
        <v>0</v>
      </c>
      <c r="F46" s="635">
        <f>F47+F48+F49</f>
        <v>0</v>
      </c>
    </row>
    <row r="47" spans="1:9" ht="14.25">
      <c r="A47" s="10"/>
      <c r="B47" s="12"/>
      <c r="C47" s="15" t="s">
        <v>266</v>
      </c>
      <c r="D47" s="299" t="s">
        <v>458</v>
      </c>
      <c r="E47" s="305"/>
      <c r="F47" s="306"/>
    </row>
    <row r="48" spans="1:9" ht="14.25">
      <c r="A48" s="10"/>
      <c r="B48" s="12"/>
      <c r="C48" s="15" t="s">
        <v>267</v>
      </c>
      <c r="D48" s="299" t="s">
        <v>458</v>
      </c>
      <c r="E48" s="305"/>
      <c r="F48" s="306"/>
    </row>
    <row r="49" spans="1:6" ht="14.25">
      <c r="A49" s="10"/>
      <c r="B49" s="12"/>
      <c r="C49" s="15" t="s">
        <v>268</v>
      </c>
      <c r="D49" s="299" t="s">
        <v>458</v>
      </c>
      <c r="E49" s="305"/>
      <c r="F49" s="306"/>
    </row>
    <row r="50" spans="1:6" ht="15">
      <c r="A50" s="10"/>
      <c r="B50" s="12"/>
      <c r="C50" s="630" t="s">
        <v>28</v>
      </c>
      <c r="D50" s="639" t="s">
        <v>458</v>
      </c>
      <c r="E50" s="632"/>
      <c r="F50" s="635"/>
    </row>
    <row r="51" spans="1:6" ht="15">
      <c r="A51" s="10"/>
      <c r="B51" s="12"/>
      <c r="C51" s="630" t="s">
        <v>29</v>
      </c>
      <c r="D51" s="639" t="s">
        <v>458</v>
      </c>
      <c r="E51" s="632"/>
      <c r="F51" s="635"/>
    </row>
    <row r="52" spans="1:6" ht="14.25">
      <c r="A52" s="10"/>
      <c r="B52" s="12"/>
      <c r="C52" s="11"/>
      <c r="D52" s="301"/>
      <c r="E52" s="305"/>
      <c r="F52" s="306"/>
    </row>
    <row r="53" spans="1:6" ht="21.75" customHeight="1">
      <c r="A53" s="10"/>
      <c r="B53" s="295"/>
      <c r="C53" s="294" t="s">
        <v>95</v>
      </c>
      <c r="D53" s="296"/>
      <c r="E53" s="307">
        <f>E6+E33</f>
        <v>88179094.209295839</v>
      </c>
      <c r="F53" s="308">
        <f>F6+F33</f>
        <v>77831534.768333331</v>
      </c>
    </row>
    <row r="54" spans="1:6" ht="15" thickBot="1">
      <c r="A54" s="10"/>
      <c r="B54" s="13"/>
      <c r="C54" s="14"/>
      <c r="D54" s="303"/>
      <c r="E54" s="309"/>
      <c r="F54" s="310"/>
    </row>
    <row r="57" spans="1:6">
      <c r="B57" s="1330"/>
      <c r="C57" s="1330"/>
      <c r="D57" s="1330"/>
      <c r="E57" s="1330"/>
      <c r="F57" s="1330"/>
    </row>
    <row r="58" spans="1:6">
      <c r="A58" s="1330"/>
      <c r="B58" s="1330"/>
      <c r="C58" s="1330"/>
      <c r="D58" s="1330"/>
      <c r="E58" s="1330"/>
      <c r="F58" s="1330"/>
    </row>
  </sheetData>
  <mergeCells count="8">
    <mergeCell ref="B57:F57"/>
    <mergeCell ref="A58:F58"/>
    <mergeCell ref="B2:E2"/>
    <mergeCell ref="D4:D5"/>
    <mergeCell ref="E4:E5"/>
    <mergeCell ref="F4:F5"/>
    <mergeCell ref="C4:C5"/>
    <mergeCell ref="B4:B5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B1:J28"/>
  <sheetViews>
    <sheetView topLeftCell="A7" workbookViewId="0">
      <selection activeCell="M8" sqref="M8"/>
    </sheetView>
  </sheetViews>
  <sheetFormatPr defaultRowHeight="12.75"/>
  <cols>
    <col min="1" max="2" width="5.42578125" customWidth="1"/>
    <col min="7" max="7" width="16.42578125" customWidth="1"/>
  </cols>
  <sheetData>
    <row r="1" spans="2:10" ht="13.5" thickBot="1"/>
    <row r="2" spans="2:10" ht="24.75" customHeight="1">
      <c r="B2" s="764"/>
      <c r="C2" s="765"/>
      <c r="D2" s="765"/>
      <c r="E2" s="765"/>
      <c r="F2" s="765"/>
      <c r="G2" s="765"/>
      <c r="H2" s="765"/>
      <c r="I2" s="766"/>
      <c r="J2" s="1"/>
    </row>
    <row r="3" spans="2:10" ht="24.75" customHeight="1">
      <c r="B3" s="767"/>
      <c r="C3" s="768"/>
      <c r="D3" s="768"/>
      <c r="E3" s="768"/>
      <c r="F3" s="768"/>
      <c r="G3" s="768"/>
      <c r="H3" s="768"/>
      <c r="I3" s="769"/>
      <c r="J3" s="1"/>
    </row>
    <row r="4" spans="2:10" ht="24.75" customHeight="1">
      <c r="B4" s="767"/>
      <c r="C4" s="768"/>
      <c r="D4" s="768"/>
      <c r="E4" s="768"/>
      <c r="F4" s="768"/>
      <c r="G4" s="768"/>
      <c r="H4" s="768"/>
      <c r="I4" s="769"/>
      <c r="J4" s="1"/>
    </row>
    <row r="5" spans="2:10" ht="24.75" customHeight="1">
      <c r="B5" s="767"/>
      <c r="C5" s="1399" t="s">
        <v>687</v>
      </c>
      <c r="D5" s="1399"/>
      <c r="E5" s="1399"/>
      <c r="F5" s="1399"/>
      <c r="G5" s="1399"/>
      <c r="H5" s="1399"/>
      <c r="I5" s="769"/>
      <c r="J5" s="1"/>
    </row>
    <row r="6" spans="2:10" ht="24.75" customHeight="1">
      <c r="B6" s="767"/>
      <c r="C6" s="768"/>
      <c r="D6" s="768"/>
      <c r="E6" s="768"/>
      <c r="F6" s="768"/>
      <c r="G6" s="770"/>
      <c r="H6" s="768"/>
      <c r="I6" s="769"/>
      <c r="J6" s="1"/>
    </row>
    <row r="7" spans="2:10" ht="24.75" customHeight="1">
      <c r="B7" s="767"/>
      <c r="C7" s="768"/>
      <c r="D7" s="768"/>
      <c r="E7" s="768"/>
      <c r="F7" s="768"/>
      <c r="G7" s="770"/>
      <c r="H7" s="768"/>
      <c r="I7" s="769"/>
      <c r="J7" s="1"/>
    </row>
    <row r="8" spans="2:10" ht="24.75" customHeight="1">
      <c r="B8" s="767"/>
      <c r="C8" s="1400"/>
      <c r="D8" s="1400"/>
      <c r="E8" s="1400"/>
      <c r="F8" s="768"/>
      <c r="G8" s="788"/>
      <c r="H8" s="768"/>
      <c r="I8" s="769"/>
      <c r="J8" s="1"/>
    </row>
    <row r="9" spans="2:10" ht="24.75" customHeight="1">
      <c r="B9" s="767"/>
      <c r="C9" s="768"/>
      <c r="D9" s="768"/>
      <c r="E9" s="768"/>
      <c r="F9" s="768"/>
      <c r="G9" s="770"/>
      <c r="H9" s="768"/>
      <c r="I9" s="769"/>
      <c r="J9" s="1"/>
    </row>
    <row r="10" spans="2:10" ht="24.75" customHeight="1">
      <c r="B10" s="767"/>
      <c r="C10" s="1400"/>
      <c r="D10" s="1400"/>
      <c r="E10" s="1400"/>
      <c r="F10" s="768"/>
      <c r="G10" s="788"/>
      <c r="H10" s="768"/>
      <c r="I10" s="769"/>
      <c r="J10" s="1"/>
    </row>
    <row r="11" spans="2:10" ht="24.75" customHeight="1">
      <c r="B11" s="767"/>
      <c r="C11" s="768"/>
      <c r="D11" s="768"/>
      <c r="E11" s="768"/>
      <c r="F11" s="768"/>
      <c r="G11" s="770"/>
      <c r="H11" s="768"/>
      <c r="I11" s="769"/>
      <c r="J11" s="1"/>
    </row>
    <row r="12" spans="2:10" ht="24.75" customHeight="1">
      <c r="B12" s="767"/>
      <c r="C12" s="1400"/>
      <c r="D12" s="1400"/>
      <c r="E12" s="1400"/>
      <c r="F12" s="768"/>
      <c r="G12" s="788"/>
      <c r="H12" s="768"/>
      <c r="I12" s="769"/>
      <c r="J12" s="1"/>
    </row>
    <row r="13" spans="2:10" ht="24.75" customHeight="1" thickBot="1">
      <c r="B13" s="767"/>
      <c r="C13" s="768"/>
      <c r="D13" s="768"/>
      <c r="E13" s="768"/>
      <c r="F13" s="768"/>
      <c r="G13" s="770"/>
      <c r="H13" s="768"/>
      <c r="I13" s="769"/>
      <c r="J13" s="1"/>
    </row>
    <row r="14" spans="2:10" ht="24.75" customHeight="1" thickBot="1">
      <c r="B14" s="767"/>
      <c r="C14" s="1401" t="s">
        <v>690</v>
      </c>
      <c r="D14" s="1402"/>
      <c r="E14" s="1403"/>
      <c r="F14" s="756"/>
      <c r="G14" s="790">
        <f>+G8+G10+G12</f>
        <v>0</v>
      </c>
      <c r="H14" s="768"/>
      <c r="I14" s="769"/>
      <c r="J14" s="1"/>
    </row>
    <row r="15" spans="2:10" ht="24.75" customHeight="1">
      <c r="B15" s="767"/>
      <c r="C15" s="768"/>
      <c r="D15" s="768"/>
      <c r="E15" s="768"/>
      <c r="F15" s="768"/>
      <c r="G15" s="770"/>
      <c r="H15" s="768"/>
      <c r="I15" s="769"/>
      <c r="J15" s="1"/>
    </row>
    <row r="16" spans="2:10" ht="24.75" customHeight="1">
      <c r="B16" s="767"/>
      <c r="C16" s="768"/>
      <c r="D16" s="768"/>
      <c r="E16" s="768"/>
      <c r="F16" s="768"/>
      <c r="G16" s="770"/>
      <c r="H16" s="768"/>
      <c r="I16" s="769"/>
      <c r="J16" s="1"/>
    </row>
    <row r="17" spans="2:10" ht="24.75" customHeight="1">
      <c r="B17" s="767"/>
      <c r="C17" s="768"/>
      <c r="D17" s="768"/>
      <c r="E17" s="768"/>
      <c r="F17" s="768"/>
      <c r="G17" s="770"/>
      <c r="H17" s="768"/>
      <c r="I17" s="769"/>
      <c r="J17" s="1"/>
    </row>
    <row r="18" spans="2:10" ht="24.75" customHeight="1">
      <c r="B18" s="767"/>
      <c r="C18" s="768"/>
      <c r="D18" s="768"/>
      <c r="E18" s="768"/>
      <c r="F18" s="768"/>
      <c r="G18" s="770"/>
      <c r="H18" s="768"/>
      <c r="I18" s="769"/>
      <c r="J18" s="1"/>
    </row>
    <row r="19" spans="2:10" ht="24.75" customHeight="1">
      <c r="B19" s="767"/>
      <c r="C19" s="768"/>
      <c r="D19" s="768"/>
      <c r="E19" s="768"/>
      <c r="F19" s="768"/>
      <c r="G19" s="770"/>
      <c r="H19" s="768"/>
      <c r="I19" s="769"/>
      <c r="J19" s="1"/>
    </row>
    <row r="20" spans="2:10" ht="24.75" customHeight="1">
      <c r="B20" s="767"/>
      <c r="C20" s="768"/>
      <c r="D20" s="768"/>
      <c r="E20" s="768"/>
      <c r="F20" s="768"/>
      <c r="G20" s="770"/>
      <c r="H20" s="768"/>
      <c r="I20" s="769"/>
      <c r="J20" s="1"/>
    </row>
    <row r="21" spans="2:10" ht="24.75" customHeight="1">
      <c r="B21" s="767"/>
      <c r="C21" s="768"/>
      <c r="D21" s="768"/>
      <c r="E21" s="768"/>
      <c r="F21" s="768"/>
      <c r="G21" s="770"/>
      <c r="H21" s="768"/>
      <c r="I21" s="769"/>
      <c r="J21" s="1"/>
    </row>
    <row r="22" spans="2:10" ht="24.75" customHeight="1">
      <c r="B22" s="767"/>
      <c r="C22" s="768"/>
      <c r="D22" s="768"/>
      <c r="E22" s="768"/>
      <c r="F22" s="768"/>
      <c r="G22" s="768"/>
      <c r="H22" s="768"/>
      <c r="I22" s="769"/>
      <c r="J22" s="1"/>
    </row>
    <row r="23" spans="2:10" ht="24.75" customHeight="1">
      <c r="B23" s="767"/>
      <c r="C23" s="768"/>
      <c r="D23" s="768"/>
      <c r="E23" s="768"/>
      <c r="F23" s="768"/>
      <c r="G23" s="768"/>
      <c r="H23" s="768"/>
      <c r="I23" s="769"/>
      <c r="J23" s="1"/>
    </row>
    <row r="24" spans="2:10" ht="24.75" customHeight="1">
      <c r="B24" s="767"/>
      <c r="C24" s="768"/>
      <c r="D24" s="768"/>
      <c r="E24" s="768"/>
      <c r="F24" s="768"/>
      <c r="G24" s="768"/>
      <c r="H24" s="768"/>
      <c r="I24" s="769"/>
      <c r="J24" s="1"/>
    </row>
    <row r="25" spans="2:10" ht="24.75" customHeight="1">
      <c r="B25" s="767"/>
      <c r="C25" s="768"/>
      <c r="D25" s="768"/>
      <c r="E25" s="768"/>
      <c r="F25" s="768"/>
      <c r="G25" s="768"/>
      <c r="H25" s="768"/>
      <c r="I25" s="769"/>
      <c r="J25" s="1"/>
    </row>
    <row r="26" spans="2:10" ht="24.75" customHeight="1">
      <c r="B26" s="767"/>
      <c r="C26" s="768"/>
      <c r="D26" s="768"/>
      <c r="E26" s="768"/>
      <c r="F26" s="768"/>
      <c r="G26" s="768"/>
      <c r="H26" s="768"/>
      <c r="I26" s="769"/>
      <c r="J26" s="1"/>
    </row>
    <row r="27" spans="2:10" ht="24.75" customHeight="1">
      <c r="B27" s="767"/>
      <c r="C27" s="768"/>
      <c r="D27" s="768"/>
      <c r="E27" s="768"/>
      <c r="F27" s="768"/>
      <c r="G27" s="768"/>
      <c r="H27" s="768"/>
      <c r="I27" s="769"/>
      <c r="J27" s="1"/>
    </row>
    <row r="28" spans="2:10" ht="24.75" customHeight="1" thickBot="1">
      <c r="B28" s="772"/>
      <c r="C28" s="773"/>
      <c r="D28" s="773"/>
      <c r="E28" s="773"/>
      <c r="F28" s="773"/>
      <c r="G28" s="773"/>
      <c r="H28" s="773"/>
      <c r="I28" s="774"/>
      <c r="J28" s="1"/>
    </row>
  </sheetData>
  <mergeCells count="5">
    <mergeCell ref="C5:H5"/>
    <mergeCell ref="C8:E8"/>
    <mergeCell ref="C10:E10"/>
    <mergeCell ref="C12:E12"/>
    <mergeCell ref="C14:E1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K15" sqref="K15"/>
    </sheetView>
  </sheetViews>
  <sheetFormatPr defaultRowHeight="12.75"/>
  <cols>
    <col min="2" max="7" width="12.140625" customWidth="1"/>
    <col min="10" max="10" width="18" bestFit="1" customWidth="1"/>
  </cols>
  <sheetData>
    <row r="1" spans="1:10" ht="23.25" customHeight="1" thickBot="1"/>
    <row r="2" spans="1:10" ht="23.25" customHeight="1">
      <c r="A2" s="775"/>
      <c r="B2" s="776"/>
      <c r="C2" s="776"/>
      <c r="D2" s="776"/>
      <c r="E2" s="776"/>
      <c r="F2" s="776"/>
      <c r="G2" s="776"/>
      <c r="H2" s="777"/>
    </row>
    <row r="3" spans="1:10" ht="23.25" customHeight="1">
      <c r="A3" s="778"/>
      <c r="B3" s="779"/>
      <c r="C3" s="779"/>
      <c r="D3" s="779"/>
      <c r="E3" s="779"/>
      <c r="F3" s="779"/>
      <c r="G3" s="779"/>
      <c r="H3" s="780"/>
    </row>
    <row r="4" spans="1:10" ht="23.25" customHeight="1">
      <c r="A4" s="778"/>
      <c r="B4" s="1323" t="s">
        <v>1267</v>
      </c>
      <c r="C4" s="1323"/>
      <c r="D4" s="1323"/>
      <c r="E4" s="1323"/>
      <c r="F4" s="1323"/>
      <c r="G4" s="1323"/>
      <c r="H4" s="780"/>
    </row>
    <row r="5" spans="1:10" ht="23.25" customHeight="1">
      <c r="A5" s="778"/>
      <c r="B5" s="779"/>
      <c r="C5" s="779"/>
      <c r="D5" s="779"/>
      <c r="E5" s="779"/>
      <c r="F5" s="779"/>
      <c r="G5" s="779"/>
      <c r="H5" s="780"/>
    </row>
    <row r="6" spans="1:10" ht="23.25" customHeight="1">
      <c r="A6" s="778"/>
      <c r="B6" s="779"/>
      <c r="C6" s="779"/>
      <c r="D6" s="779"/>
      <c r="E6" s="779"/>
      <c r="F6" s="779"/>
      <c r="G6" s="779"/>
      <c r="H6" s="780"/>
    </row>
    <row r="7" spans="1:10" ht="23.25" customHeight="1">
      <c r="A7" s="778"/>
      <c r="B7" s="779"/>
      <c r="C7" s="779"/>
      <c r="D7" s="779"/>
      <c r="E7" s="779"/>
      <c r="F7" s="779"/>
      <c r="G7" s="779"/>
      <c r="H7" s="780"/>
    </row>
    <row r="8" spans="1:10" ht="23.25" customHeight="1">
      <c r="A8" s="778"/>
      <c r="B8" s="779"/>
      <c r="C8" s="779"/>
      <c r="D8" s="779"/>
      <c r="E8" s="779"/>
      <c r="F8" s="779"/>
      <c r="G8" s="779"/>
      <c r="H8" s="780"/>
    </row>
    <row r="9" spans="1:10" ht="23.25" customHeight="1">
      <c r="A9" s="778"/>
      <c r="B9" s="779"/>
      <c r="C9" s="779"/>
      <c r="D9" s="779"/>
      <c r="E9" s="779"/>
      <c r="F9" s="779"/>
      <c r="G9" s="779"/>
      <c r="H9" s="780"/>
    </row>
    <row r="10" spans="1:10" ht="23.25" customHeight="1" thickBot="1">
      <c r="A10" s="778"/>
      <c r="B10" s="779"/>
      <c r="C10" s="779"/>
      <c r="D10" s="779"/>
      <c r="E10" s="779"/>
      <c r="F10" s="781"/>
      <c r="G10" s="779"/>
      <c r="H10" s="780"/>
    </row>
    <row r="11" spans="1:10" ht="23.25" customHeight="1" thickBot="1">
      <c r="A11" s="778"/>
      <c r="B11" s="1408" t="s">
        <v>1270</v>
      </c>
      <c r="C11" s="1409"/>
      <c r="D11" s="1410"/>
      <c r="E11" s="779"/>
      <c r="F11" s="782">
        <f>+'AKTIVI '!F17</f>
        <v>5538500</v>
      </c>
      <c r="G11" s="779"/>
      <c r="H11" s="780"/>
    </row>
    <row r="12" spans="1:10" ht="23.25" customHeight="1" thickBot="1">
      <c r="A12" s="778"/>
      <c r="B12" s="779"/>
      <c r="C12" s="779"/>
      <c r="D12" s="779"/>
      <c r="E12" s="779"/>
      <c r="F12" s="781"/>
      <c r="G12" s="779"/>
      <c r="H12" s="780"/>
    </row>
    <row r="13" spans="1:10" ht="23.25" customHeight="1" thickBot="1">
      <c r="A13" s="778"/>
      <c r="B13" s="1408" t="s">
        <v>689</v>
      </c>
      <c r="C13" s="1411"/>
      <c r="D13" s="1412"/>
      <c r="E13" s="779"/>
      <c r="F13" s="782">
        <f>+F14+F15</f>
        <v>17831345.976799998</v>
      </c>
      <c r="G13" s="779"/>
      <c r="H13" s="780"/>
      <c r="J13" s="1167"/>
    </row>
    <row r="14" spans="1:10" ht="23.25" customHeight="1">
      <c r="A14" s="778"/>
      <c r="B14" s="783"/>
      <c r="C14" s="1404" t="s">
        <v>1271</v>
      </c>
      <c r="D14" s="1405"/>
      <c r="E14" s="779"/>
      <c r="F14" s="1297">
        <f>39521.52*139.59</f>
        <v>5516808.9767999994</v>
      </c>
      <c r="G14" s="779"/>
      <c r="H14" s="780"/>
      <c r="J14" s="1167">
        <f>+F14-'PASIVI '!E55</f>
        <v>5516809.3153666602</v>
      </c>
    </row>
    <row r="15" spans="1:10" ht="23.25" customHeight="1" thickBot="1">
      <c r="A15" s="778"/>
      <c r="B15" s="783"/>
      <c r="C15" s="1406" t="s">
        <v>1268</v>
      </c>
      <c r="D15" s="1407"/>
      <c r="E15" s="779"/>
      <c r="F15" s="161">
        <v>12314537</v>
      </c>
      <c r="G15" s="779"/>
      <c r="H15" s="780"/>
      <c r="J15" s="1167">
        <f>+J14/139.59</f>
        <v>39521.522425436349</v>
      </c>
    </row>
    <row r="16" spans="1:10" ht="23.25" customHeight="1">
      <c r="A16" s="778"/>
      <c r="B16" s="783"/>
      <c r="C16" s="779"/>
      <c r="D16" s="779"/>
      <c r="E16" s="779"/>
      <c r="F16" s="781"/>
      <c r="G16" s="779"/>
      <c r="H16" s="780"/>
      <c r="J16" s="1167"/>
    </row>
    <row r="17" spans="1:8" ht="23.25" customHeight="1" thickBot="1">
      <c r="A17" s="778"/>
      <c r="B17" s="779"/>
      <c r="C17" s="779"/>
      <c r="D17" s="779"/>
      <c r="E17" s="779"/>
      <c r="F17" s="781"/>
      <c r="G17" s="779"/>
      <c r="H17" s="780"/>
    </row>
    <row r="18" spans="1:8" ht="23.25" customHeight="1" thickBot="1">
      <c r="A18" s="778"/>
      <c r="B18" s="1408" t="s">
        <v>1260</v>
      </c>
      <c r="C18" s="1411"/>
      <c r="D18" s="1412"/>
      <c r="E18" s="779"/>
      <c r="F18" s="782">
        <f>+F19+F20</f>
        <v>5549248.1100000003</v>
      </c>
      <c r="G18" s="779"/>
      <c r="H18" s="780"/>
    </row>
    <row r="19" spans="1:8" ht="23.25" customHeight="1">
      <c r="A19" s="778"/>
      <c r="B19" s="779"/>
      <c r="C19" s="1404" t="s">
        <v>1269</v>
      </c>
      <c r="D19" s="1405"/>
      <c r="E19" s="779"/>
      <c r="F19" s="1284">
        <f>5329*139.59</f>
        <v>743875.11</v>
      </c>
      <c r="G19" s="779"/>
      <c r="H19" s="780"/>
    </row>
    <row r="20" spans="1:8" ht="23.25" customHeight="1" thickBot="1">
      <c r="A20" s="778"/>
      <c r="B20" s="779"/>
      <c r="C20" s="1406" t="s">
        <v>1262</v>
      </c>
      <c r="D20" s="1407"/>
      <c r="E20" s="779"/>
      <c r="F20" s="161">
        <v>4805373</v>
      </c>
      <c r="G20" s="779"/>
      <c r="H20" s="780"/>
    </row>
    <row r="21" spans="1:8" ht="23.25" customHeight="1">
      <c r="A21" s="778"/>
      <c r="B21" s="779"/>
      <c r="C21" s="779"/>
      <c r="D21" s="779"/>
      <c r="E21" s="779"/>
      <c r="F21" s="781"/>
      <c r="G21" s="779"/>
      <c r="H21" s="780"/>
    </row>
    <row r="22" spans="1:8" ht="23.25" customHeight="1">
      <c r="A22" s="778"/>
      <c r="B22" s="779"/>
      <c r="C22" s="779"/>
      <c r="D22" s="779"/>
      <c r="E22" s="779"/>
      <c r="F22" s="781"/>
      <c r="G22" s="779"/>
      <c r="H22" s="780"/>
    </row>
    <row r="23" spans="1:8" ht="23.25" customHeight="1">
      <c r="A23" s="778"/>
      <c r="B23" s="779"/>
      <c r="C23" s="779"/>
      <c r="D23" s="779"/>
      <c r="E23" s="779"/>
      <c r="F23" s="781"/>
      <c r="G23" s="779"/>
      <c r="H23" s="780"/>
    </row>
    <row r="24" spans="1:8" ht="23.25" customHeight="1" thickBot="1">
      <c r="A24" s="778"/>
      <c r="B24" s="779"/>
      <c r="C24" s="779"/>
      <c r="D24" s="779"/>
      <c r="E24" s="779"/>
      <c r="F24" s="781"/>
      <c r="G24" s="779"/>
      <c r="H24" s="780"/>
    </row>
    <row r="25" spans="1:8" ht="23.25" customHeight="1" thickBot="1">
      <c r="A25" s="778"/>
      <c r="B25" s="1382" t="s">
        <v>651</v>
      </c>
      <c r="C25" s="1383"/>
      <c r="D25" s="1389"/>
      <c r="E25" s="784" t="s">
        <v>344</v>
      </c>
      <c r="F25" s="771">
        <f>+F11+F13-F18</f>
        <v>17820597.866799999</v>
      </c>
      <c r="G25" s="779"/>
      <c r="H25" s="780"/>
    </row>
    <row r="26" spans="1:8" ht="23.25" customHeight="1">
      <c r="A26" s="778"/>
      <c r="B26" s="779"/>
      <c r="C26" s="779"/>
      <c r="D26" s="779"/>
      <c r="E26" s="779"/>
      <c r="F26" s="781"/>
      <c r="G26" s="779"/>
      <c r="H26" s="780"/>
    </row>
    <row r="27" spans="1:8" ht="23.25" customHeight="1" thickBot="1">
      <c r="A27" s="785"/>
      <c r="B27" s="786"/>
      <c r="C27" s="786"/>
      <c r="D27" s="786"/>
      <c r="E27" s="786"/>
      <c r="F27" s="786"/>
      <c r="G27" s="786"/>
      <c r="H27" s="787"/>
    </row>
  </sheetData>
  <mergeCells count="9">
    <mergeCell ref="C19:D19"/>
    <mergeCell ref="C20:D20"/>
    <mergeCell ref="B25:D25"/>
    <mergeCell ref="B4:G4"/>
    <mergeCell ref="B11:D11"/>
    <mergeCell ref="B13:D13"/>
    <mergeCell ref="C14:D14"/>
    <mergeCell ref="C15:D15"/>
    <mergeCell ref="B18:D1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B2:I30"/>
  <sheetViews>
    <sheetView topLeftCell="A12" workbookViewId="0">
      <selection activeCell="M23" sqref="M23"/>
    </sheetView>
  </sheetViews>
  <sheetFormatPr defaultRowHeight="12.75"/>
  <cols>
    <col min="1" max="1" width="2.5703125" customWidth="1"/>
    <col min="2" max="2" width="8" customWidth="1"/>
    <col min="3" max="5" width="12.42578125" customWidth="1"/>
    <col min="6" max="6" width="8" customWidth="1"/>
    <col min="7" max="7" width="15" customWidth="1"/>
  </cols>
  <sheetData>
    <row r="2" spans="2:9" ht="13.5" thickBot="1"/>
    <row r="3" spans="2:9" ht="24.75" customHeight="1">
      <c r="B3" s="775"/>
      <c r="C3" s="776"/>
      <c r="D3" s="776"/>
      <c r="E3" s="776"/>
      <c r="F3" s="776"/>
      <c r="G3" s="776"/>
      <c r="H3" s="776"/>
      <c r="I3" s="777"/>
    </row>
    <row r="4" spans="2:9" ht="24.75" customHeight="1">
      <c r="B4" s="778"/>
      <c r="C4" s="779"/>
      <c r="D4" s="779"/>
      <c r="E4" s="779"/>
      <c r="F4" s="779"/>
      <c r="G4" s="779"/>
      <c r="H4" s="779"/>
      <c r="I4" s="780"/>
    </row>
    <row r="5" spans="2:9" ht="24.75" customHeight="1">
      <c r="B5" s="778"/>
      <c r="C5" s="779"/>
      <c r="D5" s="779"/>
      <c r="E5" s="779"/>
      <c r="F5" s="779"/>
      <c r="G5" s="779"/>
      <c r="H5" s="779"/>
      <c r="I5" s="780"/>
    </row>
    <row r="6" spans="2:9" ht="24.75" customHeight="1">
      <c r="B6" s="778"/>
      <c r="C6" s="1323" t="s">
        <v>706</v>
      </c>
      <c r="D6" s="1323"/>
      <c r="E6" s="1323"/>
      <c r="F6" s="1323"/>
      <c r="G6" s="1323"/>
      <c r="H6" s="1323"/>
      <c r="I6" s="780"/>
    </row>
    <row r="7" spans="2:9" ht="24.75" customHeight="1">
      <c r="B7" s="778"/>
      <c r="C7" s="779"/>
      <c r="D7" s="779"/>
      <c r="E7" s="779"/>
      <c r="F7" s="779"/>
      <c r="G7" s="779"/>
      <c r="H7" s="779"/>
      <c r="I7" s="780"/>
    </row>
    <row r="8" spans="2:9" ht="24.75" customHeight="1">
      <c r="B8" s="778"/>
      <c r="C8" s="779"/>
      <c r="D8" s="779"/>
      <c r="E8" s="779"/>
      <c r="F8" s="779"/>
      <c r="G8" s="779"/>
      <c r="H8" s="779"/>
      <c r="I8" s="780"/>
    </row>
    <row r="9" spans="2:9" ht="24.75" customHeight="1">
      <c r="B9" s="778"/>
      <c r="C9" s="779"/>
      <c r="D9" s="779"/>
      <c r="E9" s="779"/>
      <c r="F9" s="779"/>
      <c r="G9" s="779"/>
      <c r="H9" s="779"/>
      <c r="I9" s="780"/>
    </row>
    <row r="10" spans="2:9" ht="24.75" customHeight="1">
      <c r="B10" s="778"/>
      <c r="C10" s="779"/>
      <c r="D10" s="779"/>
      <c r="E10" s="779"/>
      <c r="F10" s="779"/>
      <c r="G10" s="779"/>
      <c r="H10" s="779"/>
      <c r="I10" s="780"/>
    </row>
    <row r="11" spans="2:9" ht="24.75" customHeight="1">
      <c r="B11" s="778"/>
      <c r="C11" s="779"/>
      <c r="D11" s="779"/>
      <c r="E11" s="779"/>
      <c r="F11" s="779"/>
      <c r="G11" s="779"/>
      <c r="H11" s="779"/>
      <c r="I11" s="780"/>
    </row>
    <row r="12" spans="2:9" ht="24.75" customHeight="1" thickBot="1">
      <c r="B12" s="778"/>
      <c r="C12" s="779"/>
      <c r="D12" s="779"/>
      <c r="E12" s="779"/>
      <c r="F12" s="779"/>
      <c r="G12" s="781"/>
      <c r="H12" s="779"/>
      <c r="I12" s="780"/>
    </row>
    <row r="13" spans="2:9" ht="24.75" customHeight="1" thickBot="1">
      <c r="B13" s="778"/>
      <c r="C13" s="1408" t="s">
        <v>688</v>
      </c>
      <c r="D13" s="1409"/>
      <c r="E13" s="1410"/>
      <c r="F13" s="779"/>
      <c r="G13" s="782">
        <v>1000000</v>
      </c>
      <c r="H13" s="779"/>
      <c r="I13" s="780"/>
    </row>
    <row r="14" spans="2:9" ht="24.75" customHeight="1" thickBot="1">
      <c r="B14" s="778"/>
      <c r="C14" s="779"/>
      <c r="D14" s="779"/>
      <c r="E14" s="779"/>
      <c r="F14" s="779"/>
      <c r="G14" s="781"/>
      <c r="H14" s="779"/>
      <c r="I14" s="780"/>
    </row>
    <row r="15" spans="2:9" ht="24.75" customHeight="1" thickBot="1">
      <c r="B15" s="778"/>
      <c r="C15" s="1413" t="s">
        <v>689</v>
      </c>
      <c r="D15" s="1411"/>
      <c r="E15" s="1412"/>
      <c r="F15" s="779"/>
      <c r="G15" s="782">
        <f>+G16+G17</f>
        <v>4447893</v>
      </c>
      <c r="H15" s="779"/>
      <c r="I15" s="780"/>
    </row>
    <row r="16" spans="2:9" ht="24.75" customHeight="1" thickBot="1">
      <c r="B16" s="778"/>
      <c r="C16" s="1414" t="s">
        <v>1258</v>
      </c>
      <c r="D16" s="1415"/>
      <c r="E16" s="1416"/>
      <c r="F16" s="779"/>
      <c r="G16" s="1284">
        <f>15900*139.59</f>
        <v>2219481</v>
      </c>
      <c r="H16" s="779"/>
      <c r="I16" s="780"/>
    </row>
    <row r="17" spans="2:9" ht="24.75" customHeight="1" thickBot="1">
      <c r="B17" s="778"/>
      <c r="C17" s="1414" t="s">
        <v>1259</v>
      </c>
      <c r="D17" s="1415"/>
      <c r="E17" s="1416"/>
      <c r="F17" s="779"/>
      <c r="G17" s="161">
        <v>2228412</v>
      </c>
      <c r="H17" s="779"/>
      <c r="I17" s="780"/>
    </row>
    <row r="18" spans="2:9" ht="24.75" customHeight="1">
      <c r="B18" s="778"/>
      <c r="C18" s="783"/>
      <c r="D18" s="779"/>
      <c r="E18" s="779"/>
      <c r="F18" s="779"/>
      <c r="G18" s="781"/>
      <c r="H18" s="779"/>
      <c r="I18" s="780"/>
    </row>
    <row r="19" spans="2:9" ht="24.75" customHeight="1" thickBot="1">
      <c r="B19" s="778"/>
      <c r="C19" s="779"/>
      <c r="D19" s="779"/>
      <c r="E19" s="779"/>
      <c r="F19" s="779"/>
      <c r="G19" s="781"/>
      <c r="H19" s="779"/>
      <c r="I19" s="780"/>
    </row>
    <row r="20" spans="2:9" ht="24.75" customHeight="1" thickBot="1">
      <c r="B20" s="778"/>
      <c r="C20" s="1413" t="s">
        <v>1260</v>
      </c>
      <c r="D20" s="1411"/>
      <c r="E20" s="1412"/>
      <c r="F20" s="779"/>
      <c r="G20" s="782">
        <f>+G21+G22</f>
        <v>12967781.939999999</v>
      </c>
      <c r="H20" s="779"/>
      <c r="I20" s="780"/>
    </row>
    <row r="21" spans="2:9" ht="24.75" customHeight="1" thickBot="1">
      <c r="B21" s="778"/>
      <c r="C21" s="1414" t="s">
        <v>1265</v>
      </c>
      <c r="D21" s="1415"/>
      <c r="E21" s="1416"/>
      <c r="F21" s="779"/>
      <c r="G21" s="1284">
        <f>79166*139.59</f>
        <v>11050781.939999999</v>
      </c>
      <c r="H21" s="779"/>
      <c r="I21" s="780"/>
    </row>
    <row r="22" spans="2:9" ht="24.75" customHeight="1" thickBot="1">
      <c r="B22" s="778"/>
      <c r="C22" s="1414" t="s">
        <v>1262</v>
      </c>
      <c r="D22" s="1415"/>
      <c r="E22" s="1416"/>
      <c r="F22" s="779"/>
      <c r="G22" s="161">
        <v>1917000</v>
      </c>
      <c r="H22" s="779"/>
      <c r="I22" s="780"/>
    </row>
    <row r="23" spans="2:9" ht="24.75" customHeight="1">
      <c r="B23" s="778"/>
      <c r="C23" s="779"/>
      <c r="D23" s="779"/>
      <c r="E23" s="779"/>
      <c r="F23" s="779"/>
      <c r="G23" s="781"/>
      <c r="H23" s="779"/>
      <c r="I23" s="780"/>
    </row>
    <row r="24" spans="2:9" ht="24.75" customHeight="1">
      <c r="B24" s="778"/>
      <c r="C24" s="779"/>
      <c r="D24" s="779"/>
      <c r="E24" s="779"/>
      <c r="F24" s="779"/>
      <c r="G24" s="781"/>
      <c r="H24" s="779"/>
      <c r="I24" s="780"/>
    </row>
    <row r="25" spans="2:9" ht="24.75" customHeight="1">
      <c r="B25" s="778"/>
      <c r="C25" s="779"/>
      <c r="D25" s="779"/>
      <c r="E25" s="779"/>
      <c r="F25" s="779"/>
      <c r="G25" s="781"/>
      <c r="H25" s="779"/>
      <c r="I25" s="780"/>
    </row>
    <row r="26" spans="2:9" ht="24.75" customHeight="1" thickBot="1">
      <c r="B26" s="778"/>
      <c r="C26" s="779"/>
      <c r="D26" s="779"/>
      <c r="E26" s="779"/>
      <c r="F26" s="779"/>
      <c r="G26" s="781"/>
      <c r="H26" s="779"/>
      <c r="I26" s="780"/>
    </row>
    <row r="27" spans="2:9" ht="24.75" customHeight="1" thickBot="1">
      <c r="B27" s="778"/>
      <c r="C27" s="1382" t="s">
        <v>651</v>
      </c>
      <c r="D27" s="1383"/>
      <c r="E27" s="1389"/>
      <c r="F27" s="784" t="s">
        <v>344</v>
      </c>
      <c r="G27" s="771">
        <f>+G20-G15-G13</f>
        <v>7519888.9399999995</v>
      </c>
      <c r="H27" s="779"/>
      <c r="I27" s="780"/>
    </row>
    <row r="28" spans="2:9" ht="24.75" customHeight="1">
      <c r="B28" s="778"/>
      <c r="C28" s="779"/>
      <c r="D28" s="779"/>
      <c r="E28" s="779"/>
      <c r="F28" s="779"/>
      <c r="G28" s="781"/>
      <c r="H28" s="779"/>
      <c r="I28" s="780"/>
    </row>
    <row r="29" spans="2:9" ht="24.75" customHeight="1" thickBot="1">
      <c r="B29" s="785"/>
      <c r="C29" s="786"/>
      <c r="D29" s="786"/>
      <c r="E29" s="786"/>
      <c r="F29" s="786"/>
      <c r="G29" s="786"/>
      <c r="H29" s="786"/>
      <c r="I29" s="787"/>
    </row>
    <row r="30" spans="2:9" ht="18.75" customHeight="1"/>
  </sheetData>
  <mergeCells count="9">
    <mergeCell ref="C6:H6"/>
    <mergeCell ref="C13:E13"/>
    <mergeCell ref="C15:E15"/>
    <mergeCell ref="C22:E22"/>
    <mergeCell ref="C27:E27"/>
    <mergeCell ref="C17:E17"/>
    <mergeCell ref="C16:E16"/>
    <mergeCell ref="C20:E20"/>
    <mergeCell ref="C21:E2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B3:K54"/>
  <sheetViews>
    <sheetView topLeftCell="A10" workbookViewId="0">
      <selection activeCell="S48" sqref="S48"/>
    </sheetView>
  </sheetViews>
  <sheetFormatPr defaultRowHeight="12.75"/>
  <cols>
    <col min="1" max="1" width="4.5703125" customWidth="1"/>
    <col min="2" max="2" width="7.42578125" customWidth="1"/>
    <col min="5" max="5" width="7.42578125" customWidth="1"/>
    <col min="6" max="6" width="11" customWidth="1"/>
    <col min="7" max="7" width="10.85546875" customWidth="1"/>
    <col min="8" max="9" width="7.5703125" customWidth="1"/>
    <col min="10" max="10" width="5.42578125" customWidth="1"/>
    <col min="11" max="11" width="4.28515625" customWidth="1"/>
    <col min="12" max="12" width="5.140625" customWidth="1"/>
    <col min="13" max="13" width="4.140625" customWidth="1"/>
  </cols>
  <sheetData>
    <row r="3" spans="2:11">
      <c r="B3" s="2"/>
      <c r="C3" s="49"/>
      <c r="D3" s="49"/>
      <c r="E3" s="49"/>
      <c r="F3" s="49"/>
      <c r="G3" s="2"/>
      <c r="H3" s="2"/>
    </row>
    <row r="4" spans="2:11">
      <c r="B4" s="2" t="s">
        <v>131</v>
      </c>
      <c r="C4" s="2" t="str">
        <f>'Kopertina '!F4</f>
        <v>Eskeld</v>
      </c>
      <c r="D4" s="2"/>
      <c r="E4" s="2"/>
      <c r="F4" s="2"/>
      <c r="G4" s="2"/>
      <c r="H4" s="2"/>
    </row>
    <row r="5" spans="2:11">
      <c r="B5" s="1"/>
      <c r="C5" s="1"/>
      <c r="D5" s="1"/>
      <c r="E5" s="1"/>
      <c r="F5" s="1"/>
      <c r="G5" s="2"/>
      <c r="H5" s="2"/>
      <c r="I5" s="2"/>
      <c r="J5" s="2"/>
      <c r="K5" s="2" t="s">
        <v>138</v>
      </c>
    </row>
    <row r="6" spans="2:11">
      <c r="B6" s="1"/>
      <c r="C6" s="1354" t="s">
        <v>154</v>
      </c>
      <c r="D6" s="1354"/>
      <c r="E6" s="1354"/>
      <c r="F6" s="1354"/>
      <c r="G6" s="1354"/>
      <c r="H6" s="1354"/>
      <c r="I6" s="1354"/>
    </row>
    <row r="7" spans="2:11">
      <c r="B7" s="1"/>
      <c r="C7" s="1"/>
      <c r="D7" s="1"/>
      <c r="E7" s="1"/>
      <c r="F7" s="1"/>
      <c r="G7" s="1"/>
      <c r="H7" s="2" t="s">
        <v>132</v>
      </c>
      <c r="I7" s="19"/>
      <c r="J7" s="19">
        <f>'Kopertina '!F29</f>
        <v>2012</v>
      </c>
    </row>
    <row r="8" spans="2:11" ht="13.5" thickBot="1">
      <c r="B8" s="1"/>
      <c r="C8" s="1"/>
      <c r="D8" s="1"/>
      <c r="E8" s="1"/>
      <c r="F8" s="1"/>
      <c r="G8" s="1"/>
      <c r="H8" s="1"/>
    </row>
    <row r="9" spans="2:11">
      <c r="B9" s="16"/>
      <c r="C9" s="17"/>
      <c r="D9" s="17"/>
      <c r="E9" s="17"/>
      <c r="F9" s="17"/>
      <c r="G9" s="17"/>
      <c r="H9" s="17"/>
      <c r="I9" s="17"/>
      <c r="J9" s="17"/>
      <c r="K9" s="18"/>
    </row>
    <row r="10" spans="2:11">
      <c r="B10" s="5"/>
      <c r="C10" s="1"/>
      <c r="D10" s="1"/>
      <c r="E10" s="1"/>
      <c r="F10" s="1"/>
      <c r="G10" s="1"/>
      <c r="H10" s="1"/>
      <c r="I10" s="1"/>
      <c r="J10" s="1"/>
      <c r="K10" s="6"/>
    </row>
    <row r="11" spans="2:11">
      <c r="B11" s="5"/>
      <c r="C11" s="1419" t="s">
        <v>777</v>
      </c>
      <c r="D11" s="1419"/>
      <c r="E11" s="1419"/>
      <c r="F11" s="1419"/>
      <c r="G11" s="757">
        <f>G14+G15+G16+G17+G18</f>
        <v>0</v>
      </c>
      <c r="H11" s="1"/>
      <c r="I11" s="1"/>
      <c r="J11" s="1"/>
      <c r="K11" s="6"/>
    </row>
    <row r="12" spans="2:11">
      <c r="B12" s="5"/>
      <c r="C12" s="1"/>
      <c r="D12" s="1" t="s">
        <v>474</v>
      </c>
      <c r="E12" s="1"/>
      <c r="F12" s="1"/>
      <c r="G12" s="86"/>
      <c r="H12" s="1"/>
      <c r="I12" s="1"/>
      <c r="J12" s="1"/>
      <c r="K12" s="6"/>
    </row>
    <row r="13" spans="2:11">
      <c r="B13" s="5"/>
      <c r="C13" s="1"/>
      <c r="D13" s="1"/>
      <c r="E13" s="1"/>
      <c r="F13" s="1"/>
      <c r="G13" s="86"/>
      <c r="H13" s="1"/>
      <c r="I13" s="1"/>
      <c r="J13" s="1"/>
      <c r="K13" s="6"/>
    </row>
    <row r="14" spans="2:11">
      <c r="B14" s="5"/>
      <c r="C14" s="1" t="s">
        <v>475</v>
      </c>
      <c r="D14" s="1"/>
      <c r="E14" s="1"/>
      <c r="F14" s="1"/>
      <c r="G14" s="87"/>
      <c r="H14" s="1"/>
      <c r="I14" s="1"/>
      <c r="J14" s="1"/>
      <c r="K14" s="6"/>
    </row>
    <row r="15" spans="2:11">
      <c r="B15" s="5"/>
      <c r="C15" s="1" t="s">
        <v>233</v>
      </c>
      <c r="D15" s="1"/>
      <c r="E15" s="1"/>
      <c r="F15" s="1"/>
      <c r="G15" s="87">
        <v>0</v>
      </c>
      <c r="H15" s="1"/>
      <c r="I15" s="1"/>
      <c r="J15" s="1"/>
      <c r="K15" s="6"/>
    </row>
    <row r="16" spans="2:11">
      <c r="B16" s="5"/>
      <c r="C16" s="59" t="s">
        <v>476</v>
      </c>
      <c r="D16" s="1"/>
      <c r="E16" s="1"/>
      <c r="F16" s="1"/>
      <c r="G16" s="87">
        <v>0</v>
      </c>
      <c r="H16" s="1"/>
      <c r="I16" s="1"/>
      <c r="J16" s="1"/>
      <c r="K16" s="6"/>
    </row>
    <row r="17" spans="2:11">
      <c r="B17" s="5"/>
      <c r="C17" s="59" t="s">
        <v>476</v>
      </c>
      <c r="D17" s="1"/>
      <c r="E17" s="1"/>
      <c r="F17" s="1"/>
      <c r="G17" s="86">
        <v>0</v>
      </c>
      <c r="H17" s="1"/>
      <c r="I17" s="1"/>
      <c r="J17" s="1"/>
      <c r="K17" s="6"/>
    </row>
    <row r="18" spans="2:11">
      <c r="B18" s="5"/>
      <c r="C18" s="59" t="s">
        <v>476</v>
      </c>
      <c r="D18" s="1"/>
      <c r="E18" s="1"/>
      <c r="F18" s="1"/>
      <c r="G18" s="87">
        <v>0</v>
      </c>
      <c r="H18" s="1"/>
      <c r="I18" s="1"/>
      <c r="J18" s="1"/>
      <c r="K18" s="6"/>
    </row>
    <row r="19" spans="2:11">
      <c r="B19" s="5"/>
      <c r="C19" s="1"/>
      <c r="D19" s="2" t="s">
        <v>778</v>
      </c>
      <c r="E19" s="1"/>
      <c r="F19" s="1"/>
      <c r="G19" s="120"/>
      <c r="H19" s="1"/>
      <c r="I19" s="1"/>
      <c r="J19" s="1"/>
      <c r="K19" s="6"/>
    </row>
    <row r="20" spans="2:11">
      <c r="B20" s="5"/>
      <c r="C20" s="756" t="s">
        <v>782</v>
      </c>
      <c r="D20" s="756"/>
      <c r="E20" s="756"/>
      <c r="F20" s="756"/>
      <c r="G20" s="120">
        <f>G22+G23+G24+G25+G26+G27</f>
        <v>1065219.57</v>
      </c>
      <c r="H20" s="1"/>
      <c r="I20" s="1"/>
      <c r="J20" s="1"/>
      <c r="K20" s="6"/>
    </row>
    <row r="21" spans="2:11">
      <c r="B21" s="5"/>
      <c r="C21" s="1"/>
      <c r="D21" s="1"/>
      <c r="E21" s="1"/>
      <c r="F21" s="1"/>
      <c r="G21" s="120"/>
      <c r="H21" s="1"/>
      <c r="I21" s="1"/>
      <c r="J21" s="1"/>
      <c r="K21" s="6"/>
    </row>
    <row r="22" spans="2:11">
      <c r="B22" s="5"/>
      <c r="C22" s="1" t="s">
        <v>1216</v>
      </c>
      <c r="D22" s="1"/>
      <c r="E22" s="1"/>
      <c r="F22" s="1"/>
      <c r="G22" s="120">
        <v>223300</v>
      </c>
      <c r="H22" s="1"/>
      <c r="I22" s="1"/>
      <c r="J22" s="1"/>
      <c r="K22" s="6"/>
    </row>
    <row r="23" spans="2:11">
      <c r="B23" s="5"/>
      <c r="C23" s="27" t="s">
        <v>1246</v>
      </c>
      <c r="D23" s="1"/>
      <c r="E23" s="1"/>
      <c r="F23" s="1"/>
      <c r="G23" s="120">
        <v>36919.57</v>
      </c>
      <c r="H23" s="1"/>
      <c r="I23" s="1"/>
      <c r="J23" s="1"/>
      <c r="K23" s="6"/>
    </row>
    <row r="24" spans="2:11">
      <c r="B24" s="5"/>
      <c r="C24" s="27" t="s">
        <v>1213</v>
      </c>
      <c r="D24" s="1"/>
      <c r="E24" s="1"/>
      <c r="F24" s="1"/>
      <c r="G24" s="120">
        <v>193000</v>
      </c>
      <c r="H24" s="1"/>
      <c r="I24" s="1"/>
      <c r="J24" s="1"/>
      <c r="K24" s="6"/>
    </row>
    <row r="25" spans="2:11">
      <c r="B25" s="5"/>
      <c r="C25" s="27" t="s">
        <v>1213</v>
      </c>
      <c r="D25" s="1"/>
      <c r="E25" s="1"/>
      <c r="F25" s="1"/>
      <c r="G25" s="235">
        <v>612000</v>
      </c>
      <c r="H25" s="1"/>
      <c r="I25" s="1"/>
      <c r="J25" s="1"/>
      <c r="K25" s="6"/>
    </row>
    <row r="26" spans="2:11">
      <c r="B26" s="5"/>
      <c r="C26" s="27"/>
      <c r="D26" s="1"/>
      <c r="E26" s="1"/>
      <c r="F26" s="1"/>
      <c r="G26" s="235">
        <v>0</v>
      </c>
      <c r="H26" s="1"/>
      <c r="I26" s="1"/>
      <c r="J26" s="1"/>
      <c r="K26" s="6"/>
    </row>
    <row r="27" spans="2:11">
      <c r="B27" s="5"/>
      <c r="C27" s="1"/>
      <c r="D27" s="1"/>
      <c r="E27" s="1"/>
      <c r="F27" s="1"/>
      <c r="G27" s="235">
        <v>0</v>
      </c>
      <c r="H27" s="1"/>
      <c r="I27" s="1"/>
      <c r="J27" s="1"/>
      <c r="K27" s="6"/>
    </row>
    <row r="28" spans="2:11">
      <c r="B28" s="5"/>
      <c r="C28" s="1"/>
      <c r="D28" s="1354" t="s">
        <v>477</v>
      </c>
      <c r="E28" s="1354"/>
      <c r="F28" s="1"/>
      <c r="G28" s="1285">
        <f>G11+G20</f>
        <v>1065219.57</v>
      </c>
      <c r="H28" s="1"/>
      <c r="I28" s="1"/>
      <c r="J28" s="1"/>
      <c r="K28" s="6"/>
    </row>
    <row r="29" spans="2:11">
      <c r="B29" s="5"/>
      <c r="C29" s="1"/>
      <c r="D29" s="1"/>
      <c r="E29" s="1"/>
      <c r="F29" s="1"/>
      <c r="G29" s="120"/>
      <c r="H29" s="1"/>
      <c r="I29" s="1"/>
      <c r="J29" s="1"/>
      <c r="K29" s="6"/>
    </row>
    <row r="30" spans="2:11">
      <c r="B30" s="5"/>
      <c r="C30" s="1"/>
      <c r="D30" s="1"/>
      <c r="E30" s="1"/>
      <c r="F30" s="1"/>
      <c r="G30" s="120"/>
      <c r="H30" s="1"/>
      <c r="I30" s="1"/>
      <c r="J30" s="1"/>
      <c r="K30" s="6"/>
    </row>
    <row r="31" spans="2:11">
      <c r="B31" s="5"/>
      <c r="C31" s="1"/>
      <c r="D31" s="756" t="s">
        <v>779</v>
      </c>
      <c r="E31" s="756"/>
      <c r="F31" s="756"/>
      <c r="G31" s="1286"/>
      <c r="H31" s="1"/>
      <c r="I31" s="1"/>
      <c r="J31" s="1"/>
      <c r="K31" s="6"/>
    </row>
    <row r="32" spans="2:11">
      <c r="B32" s="5"/>
      <c r="C32" s="1"/>
      <c r="D32" s="1"/>
      <c r="E32" s="1"/>
      <c r="F32" s="1"/>
      <c r="G32" s="120"/>
      <c r="H32" s="1"/>
      <c r="I32" s="1"/>
      <c r="J32" s="1"/>
      <c r="K32" s="6"/>
    </row>
    <row r="33" spans="2:11">
      <c r="B33" s="5"/>
      <c r="C33" s="1" t="s">
        <v>475</v>
      </c>
      <c r="D33" s="1"/>
      <c r="E33" s="1"/>
      <c r="F33" s="1"/>
      <c r="G33" s="120">
        <v>0</v>
      </c>
      <c r="H33" s="1"/>
      <c r="I33" s="1"/>
      <c r="J33" s="1"/>
      <c r="K33" s="6"/>
    </row>
    <row r="34" spans="2:11">
      <c r="B34" s="5"/>
      <c r="C34" s="1" t="s">
        <v>478</v>
      </c>
      <c r="D34" s="1"/>
      <c r="E34" s="1"/>
      <c r="F34" s="1"/>
      <c r="G34" s="120">
        <v>0</v>
      </c>
      <c r="H34" s="1"/>
      <c r="I34" s="1"/>
      <c r="J34" s="1"/>
      <c r="K34" s="6"/>
    </row>
    <row r="35" spans="2:11">
      <c r="B35" s="5"/>
      <c r="C35" s="59" t="s">
        <v>476</v>
      </c>
      <c r="D35" s="1"/>
      <c r="E35" s="1"/>
      <c r="F35" s="1"/>
      <c r="G35" s="120">
        <v>0</v>
      </c>
      <c r="H35" s="1"/>
      <c r="I35" s="1"/>
      <c r="J35" s="1"/>
      <c r="K35" s="6"/>
    </row>
    <row r="36" spans="2:11">
      <c r="B36" s="5"/>
      <c r="C36" s="59" t="s">
        <v>476</v>
      </c>
      <c r="D36" s="1"/>
      <c r="E36" s="1"/>
      <c r="F36" s="1"/>
      <c r="G36" s="235">
        <v>0</v>
      </c>
      <c r="H36" s="1"/>
      <c r="I36" s="1"/>
      <c r="J36" s="1"/>
      <c r="K36" s="6"/>
    </row>
    <row r="37" spans="2:11">
      <c r="B37" s="5"/>
      <c r="C37" s="59" t="s">
        <v>476</v>
      </c>
      <c r="D37" s="1"/>
      <c r="E37" s="1"/>
      <c r="F37" s="1"/>
      <c r="G37" s="235">
        <v>0</v>
      </c>
      <c r="H37" s="1"/>
      <c r="I37" s="1"/>
      <c r="J37" s="1"/>
      <c r="K37" s="6"/>
    </row>
    <row r="38" spans="2:11">
      <c r="B38" s="5"/>
      <c r="C38" s="59" t="s">
        <v>476</v>
      </c>
      <c r="D38" s="1"/>
      <c r="E38" s="1"/>
      <c r="F38" s="1"/>
      <c r="G38" s="235">
        <v>0</v>
      </c>
      <c r="H38" s="1"/>
      <c r="I38" s="1"/>
      <c r="J38" s="1"/>
      <c r="K38" s="6"/>
    </row>
    <row r="39" spans="2:11">
      <c r="B39" s="5"/>
      <c r="C39" s="1"/>
      <c r="D39" s="1"/>
      <c r="E39" s="1"/>
      <c r="F39" s="1"/>
      <c r="G39" s="120"/>
      <c r="H39" s="1"/>
      <c r="I39" s="1"/>
      <c r="J39" s="1"/>
      <c r="K39" s="6"/>
    </row>
    <row r="40" spans="2:11">
      <c r="B40" s="5"/>
      <c r="C40" s="756" t="s">
        <v>780</v>
      </c>
      <c r="D40" s="756"/>
      <c r="E40" s="756"/>
      <c r="F40" s="756"/>
      <c r="G40" s="1285">
        <f>G33+G34+G35+G36+G37+G38</f>
        <v>0</v>
      </c>
      <c r="H40" s="1"/>
      <c r="I40" s="1"/>
      <c r="J40" s="1"/>
      <c r="K40" s="6"/>
    </row>
    <row r="41" spans="2:11">
      <c r="B41" s="5"/>
      <c r="C41" s="1"/>
      <c r="D41" s="1"/>
      <c r="E41" s="1"/>
      <c r="F41" s="1"/>
      <c r="G41" s="120"/>
      <c r="H41" s="1"/>
      <c r="I41" s="1"/>
      <c r="J41" s="1"/>
      <c r="K41" s="6"/>
    </row>
    <row r="42" spans="2:11">
      <c r="B42" s="5"/>
      <c r="C42" s="1"/>
      <c r="D42" s="1"/>
      <c r="E42" s="1"/>
      <c r="F42" s="1"/>
      <c r="G42" s="120"/>
      <c r="H42" s="1"/>
      <c r="I42" s="1"/>
      <c r="J42" s="1"/>
      <c r="K42" s="6"/>
    </row>
    <row r="43" spans="2:11">
      <c r="B43" s="1417" t="s">
        <v>781</v>
      </c>
      <c r="C43" s="1418"/>
      <c r="D43" s="1418"/>
      <c r="E43" s="1418"/>
      <c r="F43" s="1418"/>
      <c r="G43" s="1285">
        <f>G28-G40</f>
        <v>1065219.57</v>
      </c>
      <c r="H43" s="1"/>
      <c r="I43" s="1"/>
      <c r="J43" s="1"/>
      <c r="K43" s="6"/>
    </row>
    <row r="44" spans="2:11">
      <c r="B44" s="5"/>
      <c r="C44" s="1"/>
      <c r="D44" s="1"/>
      <c r="E44" s="1"/>
      <c r="F44" s="1"/>
      <c r="G44" s="120"/>
      <c r="H44" s="1"/>
      <c r="I44" s="1"/>
      <c r="J44" s="1"/>
      <c r="K44" s="6"/>
    </row>
    <row r="45" spans="2:11">
      <c r="B45" s="5"/>
      <c r="C45" s="1" t="s">
        <v>1216</v>
      </c>
      <c r="D45" s="1"/>
      <c r="E45" s="1"/>
      <c r="F45" s="1"/>
      <c r="G45" s="120">
        <v>223300</v>
      </c>
      <c r="H45" s="1"/>
      <c r="I45" s="1"/>
      <c r="J45" s="1"/>
      <c r="K45" s="6"/>
    </row>
    <row r="46" spans="2:11">
      <c r="B46" s="5"/>
      <c r="C46" s="27" t="s">
        <v>1246</v>
      </c>
      <c r="D46" s="1"/>
      <c r="E46" s="1"/>
      <c r="F46" s="1"/>
      <c r="G46" s="120">
        <v>36919.57</v>
      </c>
      <c r="H46" s="1"/>
      <c r="I46" s="1"/>
      <c r="J46" s="1"/>
      <c r="K46" s="6"/>
    </row>
    <row r="47" spans="2:11">
      <c r="B47" s="5"/>
      <c r="C47" s="27" t="s">
        <v>1213</v>
      </c>
      <c r="D47" s="1"/>
      <c r="E47" s="1"/>
      <c r="F47" s="1"/>
      <c r="G47" s="120">
        <v>193000</v>
      </c>
      <c r="H47" s="1"/>
      <c r="I47" s="1"/>
      <c r="J47" s="1"/>
      <c r="K47" s="6"/>
    </row>
    <row r="48" spans="2:11">
      <c r="B48" s="5"/>
      <c r="C48" s="27" t="s">
        <v>1213</v>
      </c>
      <c r="D48" s="1"/>
      <c r="E48" s="1"/>
      <c r="F48" s="1"/>
      <c r="G48" s="235">
        <v>612000</v>
      </c>
      <c r="H48" s="1"/>
      <c r="I48" s="1"/>
      <c r="J48" s="1"/>
      <c r="K48" s="6"/>
    </row>
    <row r="49" spans="2:11">
      <c r="B49" s="5"/>
      <c r="C49" s="27"/>
      <c r="D49" s="1"/>
      <c r="E49" s="1"/>
      <c r="F49" s="1"/>
      <c r="G49" s="235">
        <v>0</v>
      </c>
      <c r="H49" s="1"/>
      <c r="I49" s="1"/>
      <c r="J49" s="1"/>
      <c r="K49" s="6"/>
    </row>
    <row r="50" spans="2:11">
      <c r="B50" s="5"/>
      <c r="C50" s="1"/>
      <c r="D50" s="1"/>
      <c r="E50" s="1420" t="s">
        <v>745</v>
      </c>
      <c r="F50" s="1420"/>
      <c r="G50" s="1287">
        <f>SUM(G45:G49)</f>
        <v>1065219.57</v>
      </c>
      <c r="H50" s="1"/>
      <c r="I50" s="1"/>
      <c r="J50" s="1"/>
      <c r="K50" s="6"/>
    </row>
    <row r="51" spans="2:11">
      <c r="B51" s="5"/>
      <c r="C51" s="1"/>
      <c r="D51" s="1"/>
      <c r="E51" s="1"/>
      <c r="F51" s="1"/>
      <c r="G51" s="120"/>
      <c r="H51" s="1"/>
      <c r="I51" s="1"/>
      <c r="J51" s="1"/>
      <c r="K51" s="6"/>
    </row>
    <row r="52" spans="2:11">
      <c r="B52" s="5"/>
      <c r="C52" s="1"/>
      <c r="D52" s="1"/>
      <c r="E52" s="1"/>
      <c r="F52" s="1"/>
      <c r="G52" s="1"/>
      <c r="H52" s="1"/>
      <c r="I52" s="1"/>
      <c r="J52" s="1"/>
      <c r="K52" s="6"/>
    </row>
    <row r="53" spans="2:11">
      <c r="B53" s="5"/>
      <c r="C53" s="1"/>
      <c r="D53" s="1"/>
      <c r="E53" s="1"/>
      <c r="F53" s="1"/>
      <c r="G53" s="1"/>
      <c r="H53" s="1"/>
      <c r="I53" s="1"/>
      <c r="J53" s="1"/>
      <c r="K53" s="6"/>
    </row>
    <row r="54" spans="2:11" ht="13.5" thickBot="1">
      <c r="B54" s="7"/>
      <c r="C54" s="8"/>
      <c r="D54" s="8"/>
      <c r="E54" s="8"/>
      <c r="F54" s="8"/>
      <c r="G54" s="8"/>
      <c r="H54" s="8"/>
      <c r="I54" s="8"/>
      <c r="J54" s="8"/>
      <c r="K54" s="9"/>
    </row>
  </sheetData>
  <mergeCells count="5">
    <mergeCell ref="C6:I6"/>
    <mergeCell ref="D28:E28"/>
    <mergeCell ref="B43:F43"/>
    <mergeCell ref="C11:F11"/>
    <mergeCell ref="E50:F50"/>
  </mergeCells>
  <phoneticPr fontId="4" type="noConversion"/>
  <printOptions horizontalCentered="1"/>
  <pageMargins left="0.25" right="0.25" top="0.25" bottom="0.25" header="0.25" footer="0.2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</sheetPr>
  <dimension ref="B3:O93"/>
  <sheetViews>
    <sheetView topLeftCell="A82" workbookViewId="0">
      <selection activeCell="I54" sqref="I54"/>
    </sheetView>
  </sheetViews>
  <sheetFormatPr defaultRowHeight="12.75"/>
  <cols>
    <col min="1" max="1" width="1.5703125" style="91" customWidth="1"/>
    <col min="2" max="2" width="1.7109375" style="91" customWidth="1"/>
    <col min="3" max="3" width="5.28515625" style="91" customWidth="1"/>
    <col min="4" max="4" width="22.28515625" style="91" customWidth="1"/>
    <col min="5" max="5" width="14.28515625" style="91" customWidth="1"/>
    <col min="6" max="6" width="12.5703125" style="91" customWidth="1"/>
    <col min="7" max="8" width="14" style="91" customWidth="1"/>
    <col min="9" max="9" width="13.85546875" style="91" customWidth="1"/>
    <col min="10" max="10" width="2.28515625" style="91" customWidth="1"/>
    <col min="11" max="16384" width="9.140625" style="91"/>
  </cols>
  <sheetData>
    <row r="3" spans="2:10">
      <c r="B3" s="3"/>
      <c r="C3" s="134"/>
      <c r="D3" s="134"/>
      <c r="E3" s="134"/>
      <c r="F3" s="134"/>
      <c r="G3" s="3"/>
      <c r="H3" s="3"/>
      <c r="I3" s="3"/>
    </row>
    <row r="4" spans="2:10">
      <c r="B4" s="3"/>
      <c r="C4" s="3" t="str">
        <f>'Kopertina '!F4</f>
        <v>Eskeld</v>
      </c>
      <c r="D4" s="3"/>
      <c r="E4" s="3"/>
      <c r="F4" s="3"/>
      <c r="G4" s="3"/>
      <c r="H4" s="3"/>
      <c r="I4" s="3" t="s">
        <v>139</v>
      </c>
    </row>
    <row r="5" spans="2:10">
      <c r="B5" s="59"/>
      <c r="C5" s="59"/>
      <c r="D5" s="59"/>
      <c r="E5" s="59"/>
      <c r="F5" s="59"/>
      <c r="G5" s="3"/>
      <c r="H5" s="3"/>
      <c r="I5" s="3"/>
    </row>
    <row r="6" spans="2:10">
      <c r="B6" s="59"/>
      <c r="C6" s="1323" t="s">
        <v>156</v>
      </c>
      <c r="D6" s="1323"/>
      <c r="E6" s="1323"/>
      <c r="F6" s="1323"/>
      <c r="G6" s="1323"/>
      <c r="H6" s="1323"/>
      <c r="I6" s="1323"/>
    </row>
    <row r="7" spans="2:10" ht="13.5" thickBot="1">
      <c r="B7" s="59"/>
      <c r="C7" s="59"/>
      <c r="D7" s="59"/>
      <c r="E7" s="59"/>
      <c r="F7" s="59"/>
      <c r="G7" s="59"/>
      <c r="H7" s="59"/>
      <c r="I7" s="135">
        <f>'Kopertina '!F29</f>
        <v>2012</v>
      </c>
    </row>
    <row r="8" spans="2:10">
      <c r="B8" s="170"/>
      <c r="C8" s="163"/>
      <c r="D8" s="163"/>
      <c r="E8" s="163"/>
      <c r="F8" s="163"/>
      <c r="G8" s="163"/>
      <c r="H8" s="163"/>
      <c r="I8" s="163"/>
      <c r="J8" s="164"/>
    </row>
    <row r="9" spans="2:10" ht="13.5" thickBot="1">
      <c r="B9" s="179"/>
      <c r="C9" s="59"/>
      <c r="D9" s="59"/>
      <c r="E9" s="59"/>
      <c r="F9" s="59"/>
      <c r="G9" s="59"/>
      <c r="H9" s="59"/>
      <c r="I9" s="59"/>
      <c r="J9" s="165"/>
    </row>
    <row r="10" spans="2:10">
      <c r="B10" s="179"/>
      <c r="C10" s="1378" t="s">
        <v>185</v>
      </c>
      <c r="D10" s="1378" t="s">
        <v>372</v>
      </c>
      <c r="E10" s="1378" t="s">
        <v>707</v>
      </c>
      <c r="F10" s="1378" t="s">
        <v>708</v>
      </c>
      <c r="G10" s="1380" t="s">
        <v>709</v>
      </c>
      <c r="H10" s="1131"/>
      <c r="I10" s="1378" t="s">
        <v>710</v>
      </c>
      <c r="J10" s="165"/>
    </row>
    <row r="11" spans="2:10" ht="13.5" thickBot="1">
      <c r="B11" s="179"/>
      <c r="C11" s="1421"/>
      <c r="D11" s="1421"/>
      <c r="E11" s="1421"/>
      <c r="F11" s="1421"/>
      <c r="G11" s="1422"/>
      <c r="H11" s="1132"/>
      <c r="I11" s="1421"/>
      <c r="J11" s="165"/>
    </row>
    <row r="12" spans="2:10">
      <c r="B12" s="179"/>
      <c r="C12" s="168">
        <v>1</v>
      </c>
      <c r="D12" s="389" t="s">
        <v>1046</v>
      </c>
      <c r="E12" s="389">
        <v>5419</v>
      </c>
      <c r="F12" s="389">
        <v>168629.59999999998</v>
      </c>
      <c r="G12" s="389">
        <v>168629.69</v>
      </c>
      <c r="H12" s="458"/>
      <c r="I12" s="276">
        <f>+E12+F12-G12-H12*139</f>
        <v>5418.9099999999744</v>
      </c>
      <c r="J12" s="165"/>
    </row>
    <row r="13" spans="2:10">
      <c r="B13" s="179"/>
      <c r="C13" s="166">
        <v>2</v>
      </c>
      <c r="D13" s="389" t="s">
        <v>1013</v>
      </c>
      <c r="E13" s="121"/>
      <c r="F13" s="121">
        <v>254280</v>
      </c>
      <c r="G13" s="121">
        <f>65400+74880+44400+19200</f>
        <v>203880</v>
      </c>
      <c r="H13" s="458"/>
      <c r="I13" s="276">
        <f t="shared" ref="I13:I53" si="0">+E13+F13-G13-H13*139</f>
        <v>50400</v>
      </c>
      <c r="J13" s="165"/>
    </row>
    <row r="14" spans="2:10">
      <c r="B14" s="179"/>
      <c r="C14" s="166">
        <v>3</v>
      </c>
      <c r="D14" s="389" t="s">
        <v>1094</v>
      </c>
      <c r="E14" s="121">
        <v>276000</v>
      </c>
      <c r="F14" s="121"/>
      <c r="G14" s="121"/>
      <c r="H14" s="458"/>
      <c r="I14" s="276">
        <f t="shared" si="0"/>
        <v>276000</v>
      </c>
      <c r="J14" s="165"/>
    </row>
    <row r="15" spans="2:10">
      <c r="B15" s="179"/>
      <c r="C15" s="166">
        <v>4</v>
      </c>
      <c r="D15" s="389" t="s">
        <v>1088</v>
      </c>
      <c r="E15" s="121">
        <v>21200</v>
      </c>
      <c r="F15" s="121"/>
      <c r="G15" s="121"/>
      <c r="H15" s="458"/>
      <c r="I15" s="276">
        <f t="shared" si="0"/>
        <v>21200</v>
      </c>
      <c r="J15" s="165"/>
    </row>
    <row r="16" spans="2:10">
      <c r="B16" s="179"/>
      <c r="C16" s="166">
        <v>5</v>
      </c>
      <c r="D16" s="389" t="s">
        <v>1063</v>
      </c>
      <c r="E16" s="121"/>
      <c r="F16" s="121">
        <v>629624</v>
      </c>
      <c r="G16" s="121"/>
      <c r="H16" s="458"/>
      <c r="I16" s="276">
        <f t="shared" si="0"/>
        <v>629624</v>
      </c>
      <c r="J16" s="165"/>
    </row>
    <row r="17" spans="2:10">
      <c r="B17" s="179"/>
      <c r="C17" s="166">
        <v>6</v>
      </c>
      <c r="D17" s="389" t="s">
        <v>1029</v>
      </c>
      <c r="E17" s="121"/>
      <c r="F17" s="121">
        <v>490000</v>
      </c>
      <c r="G17" s="121">
        <f>287000+203000</f>
        <v>490000</v>
      </c>
      <c r="H17" s="458"/>
      <c r="I17" s="276">
        <f t="shared" si="0"/>
        <v>0</v>
      </c>
      <c r="J17" s="165"/>
    </row>
    <row r="18" spans="2:10">
      <c r="B18" s="179"/>
      <c r="C18" s="166">
        <v>7</v>
      </c>
      <c r="D18" s="389" t="s">
        <v>1092</v>
      </c>
      <c r="E18" s="121">
        <v>480000</v>
      </c>
      <c r="F18" s="121"/>
      <c r="G18" s="121"/>
      <c r="H18" s="458"/>
      <c r="I18" s="276">
        <f t="shared" si="0"/>
        <v>480000</v>
      </c>
      <c r="J18" s="165"/>
    </row>
    <row r="19" spans="2:10">
      <c r="B19" s="179"/>
      <c r="C19" s="166">
        <v>8</v>
      </c>
      <c r="D19" s="389" t="s">
        <v>1093</v>
      </c>
      <c r="E19" s="121">
        <v>564480</v>
      </c>
      <c r="F19" s="121"/>
      <c r="G19" s="121"/>
      <c r="H19" s="458"/>
      <c r="I19" s="276">
        <f t="shared" si="0"/>
        <v>564480</v>
      </c>
      <c r="J19" s="165"/>
    </row>
    <row r="20" spans="2:10">
      <c r="B20" s="179"/>
      <c r="C20" s="166">
        <v>9</v>
      </c>
      <c r="D20" s="389" t="s">
        <v>1007</v>
      </c>
      <c r="E20" s="121"/>
      <c r="F20" s="121">
        <v>140400</v>
      </c>
      <c r="G20" s="121">
        <v>140400</v>
      </c>
      <c r="H20" s="458"/>
      <c r="I20" s="276">
        <f t="shared" si="0"/>
        <v>0</v>
      </c>
      <c r="J20" s="165"/>
    </row>
    <row r="21" spans="2:10">
      <c r="B21" s="179"/>
      <c r="C21" s="166">
        <v>10</v>
      </c>
      <c r="D21" s="389" t="s">
        <v>1091</v>
      </c>
      <c r="E21" s="121">
        <v>120820</v>
      </c>
      <c r="F21" s="121"/>
      <c r="G21" s="121"/>
      <c r="H21" s="458"/>
      <c r="I21" s="276">
        <f t="shared" si="0"/>
        <v>120820</v>
      </c>
      <c r="J21" s="165"/>
    </row>
    <row r="22" spans="2:10">
      <c r="B22" s="179"/>
      <c r="C22" s="166">
        <v>11</v>
      </c>
      <c r="D22" s="389" t="s">
        <v>1055</v>
      </c>
      <c r="E22" s="121"/>
      <c r="F22" s="121">
        <v>118600</v>
      </c>
      <c r="G22" s="121">
        <v>118600</v>
      </c>
      <c r="H22" s="458"/>
      <c r="I22" s="276">
        <f t="shared" si="0"/>
        <v>0</v>
      </c>
      <c r="J22" s="165"/>
    </row>
    <row r="23" spans="2:10">
      <c r="B23" s="179"/>
      <c r="C23" s="166">
        <v>12</v>
      </c>
      <c r="D23" s="389" t="s">
        <v>1089</v>
      </c>
      <c r="E23" s="121">
        <v>62136</v>
      </c>
      <c r="F23" s="121"/>
      <c r="G23" s="121"/>
      <c r="H23" s="458"/>
      <c r="I23" s="276">
        <f t="shared" si="0"/>
        <v>62136</v>
      </c>
      <c r="J23" s="165"/>
    </row>
    <row r="24" spans="2:10">
      <c r="B24" s="179"/>
      <c r="C24" s="166">
        <v>13</v>
      </c>
      <c r="D24" s="389" t="s">
        <v>978</v>
      </c>
      <c r="E24" s="121"/>
      <c r="F24" s="121">
        <v>396400</v>
      </c>
      <c r="G24" s="121"/>
      <c r="H24" s="458"/>
      <c r="I24" s="276">
        <f t="shared" si="0"/>
        <v>396400</v>
      </c>
      <c r="J24" s="165"/>
    </row>
    <row r="25" spans="2:10">
      <c r="B25" s="179"/>
      <c r="C25" s="166">
        <v>14</v>
      </c>
      <c r="D25" s="389" t="s">
        <v>1051</v>
      </c>
      <c r="E25" s="121"/>
      <c r="F25" s="121">
        <v>239880</v>
      </c>
      <c r="G25" s="121"/>
      <c r="H25" s="458">
        <v>1467</v>
      </c>
      <c r="I25" s="276">
        <f t="shared" si="0"/>
        <v>35967</v>
      </c>
      <c r="J25" s="165"/>
    </row>
    <row r="26" spans="2:10">
      <c r="B26" s="179"/>
      <c r="C26" s="166">
        <v>15</v>
      </c>
      <c r="D26" s="389" t="s">
        <v>1002</v>
      </c>
      <c r="E26" s="121"/>
      <c r="F26" s="121">
        <v>1164060</v>
      </c>
      <c r="G26" s="121">
        <f>294300+287760+288000+294000</f>
        <v>1164060</v>
      </c>
      <c r="H26" s="458"/>
      <c r="I26" s="276">
        <f t="shared" si="0"/>
        <v>0</v>
      </c>
      <c r="J26" s="165"/>
    </row>
    <row r="27" spans="2:10">
      <c r="B27" s="179"/>
      <c r="C27" s="166">
        <v>16</v>
      </c>
      <c r="D27" s="389" t="s">
        <v>998</v>
      </c>
      <c r="E27" s="121"/>
      <c r="F27" s="121">
        <v>150000</v>
      </c>
      <c r="G27" s="121"/>
      <c r="H27" s="458"/>
      <c r="I27" s="276">
        <f t="shared" si="0"/>
        <v>150000</v>
      </c>
      <c r="J27" s="165"/>
    </row>
    <row r="28" spans="2:10">
      <c r="B28" s="179"/>
      <c r="C28" s="166">
        <v>17</v>
      </c>
      <c r="D28" s="389" t="s">
        <v>1087</v>
      </c>
      <c r="E28" s="121">
        <v>3600</v>
      </c>
      <c r="F28" s="121"/>
      <c r="G28" s="121"/>
      <c r="H28" s="458"/>
      <c r="I28" s="276">
        <f t="shared" si="0"/>
        <v>3600</v>
      </c>
      <c r="J28" s="165"/>
    </row>
    <row r="29" spans="2:10">
      <c r="B29" s="179"/>
      <c r="C29" s="166">
        <v>18</v>
      </c>
      <c r="D29" s="389" t="s">
        <v>1090</v>
      </c>
      <c r="E29" s="121">
        <v>164262</v>
      </c>
      <c r="F29" s="121"/>
      <c r="G29" s="121"/>
      <c r="H29" s="458"/>
      <c r="I29" s="276">
        <f t="shared" si="0"/>
        <v>164262</v>
      </c>
      <c r="J29" s="165"/>
    </row>
    <row r="30" spans="2:10">
      <c r="B30" s="179"/>
      <c r="C30" s="166">
        <v>19</v>
      </c>
      <c r="D30" s="389"/>
      <c r="E30" s="121"/>
      <c r="F30" s="121"/>
      <c r="G30" s="121"/>
      <c r="H30" s="458"/>
      <c r="I30" s="276">
        <f t="shared" si="0"/>
        <v>0</v>
      </c>
      <c r="J30" s="165"/>
    </row>
    <row r="31" spans="2:10">
      <c r="B31" s="179"/>
      <c r="C31" s="166">
        <v>20</v>
      </c>
      <c r="D31" s="389"/>
      <c r="E31" s="121"/>
      <c r="F31" s="121"/>
      <c r="G31" s="121"/>
      <c r="H31" s="458"/>
      <c r="I31" s="276">
        <f t="shared" si="0"/>
        <v>0</v>
      </c>
      <c r="J31" s="165"/>
    </row>
    <row r="32" spans="2:10">
      <c r="B32" s="179"/>
      <c r="C32" s="166">
        <v>21</v>
      </c>
      <c r="D32" s="1288"/>
      <c r="E32" s="1289"/>
      <c r="F32" s="1289"/>
      <c r="G32" s="1289"/>
      <c r="H32" s="1290"/>
      <c r="I32" s="1291"/>
      <c r="J32" s="165"/>
    </row>
    <row r="33" spans="2:10">
      <c r="B33" s="179"/>
      <c r="C33" s="166">
        <v>22</v>
      </c>
      <c r="D33" s="1288"/>
      <c r="E33" s="1289"/>
      <c r="F33" s="1289"/>
      <c r="G33" s="1289"/>
      <c r="H33" s="1290"/>
      <c r="I33" s="1291"/>
      <c r="J33" s="165"/>
    </row>
    <row r="34" spans="2:10">
      <c r="B34" s="179"/>
      <c r="C34" s="166">
        <v>23</v>
      </c>
      <c r="D34" s="389"/>
      <c r="E34" s="121"/>
      <c r="F34" s="121"/>
      <c r="G34" s="121"/>
      <c r="H34" s="458"/>
      <c r="I34" s="276">
        <f t="shared" si="0"/>
        <v>0</v>
      </c>
      <c r="J34" s="165"/>
    </row>
    <row r="35" spans="2:10">
      <c r="B35" s="179"/>
      <c r="C35" s="166">
        <v>24</v>
      </c>
      <c r="D35" s="389"/>
      <c r="E35" s="121"/>
      <c r="F35" s="121"/>
      <c r="G35" s="121"/>
      <c r="H35" s="458"/>
      <c r="I35" s="276">
        <f t="shared" si="0"/>
        <v>0</v>
      </c>
      <c r="J35" s="165"/>
    </row>
    <row r="36" spans="2:10">
      <c r="B36" s="179"/>
      <c r="C36" s="166">
        <v>25</v>
      </c>
      <c r="D36" s="389"/>
      <c r="E36" s="121"/>
      <c r="F36" s="121"/>
      <c r="G36" s="121"/>
      <c r="H36" s="458"/>
      <c r="I36" s="276">
        <f t="shared" si="0"/>
        <v>0</v>
      </c>
      <c r="J36" s="165"/>
    </row>
    <row r="37" spans="2:10">
      <c r="B37" s="179"/>
      <c r="C37" s="166">
        <v>26</v>
      </c>
      <c r="D37" s="185"/>
      <c r="E37" s="121"/>
      <c r="F37" s="121"/>
      <c r="G37" s="121"/>
      <c r="H37" s="458"/>
      <c r="I37" s="276">
        <f t="shared" si="0"/>
        <v>0</v>
      </c>
      <c r="J37" s="165"/>
    </row>
    <row r="38" spans="2:10">
      <c r="B38" s="179"/>
      <c r="C38" s="166">
        <v>27</v>
      </c>
      <c r="D38" s="185"/>
      <c r="E38" s="121"/>
      <c r="F38" s="121"/>
      <c r="G38" s="121"/>
      <c r="H38" s="458"/>
      <c r="I38" s="276">
        <f t="shared" si="0"/>
        <v>0</v>
      </c>
      <c r="J38" s="165"/>
    </row>
    <row r="39" spans="2:10">
      <c r="B39" s="179"/>
      <c r="C39" s="166">
        <v>28</v>
      </c>
      <c r="D39" s="185"/>
      <c r="E39" s="121"/>
      <c r="F39" s="121"/>
      <c r="G39" s="121"/>
      <c r="H39" s="458"/>
      <c r="I39" s="276">
        <f t="shared" si="0"/>
        <v>0</v>
      </c>
      <c r="J39" s="165"/>
    </row>
    <row r="40" spans="2:10">
      <c r="B40" s="179"/>
      <c r="C40" s="166">
        <v>29</v>
      </c>
      <c r="D40" s="185"/>
      <c r="E40" s="121"/>
      <c r="F40" s="121"/>
      <c r="G40" s="121"/>
      <c r="H40" s="458"/>
      <c r="I40" s="276">
        <f t="shared" si="0"/>
        <v>0</v>
      </c>
      <c r="J40" s="165"/>
    </row>
    <row r="41" spans="2:10">
      <c r="B41" s="179"/>
      <c r="C41" s="166">
        <v>30</v>
      </c>
      <c r="D41" s="185"/>
      <c r="E41" s="121"/>
      <c r="F41" s="121"/>
      <c r="G41" s="121"/>
      <c r="H41" s="458"/>
      <c r="I41" s="276">
        <f t="shared" si="0"/>
        <v>0</v>
      </c>
      <c r="J41" s="165"/>
    </row>
    <row r="42" spans="2:10">
      <c r="B42" s="179"/>
      <c r="C42" s="166">
        <v>31</v>
      </c>
      <c r="D42" s="185"/>
      <c r="E42" s="121"/>
      <c r="F42" s="121"/>
      <c r="G42" s="121"/>
      <c r="H42" s="458"/>
      <c r="I42" s="276">
        <f t="shared" si="0"/>
        <v>0</v>
      </c>
      <c r="J42" s="165"/>
    </row>
    <row r="43" spans="2:10">
      <c r="B43" s="179"/>
      <c r="C43" s="166">
        <v>32</v>
      </c>
      <c r="D43" s="185"/>
      <c r="E43" s="121"/>
      <c r="F43" s="121"/>
      <c r="G43" s="121"/>
      <c r="H43" s="458"/>
      <c r="I43" s="276">
        <f t="shared" si="0"/>
        <v>0</v>
      </c>
      <c r="J43" s="165"/>
    </row>
    <row r="44" spans="2:10">
      <c r="B44" s="179"/>
      <c r="C44" s="166">
        <v>33</v>
      </c>
      <c r="D44" s="185"/>
      <c r="E44" s="121"/>
      <c r="F44" s="121"/>
      <c r="G44" s="121"/>
      <c r="H44" s="458"/>
      <c r="I44" s="276">
        <f t="shared" si="0"/>
        <v>0</v>
      </c>
      <c r="J44" s="165"/>
    </row>
    <row r="45" spans="2:10">
      <c r="B45" s="179"/>
      <c r="C45" s="166">
        <v>34</v>
      </c>
      <c r="D45" s="185"/>
      <c r="E45" s="121"/>
      <c r="F45" s="121"/>
      <c r="G45" s="121"/>
      <c r="H45" s="458"/>
      <c r="I45" s="276">
        <f t="shared" si="0"/>
        <v>0</v>
      </c>
      <c r="J45" s="165"/>
    </row>
    <row r="46" spans="2:10">
      <c r="B46" s="179"/>
      <c r="C46" s="166">
        <v>35</v>
      </c>
      <c r="D46" s="185"/>
      <c r="E46" s="121"/>
      <c r="F46" s="121"/>
      <c r="G46" s="121"/>
      <c r="H46" s="458"/>
      <c r="I46" s="276">
        <f t="shared" si="0"/>
        <v>0</v>
      </c>
      <c r="J46" s="165"/>
    </row>
    <row r="47" spans="2:10">
      <c r="B47" s="179"/>
      <c r="C47" s="166">
        <v>36</v>
      </c>
      <c r="D47" s="185"/>
      <c r="E47" s="121"/>
      <c r="F47" s="121"/>
      <c r="G47" s="121"/>
      <c r="H47" s="458"/>
      <c r="I47" s="276">
        <f t="shared" si="0"/>
        <v>0</v>
      </c>
      <c r="J47" s="165"/>
    </row>
    <row r="48" spans="2:10">
      <c r="B48" s="179"/>
      <c r="C48" s="166">
        <v>37</v>
      </c>
      <c r="D48" s="185"/>
      <c r="E48" s="277"/>
      <c r="F48" s="277"/>
      <c r="G48" s="277"/>
      <c r="H48" s="1261"/>
      <c r="I48" s="276">
        <f t="shared" si="0"/>
        <v>0</v>
      </c>
      <c r="J48" s="165"/>
    </row>
    <row r="49" spans="2:10">
      <c r="B49" s="179"/>
      <c r="C49" s="166">
        <v>38</v>
      </c>
      <c r="D49" s="185"/>
      <c r="E49" s="121"/>
      <c r="F49" s="121"/>
      <c r="G49" s="121"/>
      <c r="H49" s="458"/>
      <c r="I49" s="276">
        <f t="shared" si="0"/>
        <v>0</v>
      </c>
      <c r="J49" s="165"/>
    </row>
    <row r="50" spans="2:10">
      <c r="B50" s="179"/>
      <c r="C50" s="166">
        <v>39</v>
      </c>
      <c r="D50" s="185"/>
      <c r="E50" s="121"/>
      <c r="F50" s="121"/>
      <c r="G50" s="121"/>
      <c r="H50" s="458"/>
      <c r="I50" s="276">
        <f t="shared" si="0"/>
        <v>0</v>
      </c>
      <c r="J50" s="165"/>
    </row>
    <row r="51" spans="2:10">
      <c r="B51" s="179"/>
      <c r="C51" s="166">
        <v>40</v>
      </c>
      <c r="D51" s="185"/>
      <c r="E51" s="121"/>
      <c r="F51" s="121"/>
      <c r="G51" s="121"/>
      <c r="H51" s="458"/>
      <c r="I51" s="276">
        <f t="shared" si="0"/>
        <v>0</v>
      </c>
      <c r="J51" s="165"/>
    </row>
    <row r="52" spans="2:10">
      <c r="B52" s="179"/>
      <c r="C52" s="166">
        <v>41</v>
      </c>
      <c r="D52" s="185"/>
      <c r="E52" s="77"/>
      <c r="F52" s="77"/>
      <c r="G52" s="77"/>
      <c r="H52" s="1262"/>
      <c r="I52" s="276">
        <f t="shared" si="0"/>
        <v>0</v>
      </c>
      <c r="J52" s="165"/>
    </row>
    <row r="53" spans="2:10" ht="13.5" thickBot="1">
      <c r="B53" s="179"/>
      <c r="C53" s="166">
        <v>42</v>
      </c>
      <c r="D53" s="185"/>
      <c r="E53" s="78"/>
      <c r="F53" s="78"/>
      <c r="G53" s="78"/>
      <c r="H53" s="1263"/>
      <c r="I53" s="276">
        <f t="shared" si="0"/>
        <v>0</v>
      </c>
      <c r="J53" s="165"/>
    </row>
    <row r="54" spans="2:10" ht="13.5" thickBot="1">
      <c r="B54" s="179"/>
      <c r="C54" s="167">
        <v>43</v>
      </c>
      <c r="D54" s="169"/>
      <c r="E54" s="409">
        <f>SUM(E12:E53)</f>
        <v>1697917</v>
      </c>
      <c r="F54" s="409">
        <f t="shared" ref="F54:H54" si="1">SUM(F12:F53)</f>
        <v>3751873.6</v>
      </c>
      <c r="G54" s="409">
        <f t="shared" si="1"/>
        <v>2285569.69</v>
      </c>
      <c r="H54" s="409">
        <f t="shared" si="1"/>
        <v>1467</v>
      </c>
      <c r="I54" s="409">
        <f>SUM(I12:I53)</f>
        <v>2960307.91</v>
      </c>
      <c r="J54" s="165"/>
    </row>
    <row r="55" spans="2:10">
      <c r="B55" s="179"/>
      <c r="C55" s="59"/>
      <c r="D55" s="59"/>
      <c r="E55" s="59"/>
      <c r="F55" s="59"/>
      <c r="G55" s="59"/>
      <c r="H55" s="59"/>
      <c r="I55" s="59"/>
      <c r="J55" s="165"/>
    </row>
    <row r="56" spans="2:10" ht="13.5" thickBot="1">
      <c r="B56" s="180"/>
      <c r="C56" s="181"/>
      <c r="D56" s="181"/>
      <c r="E56" s="181"/>
      <c r="F56" s="181"/>
      <c r="G56" s="181"/>
      <c r="H56" s="181"/>
      <c r="I56" s="181"/>
      <c r="J56" s="183"/>
    </row>
    <row r="59" spans="2:10">
      <c r="F59" s="1137">
        <f>+F54-'P -Ardh Analiz '!I30</f>
        <v>0</v>
      </c>
    </row>
    <row r="65" spans="4:15">
      <c r="D65" s="1134"/>
      <c r="E65" s="1134"/>
      <c r="F65" s="1134"/>
    </row>
    <row r="66" spans="4:15">
      <c r="D66" s="1134">
        <v>28.09</v>
      </c>
      <c r="E66" s="1135" t="s">
        <v>1046</v>
      </c>
      <c r="F66" s="1135">
        <v>13237.67</v>
      </c>
    </row>
    <row r="67" spans="4:15">
      <c r="D67" s="1134">
        <v>9.11</v>
      </c>
      <c r="E67" s="1135" t="s">
        <v>1046</v>
      </c>
      <c r="F67" s="1135">
        <v>13383.56</v>
      </c>
    </row>
    <row r="68" spans="4:15">
      <c r="D68" s="1134">
        <v>22.1</v>
      </c>
      <c r="E68" s="1135" t="s">
        <v>1046</v>
      </c>
      <c r="F68" s="1135">
        <v>13440.37</v>
      </c>
    </row>
    <row r="69" spans="4:15">
      <c r="D69" s="1134">
        <v>30.08</v>
      </c>
      <c r="E69" s="1135" t="s">
        <v>1046</v>
      </c>
      <c r="F69" s="1135">
        <v>13596.47</v>
      </c>
    </row>
    <row r="70" spans="4:15">
      <c r="D70" s="1134">
        <v>31.07</v>
      </c>
      <c r="E70" s="1135" t="s">
        <v>1046</v>
      </c>
      <c r="F70" s="1135">
        <v>13709.37</v>
      </c>
    </row>
    <row r="71" spans="4:15">
      <c r="D71" s="1134">
        <v>31.12</v>
      </c>
      <c r="E71" s="1135" t="s">
        <v>1046</v>
      </c>
      <c r="F71" s="1135">
        <v>13915.77</v>
      </c>
    </row>
    <row r="72" spans="4:15">
      <c r="D72" s="1134">
        <v>13.04</v>
      </c>
      <c r="E72" s="1135" t="s">
        <v>1046</v>
      </c>
      <c r="F72" s="1135">
        <v>13982.09</v>
      </c>
    </row>
    <row r="73" spans="4:15">
      <c r="D73" s="1134">
        <v>20.059999999999999</v>
      </c>
      <c r="E73" s="1135" t="s">
        <v>1046</v>
      </c>
      <c r="F73" s="1135">
        <v>14070.1</v>
      </c>
    </row>
    <row r="74" spans="4:15">
      <c r="D74" s="1134">
        <v>15.03</v>
      </c>
      <c r="E74" s="1135" t="s">
        <v>1046</v>
      </c>
      <c r="F74" s="1135">
        <v>14224.46</v>
      </c>
    </row>
    <row r="75" spans="4:15">
      <c r="D75" s="1134">
        <v>14.02</v>
      </c>
      <c r="E75" s="1135" t="s">
        <v>1046</v>
      </c>
      <c r="F75" s="1135">
        <v>14495.21</v>
      </c>
    </row>
    <row r="76" spans="4:15">
      <c r="D76" s="1134">
        <v>11.05</v>
      </c>
      <c r="E76" s="1135" t="s">
        <v>1046</v>
      </c>
      <c r="F76" s="1135">
        <v>14547.21</v>
      </c>
    </row>
    <row r="77" spans="4:15">
      <c r="D77" s="1134">
        <v>28.03</v>
      </c>
      <c r="E77" s="1135" t="s">
        <v>1192</v>
      </c>
      <c r="F77" s="1135">
        <v>15500</v>
      </c>
      <c r="L77" s="91" t="s">
        <v>1192</v>
      </c>
      <c r="O77" s="91">
        <v>15500</v>
      </c>
    </row>
    <row r="78" spans="4:15">
      <c r="D78" s="1134">
        <v>16.010000000000002</v>
      </c>
      <c r="E78" s="1135" t="s">
        <v>1046</v>
      </c>
      <c r="F78" s="1135">
        <v>16027.41</v>
      </c>
    </row>
    <row r="79" spans="4:15">
      <c r="D79" s="1134">
        <v>7.01</v>
      </c>
      <c r="E79" s="1135" t="s">
        <v>1203</v>
      </c>
      <c r="F79" s="1135">
        <v>51992.89</v>
      </c>
    </row>
    <row r="80" spans="4:15">
      <c r="D80" s="1134">
        <v>25.05</v>
      </c>
      <c r="E80" s="1135" t="s">
        <v>1213</v>
      </c>
      <c r="F80" s="1135">
        <v>193000</v>
      </c>
    </row>
    <row r="81" spans="4:6">
      <c r="D81" s="1134">
        <v>16.04</v>
      </c>
      <c r="E81" s="1135" t="s">
        <v>1209</v>
      </c>
      <c r="F81" s="1135">
        <v>300000</v>
      </c>
    </row>
    <row r="82" spans="4:6">
      <c r="D82" s="1259"/>
      <c r="E82" s="1260"/>
      <c r="F82" s="1260"/>
    </row>
    <row r="83" spans="4:6">
      <c r="D83" s="1134">
        <v>25.05</v>
      </c>
      <c r="E83" s="1135" t="s">
        <v>1213</v>
      </c>
      <c r="F83" s="1135">
        <v>612000</v>
      </c>
    </row>
    <row r="89" spans="4:6">
      <c r="D89" s="1222">
        <v>16.11</v>
      </c>
      <c r="E89" s="1222" t="s">
        <v>1242</v>
      </c>
      <c r="F89" s="1222">
        <v>200</v>
      </c>
    </row>
    <row r="90" spans="4:6">
      <c r="D90" s="1222">
        <v>22.11</v>
      </c>
      <c r="E90" s="1222" t="s">
        <v>1051</v>
      </c>
      <c r="F90" s="1222">
        <v>250</v>
      </c>
    </row>
    <row r="91" spans="4:6">
      <c r="D91" s="1222">
        <v>9.11</v>
      </c>
      <c r="E91" s="1222" t="s">
        <v>1051</v>
      </c>
      <c r="F91" s="1222">
        <v>400</v>
      </c>
    </row>
    <row r="92" spans="4:6">
      <c r="D92" s="1222">
        <v>10.1</v>
      </c>
      <c r="E92" s="1222" t="s">
        <v>1051</v>
      </c>
      <c r="F92" s="1222">
        <v>617</v>
      </c>
    </row>
    <row r="93" spans="4:6">
      <c r="F93" s="91">
        <f>SUM(F89:F92)</f>
        <v>1467</v>
      </c>
    </row>
  </sheetData>
  <sortState ref="L62:N94">
    <sortCondition ref="L62"/>
  </sortState>
  <mergeCells count="7">
    <mergeCell ref="C6:I6"/>
    <mergeCell ref="C10:C11"/>
    <mergeCell ref="D10:D11"/>
    <mergeCell ref="E10:E11"/>
    <mergeCell ref="F10:F11"/>
    <mergeCell ref="G10:G11"/>
    <mergeCell ref="I10:I11"/>
  </mergeCells>
  <phoneticPr fontId="4" type="noConversion"/>
  <pageMargins left="0" right="0" top="0" bottom="0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</sheetPr>
  <dimension ref="A1:AZ406"/>
  <sheetViews>
    <sheetView topLeftCell="AA1" workbookViewId="0">
      <selection activeCell="AZ27" sqref="AF1:AZ27"/>
    </sheetView>
  </sheetViews>
  <sheetFormatPr defaultRowHeight="19.5"/>
  <cols>
    <col min="1" max="1" width="9.140625" style="720"/>
    <col min="2" max="2" width="10.7109375" style="720" customWidth="1"/>
    <col min="3" max="3" width="10.140625" style="720" customWidth="1"/>
    <col min="4" max="4" width="12.28515625" style="720" customWidth="1"/>
    <col min="5" max="5" width="10.42578125" style="720" customWidth="1"/>
    <col min="6" max="6" width="11.28515625" style="720" customWidth="1"/>
    <col min="7" max="7" width="10.5703125" style="720" customWidth="1"/>
    <col min="8" max="8" width="10.28515625" style="720" customWidth="1"/>
    <col min="9" max="12" width="9.140625" style="720"/>
    <col min="13" max="13" width="12.85546875" style="720" customWidth="1"/>
    <col min="14" max="14" width="6" style="720" customWidth="1"/>
    <col min="15" max="18" width="9.140625" style="720"/>
    <col min="19" max="19" width="10.7109375" style="720" customWidth="1"/>
    <col min="20" max="21" width="9.140625" style="720"/>
    <col min="22" max="31" width="5.85546875" style="720" customWidth="1"/>
    <col min="32" max="32" width="11.140625" customWidth="1"/>
    <col min="33" max="33" width="10.7109375" customWidth="1"/>
    <col min="34" max="34" width="6.85546875" customWidth="1"/>
    <col min="35" max="35" width="6.42578125" customWidth="1"/>
    <col min="36" max="36" width="8.85546875" customWidth="1"/>
    <col min="37" max="38" width="2.7109375" customWidth="1"/>
    <col min="40" max="40" width="10.85546875" customWidth="1"/>
    <col min="42" max="43" width="2.7109375" customWidth="1"/>
    <col min="44" max="45" width="8.140625" customWidth="1"/>
    <col min="46" max="49" width="2.7109375" customWidth="1"/>
    <col min="50" max="50" width="7.140625" customWidth="1"/>
  </cols>
  <sheetData>
    <row r="1" spans="1:52" ht="20.25" customHeight="1">
      <c r="A1" s="925" t="s">
        <v>841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925" t="s">
        <v>964</v>
      </c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  <c r="AC1" s="561"/>
      <c r="AD1" s="561"/>
      <c r="AE1" s="561"/>
      <c r="AG1" s="684"/>
      <c r="AH1" s="680"/>
      <c r="AI1" s="685"/>
      <c r="AK1" s="686"/>
      <c r="AL1" s="686"/>
      <c r="AM1" s="686"/>
      <c r="AN1" s="562"/>
    </row>
    <row r="2" spans="1:52" ht="18.75" customHeight="1">
      <c r="A2" s="926" t="s">
        <v>842</v>
      </c>
      <c r="B2" s="926"/>
      <c r="C2" s="927" t="s">
        <v>843</v>
      </c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926" t="s">
        <v>842</v>
      </c>
      <c r="O2" s="926"/>
      <c r="P2" s="927" t="s">
        <v>843</v>
      </c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G2" s="680"/>
      <c r="AH2" s="687"/>
      <c r="AJ2" s="686"/>
      <c r="AK2" s="686"/>
      <c r="AL2" s="686"/>
      <c r="AM2" s="686"/>
      <c r="AN2" s="562"/>
    </row>
    <row r="3" spans="1:52" ht="18.75" customHeight="1">
      <c r="A3" s="926" t="s">
        <v>395</v>
      </c>
      <c r="B3" s="926"/>
      <c r="C3" s="927" t="s">
        <v>844</v>
      </c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926" t="s">
        <v>395</v>
      </c>
      <c r="O3" s="926"/>
      <c r="P3" s="927" t="s">
        <v>844</v>
      </c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G3" s="680"/>
      <c r="AH3" s="680"/>
      <c r="AI3" s="685"/>
      <c r="AJ3" s="680"/>
      <c r="AK3" s="680"/>
      <c r="AL3" s="680"/>
      <c r="AM3" s="680"/>
      <c r="AN3" s="562"/>
    </row>
    <row r="4" spans="1:52" ht="18" customHeight="1">
      <c r="A4" s="926" t="s">
        <v>845</v>
      </c>
      <c r="B4" s="926"/>
      <c r="C4" s="927" t="s">
        <v>846</v>
      </c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926" t="s">
        <v>845</v>
      </c>
      <c r="O4" s="926"/>
      <c r="P4" s="927" t="s">
        <v>846</v>
      </c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G4" s="562"/>
      <c r="AH4" s="562"/>
      <c r="AI4" s="562"/>
      <c r="AJ4" s="562"/>
      <c r="AK4" s="562"/>
      <c r="AL4" s="562"/>
      <c r="AM4" s="562"/>
      <c r="AN4" s="562"/>
    </row>
    <row r="5" spans="1:52" ht="18" customHeight="1">
      <c r="A5" s="926" t="s">
        <v>167</v>
      </c>
      <c r="B5" s="926"/>
      <c r="C5" s="927" t="s">
        <v>847</v>
      </c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926" t="s">
        <v>167</v>
      </c>
      <c r="O5" s="926"/>
      <c r="P5" s="927" t="s">
        <v>847</v>
      </c>
      <c r="Q5" s="561"/>
      <c r="R5" s="561"/>
      <c r="S5" s="561"/>
      <c r="T5" s="561"/>
      <c r="U5" s="561"/>
      <c r="V5" s="561" t="s">
        <v>134</v>
      </c>
      <c r="W5" s="561" t="s">
        <v>134</v>
      </c>
      <c r="X5" s="561"/>
      <c r="Y5" s="561"/>
      <c r="Z5" s="561"/>
      <c r="AA5" s="561"/>
      <c r="AB5" s="561"/>
      <c r="AC5" s="561"/>
      <c r="AD5" s="561"/>
      <c r="AE5" s="561"/>
      <c r="AF5" s="1434" t="s">
        <v>833</v>
      </c>
      <c r="AG5" s="1434"/>
      <c r="AH5" s="1434"/>
      <c r="AI5" s="1434"/>
      <c r="AJ5" s="1434"/>
      <c r="AK5" s="1434"/>
      <c r="AL5" s="1434"/>
      <c r="AM5" s="1434"/>
      <c r="AN5" s="1434"/>
      <c r="AO5" s="1434"/>
      <c r="AP5" s="1434"/>
      <c r="AQ5" s="1434"/>
      <c r="AR5" s="1434"/>
      <c r="AS5" s="1434"/>
      <c r="AT5" s="1434"/>
      <c r="AU5" s="1434"/>
      <c r="AV5" s="1434"/>
      <c r="AW5" s="1434"/>
      <c r="AX5" s="1434"/>
      <c r="AY5" s="1434"/>
    </row>
    <row r="6" spans="1:52" ht="15.75" customHeight="1" thickBot="1">
      <c r="A6" s="926"/>
      <c r="B6" s="926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926"/>
      <c r="O6" s="926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  <c r="AB6" s="561"/>
      <c r="AC6" s="561"/>
      <c r="AD6" s="561"/>
      <c r="AE6" s="561"/>
      <c r="AF6" s="1434"/>
      <c r="AG6" s="1434"/>
      <c r="AH6" s="1434"/>
      <c r="AI6" s="1434"/>
      <c r="AJ6" s="1434"/>
      <c r="AK6" s="1434"/>
      <c r="AL6" s="1434"/>
      <c r="AM6" s="1434"/>
      <c r="AN6" s="1434"/>
      <c r="AO6" s="1434"/>
      <c r="AP6" s="1434"/>
      <c r="AQ6" s="1434"/>
      <c r="AR6" s="1434"/>
      <c r="AS6" s="1434"/>
      <c r="AT6" s="1434"/>
      <c r="AU6" s="1434"/>
      <c r="AV6" s="1434"/>
      <c r="AW6" s="1434"/>
      <c r="AX6" s="1434"/>
      <c r="AY6" s="1434"/>
    </row>
    <row r="7" spans="1:52" ht="16.5" customHeight="1" thickBot="1">
      <c r="A7" s="561" t="s">
        <v>848</v>
      </c>
      <c r="B7" s="928"/>
      <c r="C7" s="561" t="s">
        <v>849</v>
      </c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 t="s">
        <v>848</v>
      </c>
      <c r="O7" s="928"/>
      <c r="P7" s="561" t="s">
        <v>849</v>
      </c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  <c r="AC7" s="561"/>
      <c r="AD7" s="561"/>
      <c r="AE7" s="561"/>
    </row>
    <row r="8" spans="1:52" ht="16.5" customHeight="1" thickBot="1">
      <c r="A8" s="561"/>
      <c r="B8" s="561"/>
      <c r="C8" s="561"/>
      <c r="D8" s="561"/>
      <c r="E8" s="561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926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1"/>
      <c r="AF8" s="561"/>
      <c r="AG8" s="561"/>
      <c r="AH8" s="561"/>
      <c r="AI8" s="561"/>
      <c r="AP8" s="564"/>
      <c r="AQ8" s="565"/>
      <c r="AR8" s="566"/>
    </row>
    <row r="9" spans="1:52" ht="16.5" customHeight="1" thickBot="1">
      <c r="A9" s="1454" t="s">
        <v>850</v>
      </c>
      <c r="B9" s="1464"/>
      <c r="C9" s="1455"/>
      <c r="D9" s="1454" t="s">
        <v>851</v>
      </c>
      <c r="E9" s="1464"/>
      <c r="F9" s="1455"/>
      <c r="G9" s="1466" t="s">
        <v>852</v>
      </c>
      <c r="H9" s="1466" t="s">
        <v>667</v>
      </c>
      <c r="I9" s="1466" t="s">
        <v>668</v>
      </c>
      <c r="J9" s="1454" t="s">
        <v>676</v>
      </c>
      <c r="K9" s="1455"/>
      <c r="L9" s="1454" t="s">
        <v>677</v>
      </c>
      <c r="M9" s="1455"/>
      <c r="N9" s="1486" t="s">
        <v>850</v>
      </c>
      <c r="O9" s="1487"/>
      <c r="P9" s="1488"/>
      <c r="Q9" s="1486" t="s">
        <v>965</v>
      </c>
      <c r="R9" s="1487"/>
      <c r="S9" s="1488"/>
      <c r="T9" s="1466" t="s">
        <v>966</v>
      </c>
      <c r="U9" s="1489" t="s">
        <v>669</v>
      </c>
      <c r="V9" s="1490"/>
      <c r="W9" s="1490"/>
      <c r="X9" s="1490"/>
      <c r="Y9" s="1490"/>
      <c r="Z9" s="1490"/>
      <c r="AA9" s="1490"/>
      <c r="AB9" s="1490"/>
      <c r="AC9" s="1490"/>
      <c r="AD9" s="1490"/>
      <c r="AE9" s="1491"/>
      <c r="AF9" s="1435" t="s">
        <v>167</v>
      </c>
      <c r="AG9" s="1426" t="s">
        <v>667</v>
      </c>
      <c r="AH9" s="1426" t="s">
        <v>668</v>
      </c>
      <c r="AI9" s="1439" t="s">
        <v>676</v>
      </c>
      <c r="AJ9" s="1440"/>
      <c r="AK9" s="1443" t="s">
        <v>677</v>
      </c>
      <c r="AL9" s="1444"/>
      <c r="AM9" s="1428" t="s">
        <v>669</v>
      </c>
      <c r="AN9" s="1447"/>
      <c r="AO9" s="1447"/>
      <c r="AP9" s="1447"/>
      <c r="AQ9" s="1447"/>
      <c r="AR9" s="1447"/>
      <c r="AS9" s="1447"/>
      <c r="AT9" s="1447"/>
      <c r="AU9" s="1447"/>
      <c r="AV9" s="1447"/>
      <c r="AW9" s="1432"/>
      <c r="AX9" s="1448" t="s">
        <v>170</v>
      </c>
      <c r="AY9" s="1451" t="s">
        <v>168</v>
      </c>
      <c r="AZ9" s="1423" t="s">
        <v>169</v>
      </c>
    </row>
    <row r="10" spans="1:52" ht="16.5" customHeight="1" thickBot="1">
      <c r="A10" s="1456"/>
      <c r="B10" s="1465"/>
      <c r="C10" s="1457"/>
      <c r="D10" s="1456"/>
      <c r="E10" s="1465"/>
      <c r="F10" s="1457"/>
      <c r="G10" s="1467"/>
      <c r="H10" s="1467"/>
      <c r="I10" s="1467"/>
      <c r="J10" s="1456"/>
      <c r="K10" s="1457"/>
      <c r="L10" s="1456"/>
      <c r="M10" s="1457"/>
      <c r="N10" s="1466" t="s">
        <v>853</v>
      </c>
      <c r="O10" s="1466" t="s">
        <v>854</v>
      </c>
      <c r="P10" s="1466" t="s">
        <v>855</v>
      </c>
      <c r="Q10" s="1466" t="s">
        <v>967</v>
      </c>
      <c r="R10" s="1466" t="s">
        <v>857</v>
      </c>
      <c r="S10" s="1466" t="s">
        <v>968</v>
      </c>
      <c r="T10" s="1467"/>
      <c r="U10" s="1466" t="s">
        <v>670</v>
      </c>
      <c r="V10" s="1489" t="s">
        <v>678</v>
      </c>
      <c r="W10" s="1492"/>
      <c r="X10" s="1489" t="s">
        <v>679</v>
      </c>
      <c r="Y10" s="1492"/>
      <c r="Z10" s="1489" t="s">
        <v>680</v>
      </c>
      <c r="AA10" s="1491"/>
      <c r="AB10" s="1489" t="s">
        <v>681</v>
      </c>
      <c r="AC10" s="1491"/>
      <c r="AD10" s="1489" t="s">
        <v>671</v>
      </c>
      <c r="AE10" s="1491"/>
      <c r="AF10" s="1436"/>
      <c r="AG10" s="1438"/>
      <c r="AH10" s="1438"/>
      <c r="AI10" s="1441"/>
      <c r="AJ10" s="1442"/>
      <c r="AK10" s="1445"/>
      <c r="AL10" s="1446"/>
      <c r="AM10" s="1426" t="s">
        <v>670</v>
      </c>
      <c r="AN10" s="1428" t="s">
        <v>678</v>
      </c>
      <c r="AO10" s="1429"/>
      <c r="AP10" s="1430" t="s">
        <v>679</v>
      </c>
      <c r="AQ10" s="1431"/>
      <c r="AR10" s="1428" t="s">
        <v>680</v>
      </c>
      <c r="AS10" s="1432"/>
      <c r="AT10" s="1430" t="s">
        <v>681</v>
      </c>
      <c r="AU10" s="1433"/>
      <c r="AV10" s="1430" t="s">
        <v>671</v>
      </c>
      <c r="AW10" s="1433"/>
      <c r="AX10" s="1449"/>
      <c r="AY10" s="1452"/>
      <c r="AZ10" s="1424"/>
    </row>
    <row r="11" spans="1:52" ht="16.5" customHeight="1" thickBot="1">
      <c r="A11" s="929" t="s">
        <v>853</v>
      </c>
      <c r="B11" s="930" t="s">
        <v>854</v>
      </c>
      <c r="C11" s="931" t="s">
        <v>855</v>
      </c>
      <c r="D11" s="932" t="s">
        <v>856</v>
      </c>
      <c r="E11" s="933" t="s">
        <v>857</v>
      </c>
      <c r="F11" s="934" t="s">
        <v>388</v>
      </c>
      <c r="G11" s="1468"/>
      <c r="H11" s="1468"/>
      <c r="I11" s="1468"/>
      <c r="J11" s="935" t="s">
        <v>672</v>
      </c>
      <c r="K11" s="936" t="s">
        <v>673</v>
      </c>
      <c r="L11" s="935" t="s">
        <v>672</v>
      </c>
      <c r="M11" s="936" t="s">
        <v>673</v>
      </c>
      <c r="N11" s="1468"/>
      <c r="O11" s="1468"/>
      <c r="P11" s="1468"/>
      <c r="Q11" s="1468"/>
      <c r="R11" s="1468"/>
      <c r="S11" s="1468"/>
      <c r="T11" s="1468"/>
      <c r="U11" s="1468"/>
      <c r="V11" s="1036" t="s">
        <v>672</v>
      </c>
      <c r="W11" s="1037" t="s">
        <v>673</v>
      </c>
      <c r="X11" s="1036" t="s">
        <v>672</v>
      </c>
      <c r="Y11" s="1037" t="s">
        <v>673</v>
      </c>
      <c r="Z11" s="1038" t="s">
        <v>674</v>
      </c>
      <c r="AA11" s="1038" t="s">
        <v>675</v>
      </c>
      <c r="AB11" s="1038" t="s">
        <v>674</v>
      </c>
      <c r="AC11" s="1038" t="s">
        <v>675</v>
      </c>
      <c r="AD11" s="1038" t="s">
        <v>674</v>
      </c>
      <c r="AE11" s="1038" t="s">
        <v>675</v>
      </c>
      <c r="AF11" s="1437"/>
      <c r="AG11" s="1427"/>
      <c r="AH11" s="1427"/>
      <c r="AI11" s="688" t="s">
        <v>672</v>
      </c>
      <c r="AJ11" s="689" t="s">
        <v>673</v>
      </c>
      <c r="AK11" s="690" t="s">
        <v>672</v>
      </c>
      <c r="AL11" s="691" t="s">
        <v>673</v>
      </c>
      <c r="AM11" s="1427"/>
      <c r="AN11" s="692" t="s">
        <v>672</v>
      </c>
      <c r="AO11" s="693" t="s">
        <v>673</v>
      </c>
      <c r="AP11" s="694" t="s">
        <v>672</v>
      </c>
      <c r="AQ11" s="695" t="s">
        <v>673</v>
      </c>
      <c r="AR11" s="689" t="s">
        <v>674</v>
      </c>
      <c r="AS11" s="689" t="s">
        <v>675</v>
      </c>
      <c r="AT11" s="691" t="s">
        <v>674</v>
      </c>
      <c r="AU11" s="691" t="s">
        <v>675</v>
      </c>
      <c r="AV11" s="691" t="s">
        <v>674</v>
      </c>
      <c r="AW11" s="691" t="s">
        <v>675</v>
      </c>
      <c r="AX11" s="1450"/>
      <c r="AY11" s="1453"/>
      <c r="AZ11" s="1425"/>
    </row>
    <row r="12" spans="1:52" ht="15.75" customHeight="1" thickBot="1">
      <c r="A12" s="937" t="s">
        <v>493</v>
      </c>
      <c r="B12" s="937" t="s">
        <v>494</v>
      </c>
      <c r="C12" s="937" t="s">
        <v>527</v>
      </c>
      <c r="D12" s="937" t="s">
        <v>549</v>
      </c>
      <c r="E12" s="937" t="s">
        <v>551</v>
      </c>
      <c r="F12" s="937" t="s">
        <v>563</v>
      </c>
      <c r="G12" s="937" t="s">
        <v>858</v>
      </c>
      <c r="H12" s="937" t="s">
        <v>567</v>
      </c>
      <c r="I12" s="937" t="s">
        <v>569</v>
      </c>
      <c r="J12" s="937" t="s">
        <v>571</v>
      </c>
      <c r="K12" s="937" t="s">
        <v>573</v>
      </c>
      <c r="L12" s="937" t="s">
        <v>575</v>
      </c>
      <c r="M12" s="937" t="s">
        <v>579</v>
      </c>
      <c r="N12" s="1039" t="s">
        <v>493</v>
      </c>
      <c r="O12" s="1039" t="s">
        <v>494</v>
      </c>
      <c r="P12" s="1039" t="s">
        <v>527</v>
      </c>
      <c r="Q12" s="1039" t="s">
        <v>549</v>
      </c>
      <c r="R12" s="1039" t="s">
        <v>551</v>
      </c>
      <c r="S12" s="1039" t="s">
        <v>563</v>
      </c>
      <c r="T12" s="1040" t="s">
        <v>969</v>
      </c>
      <c r="U12" s="1039" t="s">
        <v>567</v>
      </c>
      <c r="V12" s="1039" t="s">
        <v>569</v>
      </c>
      <c r="W12" s="1039" t="s">
        <v>571</v>
      </c>
      <c r="X12" s="1039" t="s">
        <v>573</v>
      </c>
      <c r="Y12" s="1039" t="s">
        <v>575</v>
      </c>
      <c r="Z12" s="1039" t="s">
        <v>579</v>
      </c>
      <c r="AA12" s="1039" t="s">
        <v>970</v>
      </c>
      <c r="AB12" s="1039" t="s">
        <v>971</v>
      </c>
      <c r="AC12" s="1039" t="s">
        <v>972</v>
      </c>
      <c r="AD12" s="1039" t="s">
        <v>973</v>
      </c>
      <c r="AE12" s="1039" t="s">
        <v>974</v>
      </c>
      <c r="AF12" s="701" t="s">
        <v>171</v>
      </c>
      <c r="AG12" s="389">
        <f>+H20</f>
        <v>1366000</v>
      </c>
      <c r="AH12" s="389">
        <f t="shared" ref="AH12:AL12" si="0">+I20</f>
        <v>0</v>
      </c>
      <c r="AI12" s="389">
        <f t="shared" si="0"/>
        <v>0</v>
      </c>
      <c r="AJ12" s="389">
        <f t="shared" si="0"/>
        <v>0</v>
      </c>
      <c r="AK12" s="389">
        <f t="shared" si="0"/>
        <v>0</v>
      </c>
      <c r="AL12" s="389">
        <f t="shared" si="0"/>
        <v>0</v>
      </c>
      <c r="AM12" s="389">
        <f>+U17</f>
        <v>381027.41000000003</v>
      </c>
      <c r="AN12" s="389">
        <f t="shared" ref="AN12:AW12" si="1">+V17</f>
        <v>0</v>
      </c>
      <c r="AO12" s="389">
        <f t="shared" si="1"/>
        <v>0</v>
      </c>
      <c r="AP12" s="389">
        <f t="shared" si="1"/>
        <v>0</v>
      </c>
      <c r="AQ12" s="389">
        <f t="shared" si="1"/>
        <v>0</v>
      </c>
      <c r="AR12" s="389">
        <f t="shared" si="1"/>
        <v>0</v>
      </c>
      <c r="AS12" s="389">
        <f t="shared" si="1"/>
        <v>0</v>
      </c>
      <c r="AT12" s="389">
        <f t="shared" si="1"/>
        <v>0</v>
      </c>
      <c r="AU12" s="389">
        <f t="shared" si="1"/>
        <v>0</v>
      </c>
      <c r="AV12" s="389">
        <f t="shared" si="1"/>
        <v>0</v>
      </c>
      <c r="AW12" s="389">
        <f t="shared" si="1"/>
        <v>0</v>
      </c>
      <c r="AX12" s="389">
        <f>+AW12+AU12+AS12+AQ12+AO12</f>
        <v>0</v>
      </c>
      <c r="AY12" s="696">
        <f>+'AKTIVI '!F15</f>
        <v>754</v>
      </c>
      <c r="AZ12" s="391">
        <f t="shared" ref="AZ12:AZ17" si="2">+IF((AJ12+-AX12-AY12)&gt;0,AJ12-AX12-AY12,0)</f>
        <v>0</v>
      </c>
    </row>
    <row r="13" spans="1:52" ht="15.75" customHeight="1">
      <c r="A13" s="938">
        <v>38</v>
      </c>
      <c r="B13" s="938">
        <v>72646118</v>
      </c>
      <c r="C13" s="939" t="s">
        <v>859</v>
      </c>
      <c r="D13" s="938" t="s">
        <v>860</v>
      </c>
      <c r="E13" s="938" t="s">
        <v>861</v>
      </c>
      <c r="F13" s="938" t="s">
        <v>862</v>
      </c>
      <c r="G13" s="940">
        <v>88000</v>
      </c>
      <c r="H13" s="940">
        <v>88000</v>
      </c>
      <c r="I13" s="938"/>
      <c r="J13" s="938"/>
      <c r="K13" s="938"/>
      <c r="L13" s="941"/>
      <c r="M13" s="941"/>
      <c r="N13" s="1041">
        <v>12</v>
      </c>
      <c r="O13" s="1041">
        <v>703503635</v>
      </c>
      <c r="P13" s="1042">
        <v>41000</v>
      </c>
      <c r="Q13" s="1043" t="s">
        <v>975</v>
      </c>
      <c r="R13" s="1043" t="s">
        <v>976</v>
      </c>
      <c r="S13" s="1043" t="s">
        <v>977</v>
      </c>
      <c r="T13" s="1044">
        <v>16027.41</v>
      </c>
      <c r="U13" s="1045">
        <v>16027.41</v>
      </c>
      <c r="V13" s="1017"/>
      <c r="W13" s="1017"/>
      <c r="X13" s="1046"/>
      <c r="Y13" s="1046"/>
      <c r="Z13" s="1047"/>
      <c r="AA13" s="1046"/>
      <c r="AB13" s="1046"/>
      <c r="AC13" s="1046"/>
      <c r="AD13" s="1046"/>
      <c r="AE13" s="1048"/>
      <c r="AF13" s="702" t="s">
        <v>172</v>
      </c>
      <c r="AG13" s="389">
        <f>+H57</f>
        <v>1036000</v>
      </c>
      <c r="AH13" s="389">
        <f t="shared" ref="AH13:AL13" si="3">+I57</f>
        <v>0</v>
      </c>
      <c r="AI13" s="389">
        <f t="shared" si="3"/>
        <v>0</v>
      </c>
      <c r="AJ13" s="389">
        <f t="shared" si="3"/>
        <v>0</v>
      </c>
      <c r="AK13" s="389">
        <f t="shared" si="3"/>
        <v>0</v>
      </c>
      <c r="AL13" s="389">
        <f t="shared" si="3"/>
        <v>0</v>
      </c>
      <c r="AM13" s="389">
        <f>+U55</f>
        <v>811955.21</v>
      </c>
      <c r="AN13" s="389">
        <f t="shared" ref="AN13:AW13" si="4">+V55</f>
        <v>0</v>
      </c>
      <c r="AO13" s="389">
        <f t="shared" si="4"/>
        <v>0</v>
      </c>
      <c r="AP13" s="389">
        <f t="shared" si="4"/>
        <v>0</v>
      </c>
      <c r="AQ13" s="389">
        <f t="shared" si="4"/>
        <v>0</v>
      </c>
      <c r="AR13" s="389">
        <f t="shared" si="4"/>
        <v>0</v>
      </c>
      <c r="AS13" s="389">
        <f t="shared" si="4"/>
        <v>0</v>
      </c>
      <c r="AT13" s="389">
        <f t="shared" si="4"/>
        <v>0</v>
      </c>
      <c r="AU13" s="389">
        <f t="shared" si="4"/>
        <v>0</v>
      </c>
      <c r="AV13" s="389">
        <f t="shared" si="4"/>
        <v>0</v>
      </c>
      <c r="AW13" s="389">
        <f t="shared" si="4"/>
        <v>0</v>
      </c>
      <c r="AX13" s="389">
        <f t="shared" ref="AX13:AX23" si="5">+AW13+AU13+AS13+AQ13+AO13</f>
        <v>0</v>
      </c>
      <c r="AY13" s="121">
        <f>IF((AJ12+AL12)-(AO12+AQ12+AS12+AU12+AW12)-AY12&gt;0,0,-((AJ12+AL12)-(AO12+AQ12+AS12+AU12+AW12)-AY12))</f>
        <v>754</v>
      </c>
      <c r="AZ13" s="391">
        <f t="shared" si="2"/>
        <v>0</v>
      </c>
    </row>
    <row r="14" spans="1:52" ht="15.75" customHeight="1">
      <c r="A14" s="942">
        <v>39</v>
      </c>
      <c r="B14" s="942">
        <v>72646119</v>
      </c>
      <c r="C14" s="942" t="s">
        <v>863</v>
      </c>
      <c r="D14" s="942" t="s">
        <v>860</v>
      </c>
      <c r="E14" s="942" t="s">
        <v>861</v>
      </c>
      <c r="F14" s="942" t="s">
        <v>862</v>
      </c>
      <c r="G14" s="943">
        <v>248000</v>
      </c>
      <c r="H14" s="943">
        <v>248000</v>
      </c>
      <c r="I14" s="942"/>
      <c r="J14" s="942"/>
      <c r="K14" s="942"/>
      <c r="L14" s="944"/>
      <c r="M14" s="944"/>
      <c r="N14" s="1041">
        <v>14</v>
      </c>
      <c r="O14" s="1041">
        <v>423614</v>
      </c>
      <c r="P14" s="1042">
        <v>41153</v>
      </c>
      <c r="Q14" s="1043" t="s">
        <v>978</v>
      </c>
      <c r="R14" s="1043" t="s">
        <v>861</v>
      </c>
      <c r="S14" s="1043" t="s">
        <v>979</v>
      </c>
      <c r="T14" s="1044">
        <v>132800</v>
      </c>
      <c r="U14" s="1045">
        <v>132800</v>
      </c>
      <c r="V14" s="1017"/>
      <c r="W14" s="1017"/>
      <c r="X14" s="1046"/>
      <c r="Y14" s="1046"/>
      <c r="Z14" s="1047"/>
      <c r="AA14" s="1046"/>
      <c r="AB14" s="1046"/>
      <c r="AC14" s="1046"/>
      <c r="AD14" s="1046"/>
      <c r="AE14" s="1048"/>
      <c r="AF14" s="702" t="s">
        <v>173</v>
      </c>
      <c r="AG14" s="389">
        <f>+H96</f>
        <v>1996000</v>
      </c>
      <c r="AH14" s="389">
        <f t="shared" ref="AH14:AL14" si="6">+I96</f>
        <v>0</v>
      </c>
      <c r="AI14" s="389">
        <f t="shared" si="6"/>
        <v>0</v>
      </c>
      <c r="AJ14" s="389">
        <f t="shared" si="6"/>
        <v>0</v>
      </c>
      <c r="AK14" s="389">
        <f t="shared" si="6"/>
        <v>0</v>
      </c>
      <c r="AL14" s="389">
        <f t="shared" si="6"/>
        <v>0</v>
      </c>
      <c r="AM14" s="389">
        <f>+U91</f>
        <v>596224.46</v>
      </c>
      <c r="AN14" s="389">
        <f t="shared" ref="AN14:AW14" si="7">+V91</f>
        <v>0</v>
      </c>
      <c r="AO14" s="389">
        <f t="shared" si="7"/>
        <v>0</v>
      </c>
      <c r="AP14" s="389">
        <f t="shared" si="7"/>
        <v>0</v>
      </c>
      <c r="AQ14" s="389">
        <f t="shared" si="7"/>
        <v>0</v>
      </c>
      <c r="AR14" s="389">
        <f t="shared" si="7"/>
        <v>0</v>
      </c>
      <c r="AS14" s="389">
        <f t="shared" si="7"/>
        <v>0</v>
      </c>
      <c r="AT14" s="389">
        <f t="shared" si="7"/>
        <v>0</v>
      </c>
      <c r="AU14" s="389">
        <f t="shared" si="7"/>
        <v>0</v>
      </c>
      <c r="AV14" s="389">
        <f t="shared" si="7"/>
        <v>0</v>
      </c>
      <c r="AW14" s="389">
        <f t="shared" si="7"/>
        <v>0</v>
      </c>
      <c r="AX14" s="389">
        <f>+AW14+AU14+AS14+AQ14+AO14</f>
        <v>0</v>
      </c>
      <c r="AY14" s="121">
        <f t="shared" ref="AY14:AY24" si="8">IF((AJ13+AL13)-(AO13+AQ13+AS13+AU13+AW13)-AY13&gt;0,0,-((AJ13+AL13)-(AO13+AQ13+AS13+AU13+AW13)-AY13))</f>
        <v>754</v>
      </c>
      <c r="AZ14" s="391">
        <f t="shared" si="2"/>
        <v>0</v>
      </c>
    </row>
    <row r="15" spans="1:52" ht="15.75" customHeight="1">
      <c r="A15" s="942">
        <v>59</v>
      </c>
      <c r="B15" s="942">
        <v>530014</v>
      </c>
      <c r="C15" s="942" t="s">
        <v>859</v>
      </c>
      <c r="D15" s="942" t="s">
        <v>864</v>
      </c>
      <c r="E15" s="942" t="s">
        <v>861</v>
      </c>
      <c r="F15" s="942" t="s">
        <v>862</v>
      </c>
      <c r="G15" s="943">
        <v>296000</v>
      </c>
      <c r="H15" s="943">
        <v>296000</v>
      </c>
      <c r="I15" s="942"/>
      <c r="J15" s="942"/>
      <c r="K15" s="942"/>
      <c r="L15" s="944"/>
      <c r="M15" s="944"/>
      <c r="N15" s="1041">
        <v>25</v>
      </c>
      <c r="O15" s="1041">
        <v>423625</v>
      </c>
      <c r="P15" s="1042">
        <v>41153</v>
      </c>
      <c r="Q15" s="1043" t="s">
        <v>978</v>
      </c>
      <c r="R15" s="1043" t="s">
        <v>861</v>
      </c>
      <c r="S15" s="1043" t="s">
        <v>979</v>
      </c>
      <c r="T15" s="1044">
        <v>77700</v>
      </c>
      <c r="U15" s="1045">
        <v>77700</v>
      </c>
      <c r="V15" s="1017"/>
      <c r="W15" s="1017"/>
      <c r="X15" s="1046"/>
      <c r="Y15" s="1046"/>
      <c r="Z15" s="1047"/>
      <c r="AA15" s="1046"/>
      <c r="AB15" s="1046"/>
      <c r="AC15" s="1046"/>
      <c r="AD15" s="1046"/>
      <c r="AE15" s="1048"/>
      <c r="AF15" s="702" t="s">
        <v>174</v>
      </c>
      <c r="AG15" s="121">
        <f>+H129</f>
        <v>2294000</v>
      </c>
      <c r="AH15" s="121">
        <f t="shared" ref="AH15:AL15" si="9">+I129</f>
        <v>0</v>
      </c>
      <c r="AI15" s="121">
        <f t="shared" si="9"/>
        <v>0</v>
      </c>
      <c r="AJ15" s="121">
        <f t="shared" si="9"/>
        <v>0</v>
      </c>
      <c r="AK15" s="121">
        <f t="shared" si="9"/>
        <v>0</v>
      </c>
      <c r="AL15" s="121">
        <f t="shared" si="9"/>
        <v>0</v>
      </c>
      <c r="AM15" s="121">
        <f>+U122</f>
        <v>303982</v>
      </c>
      <c r="AN15" s="121">
        <f t="shared" ref="AN15:AW15" si="10">+V122</f>
        <v>0</v>
      </c>
      <c r="AO15" s="121">
        <f t="shared" si="10"/>
        <v>0</v>
      </c>
      <c r="AP15" s="121">
        <f t="shared" si="10"/>
        <v>0</v>
      </c>
      <c r="AQ15" s="121">
        <f t="shared" si="10"/>
        <v>0</v>
      </c>
      <c r="AR15" s="121">
        <f t="shared" si="10"/>
        <v>0</v>
      </c>
      <c r="AS15" s="121">
        <f t="shared" si="10"/>
        <v>0</v>
      </c>
      <c r="AT15" s="121">
        <f t="shared" si="10"/>
        <v>0</v>
      </c>
      <c r="AU15" s="121">
        <f t="shared" si="10"/>
        <v>0</v>
      </c>
      <c r="AV15" s="121">
        <f t="shared" si="10"/>
        <v>0</v>
      </c>
      <c r="AW15" s="121">
        <f t="shared" si="10"/>
        <v>0</v>
      </c>
      <c r="AX15" s="389">
        <f t="shared" si="5"/>
        <v>0</v>
      </c>
      <c r="AY15" s="121">
        <f>IF((AJ14+AL14)-(AO14+AQ14+AS14+AU14+AW14)-AY14&gt;0,0,-((AJ14+AL14)-(AO14+AQ14+AS14+AU14+AW14)-AY14))</f>
        <v>754</v>
      </c>
      <c r="AZ15" s="391">
        <f t="shared" si="2"/>
        <v>0</v>
      </c>
    </row>
    <row r="16" spans="1:52" ht="15.75" customHeight="1" thickBot="1">
      <c r="A16" s="942">
        <v>60</v>
      </c>
      <c r="B16" s="942">
        <v>530015</v>
      </c>
      <c r="C16" s="942" t="s">
        <v>859</v>
      </c>
      <c r="D16" s="942" t="s">
        <v>864</v>
      </c>
      <c r="E16" s="942" t="s">
        <v>861</v>
      </c>
      <c r="F16" s="942" t="s">
        <v>862</v>
      </c>
      <c r="G16" s="943">
        <v>120000</v>
      </c>
      <c r="H16" s="943">
        <v>120000</v>
      </c>
      <c r="I16" s="942"/>
      <c r="J16" s="942"/>
      <c r="K16" s="942"/>
      <c r="L16" s="944"/>
      <c r="M16" s="944"/>
      <c r="N16" s="1041">
        <v>87</v>
      </c>
      <c r="O16" s="1041">
        <v>88891087</v>
      </c>
      <c r="P16" s="1042">
        <v>41153</v>
      </c>
      <c r="Q16" s="1043" t="s">
        <v>978</v>
      </c>
      <c r="R16" s="1043" t="s">
        <v>861</v>
      </c>
      <c r="S16" s="1043" t="s">
        <v>979</v>
      </c>
      <c r="T16" s="1044">
        <v>154500</v>
      </c>
      <c r="U16" s="1045">
        <v>154500</v>
      </c>
      <c r="V16" s="1017"/>
      <c r="W16" s="1017"/>
      <c r="X16" s="1046"/>
      <c r="Y16" s="1046"/>
      <c r="Z16" s="1047"/>
      <c r="AA16" s="1046"/>
      <c r="AB16" s="1046"/>
      <c r="AC16" s="1046"/>
      <c r="AD16" s="1046"/>
      <c r="AE16" s="1048"/>
      <c r="AF16" s="702" t="s">
        <v>175</v>
      </c>
      <c r="AG16" s="389">
        <f>+H164</f>
        <v>2456000</v>
      </c>
      <c r="AH16" s="389">
        <f t="shared" ref="AH16:AL16" si="11">+I164</f>
        <v>0</v>
      </c>
      <c r="AI16" s="389">
        <f t="shared" si="11"/>
        <v>0</v>
      </c>
      <c r="AJ16" s="389">
        <f t="shared" si="11"/>
        <v>0</v>
      </c>
      <c r="AK16" s="389">
        <f t="shared" si="11"/>
        <v>0</v>
      </c>
      <c r="AL16" s="389">
        <f t="shared" si="11"/>
        <v>0</v>
      </c>
      <c r="AM16" s="389">
        <f>+U159</f>
        <v>294529.08999999997</v>
      </c>
      <c r="AN16" s="389">
        <f t="shared" ref="AN16:AW16" si="12">+V159</f>
        <v>0</v>
      </c>
      <c r="AO16" s="389">
        <f t="shared" si="12"/>
        <v>0</v>
      </c>
      <c r="AP16" s="389">
        <f t="shared" si="12"/>
        <v>0</v>
      </c>
      <c r="AQ16" s="389">
        <f t="shared" si="12"/>
        <v>0</v>
      </c>
      <c r="AR16" s="389">
        <f t="shared" si="12"/>
        <v>0</v>
      </c>
      <c r="AS16" s="389">
        <f t="shared" si="12"/>
        <v>0</v>
      </c>
      <c r="AT16" s="389">
        <f t="shared" si="12"/>
        <v>0</v>
      </c>
      <c r="AU16" s="389">
        <f t="shared" si="12"/>
        <v>0</v>
      </c>
      <c r="AV16" s="389">
        <f t="shared" si="12"/>
        <v>0</v>
      </c>
      <c r="AW16" s="389">
        <f t="shared" si="12"/>
        <v>0</v>
      </c>
      <c r="AX16" s="389">
        <f t="shared" si="5"/>
        <v>0</v>
      </c>
      <c r="AY16" s="121">
        <f t="shared" si="8"/>
        <v>754</v>
      </c>
      <c r="AZ16" s="391">
        <f t="shared" si="2"/>
        <v>0</v>
      </c>
    </row>
    <row r="17" spans="1:52" ht="15.75" customHeight="1" thickBot="1">
      <c r="A17" s="942">
        <v>61</v>
      </c>
      <c r="B17" s="942">
        <v>530016</v>
      </c>
      <c r="C17" s="942" t="s">
        <v>863</v>
      </c>
      <c r="D17" s="942" t="s">
        <v>864</v>
      </c>
      <c r="E17" s="942" t="s">
        <v>861</v>
      </c>
      <c r="F17" s="942" t="s">
        <v>862</v>
      </c>
      <c r="G17" s="943">
        <v>200000</v>
      </c>
      <c r="H17" s="943">
        <v>200000</v>
      </c>
      <c r="I17" s="942"/>
      <c r="J17" s="942"/>
      <c r="K17" s="942"/>
      <c r="L17" s="944"/>
      <c r="M17" s="944"/>
      <c r="N17" s="1458" t="s">
        <v>866</v>
      </c>
      <c r="O17" s="1459"/>
      <c r="P17" s="1459"/>
      <c r="Q17" s="1459"/>
      <c r="R17" s="1459"/>
      <c r="S17" s="1460"/>
      <c r="T17" s="947">
        <f>SUM(T13:T16)</f>
        <v>381027.41000000003</v>
      </c>
      <c r="U17" s="947">
        <f>SUM(U13:U16)</f>
        <v>381027.41000000003</v>
      </c>
      <c r="V17" s="947"/>
      <c r="W17" s="1049"/>
      <c r="X17" s="949"/>
      <c r="Y17" s="949"/>
      <c r="Z17" s="949"/>
      <c r="AA17" s="949"/>
      <c r="AB17" s="949"/>
      <c r="AC17" s="949"/>
      <c r="AD17" s="949"/>
      <c r="AE17" s="950"/>
      <c r="AF17" s="702" t="s">
        <v>176</v>
      </c>
      <c r="AG17" s="121">
        <f>+H196</f>
        <v>1808000</v>
      </c>
      <c r="AH17" s="121">
        <f t="shared" ref="AH17:AL17" si="13">+I196</f>
        <v>0</v>
      </c>
      <c r="AI17" s="121">
        <f t="shared" si="13"/>
        <v>0</v>
      </c>
      <c r="AJ17" s="121">
        <f t="shared" si="13"/>
        <v>0</v>
      </c>
      <c r="AK17" s="121">
        <f t="shared" si="13"/>
        <v>0</v>
      </c>
      <c r="AL17" s="121">
        <f t="shared" si="13"/>
        <v>0</v>
      </c>
      <c r="AM17" s="121">
        <f>+U192</f>
        <v>162170.1</v>
      </c>
      <c r="AN17" s="121">
        <f t="shared" ref="AN17:AW17" si="14">+V192</f>
        <v>0</v>
      </c>
      <c r="AO17" s="121">
        <f t="shared" si="14"/>
        <v>0</v>
      </c>
      <c r="AP17" s="121">
        <f t="shared" si="14"/>
        <v>0</v>
      </c>
      <c r="AQ17" s="121">
        <f t="shared" si="14"/>
        <v>0</v>
      </c>
      <c r="AR17" s="121">
        <f t="shared" si="14"/>
        <v>0</v>
      </c>
      <c r="AS17" s="121">
        <f t="shared" si="14"/>
        <v>0</v>
      </c>
      <c r="AT17" s="121">
        <f t="shared" si="14"/>
        <v>0</v>
      </c>
      <c r="AU17" s="121">
        <f t="shared" si="14"/>
        <v>0</v>
      </c>
      <c r="AV17" s="121">
        <f t="shared" si="14"/>
        <v>0</v>
      </c>
      <c r="AW17" s="121">
        <f t="shared" si="14"/>
        <v>0</v>
      </c>
      <c r="AX17" s="389">
        <f t="shared" si="5"/>
        <v>0</v>
      </c>
      <c r="AY17" s="121">
        <f t="shared" si="8"/>
        <v>754</v>
      </c>
      <c r="AZ17" s="391">
        <f t="shared" si="2"/>
        <v>0</v>
      </c>
    </row>
    <row r="18" spans="1:52" ht="15.75" customHeight="1" thickBot="1">
      <c r="A18" s="942">
        <v>62</v>
      </c>
      <c r="B18" s="942">
        <v>530017</v>
      </c>
      <c r="C18" s="945" t="s">
        <v>863</v>
      </c>
      <c r="D18" s="942" t="s">
        <v>864</v>
      </c>
      <c r="E18" s="942" t="s">
        <v>861</v>
      </c>
      <c r="F18" s="942" t="s">
        <v>862</v>
      </c>
      <c r="G18" s="943">
        <v>120000</v>
      </c>
      <c r="H18" s="943">
        <v>120000</v>
      </c>
      <c r="I18" s="942"/>
      <c r="J18" s="942"/>
      <c r="K18" s="942"/>
      <c r="L18" s="944"/>
      <c r="M18" s="944"/>
      <c r="N18" s="1461" t="s">
        <v>867</v>
      </c>
      <c r="O18" s="1462"/>
      <c r="P18" s="1462"/>
      <c r="Q18" s="1462"/>
      <c r="R18" s="1462"/>
      <c r="S18" s="1462"/>
      <c r="T18" s="1463"/>
      <c r="U18" s="951" t="s">
        <v>980</v>
      </c>
      <c r="V18" s="951" t="s">
        <v>981</v>
      </c>
      <c r="W18" s="951" t="s">
        <v>982</v>
      </c>
      <c r="X18" s="951" t="s">
        <v>983</v>
      </c>
      <c r="Y18" s="951" t="s">
        <v>984</v>
      </c>
      <c r="Z18" s="951" t="s">
        <v>985</v>
      </c>
      <c r="AA18" s="951" t="s">
        <v>986</v>
      </c>
      <c r="AB18" s="951" t="s">
        <v>987</v>
      </c>
      <c r="AC18" s="951" t="s">
        <v>988</v>
      </c>
      <c r="AD18" s="951" t="s">
        <v>989</v>
      </c>
      <c r="AE18" s="951" t="s">
        <v>990</v>
      </c>
      <c r="AF18" s="702" t="s">
        <v>177</v>
      </c>
      <c r="AG18" s="389">
        <f>+I221</f>
        <v>0</v>
      </c>
      <c r="AH18" s="389">
        <f t="shared" ref="AH18:AK18" si="15">+J221</f>
        <v>0</v>
      </c>
      <c r="AI18" s="389">
        <f t="shared" si="15"/>
        <v>0</v>
      </c>
      <c r="AJ18" s="389">
        <f t="shared" si="15"/>
        <v>0</v>
      </c>
      <c r="AK18" s="389">
        <f t="shared" si="15"/>
        <v>0</v>
      </c>
      <c r="AL18" s="389"/>
      <c r="AM18" s="389">
        <f>+U222</f>
        <v>13709.37</v>
      </c>
      <c r="AN18" s="389">
        <f t="shared" ref="AN18:AW18" si="16">+V222</f>
        <v>0</v>
      </c>
      <c r="AO18" s="389">
        <f t="shared" si="16"/>
        <v>0</v>
      </c>
      <c r="AP18" s="389">
        <f t="shared" si="16"/>
        <v>0</v>
      </c>
      <c r="AQ18" s="389">
        <f t="shared" si="16"/>
        <v>0</v>
      </c>
      <c r="AR18" s="389">
        <f t="shared" si="16"/>
        <v>0</v>
      </c>
      <c r="AS18" s="389">
        <f t="shared" si="16"/>
        <v>0</v>
      </c>
      <c r="AT18" s="389">
        <f t="shared" si="16"/>
        <v>0</v>
      </c>
      <c r="AU18" s="389">
        <f t="shared" si="16"/>
        <v>0</v>
      </c>
      <c r="AV18" s="389">
        <f t="shared" si="16"/>
        <v>0</v>
      </c>
      <c r="AW18" s="389">
        <f t="shared" si="16"/>
        <v>0</v>
      </c>
      <c r="AX18" s="389">
        <f t="shared" si="5"/>
        <v>0</v>
      </c>
      <c r="AY18" s="121">
        <f>IF((AJ17+AL17)-(AO17+AQ17+AS17+AU17+AW17)-AY17&gt;0,0,-((AJ17+AL17)-(AO17+AQ17+AS17+AU17+AW17)-AY17))</f>
        <v>754</v>
      </c>
      <c r="AZ18" s="391">
        <f t="shared" ref="AZ18:AZ23" si="17">+IF((AJ18+-AX18-AY18)&gt;0,AJ18-AX18-AY18,0)</f>
        <v>0</v>
      </c>
    </row>
    <row r="19" spans="1:52" ht="15.75" customHeight="1" thickBot="1">
      <c r="A19" s="942">
        <v>5</v>
      </c>
      <c r="B19" s="942">
        <v>69420114</v>
      </c>
      <c r="C19" s="945" t="s">
        <v>859</v>
      </c>
      <c r="D19" s="942" t="s">
        <v>865</v>
      </c>
      <c r="E19" s="942" t="s">
        <v>861</v>
      </c>
      <c r="F19" s="942" t="s">
        <v>862</v>
      </c>
      <c r="G19" s="943">
        <v>294000</v>
      </c>
      <c r="H19" s="943">
        <v>294000</v>
      </c>
      <c r="I19" s="942"/>
      <c r="J19" s="942"/>
      <c r="K19" s="942"/>
      <c r="L19" s="944"/>
      <c r="M19" s="944"/>
      <c r="N19" s="561"/>
      <c r="O19" s="561"/>
      <c r="P19" s="561"/>
      <c r="Q19" s="561"/>
      <c r="R19" s="561"/>
      <c r="S19" s="561"/>
      <c r="T19" s="561"/>
      <c r="U19" s="561"/>
      <c r="V19" s="561"/>
      <c r="W19" s="561"/>
      <c r="X19" s="561"/>
      <c r="Y19" s="561"/>
      <c r="Z19" s="561"/>
      <c r="AA19" s="561"/>
      <c r="AB19" s="561"/>
      <c r="AC19" s="561"/>
      <c r="AD19" s="561"/>
      <c r="AE19" s="561"/>
      <c r="AF19" s="702" t="s">
        <v>178</v>
      </c>
      <c r="AG19" s="121">
        <f>+H256</f>
        <v>0</v>
      </c>
      <c r="AH19" s="121">
        <f t="shared" ref="AH19:AL19" si="18">+I256</f>
        <v>0</v>
      </c>
      <c r="AI19" s="121">
        <f t="shared" si="18"/>
        <v>0</v>
      </c>
      <c r="AJ19" s="121">
        <f t="shared" si="18"/>
        <v>0</v>
      </c>
      <c r="AK19" s="121">
        <f t="shared" si="18"/>
        <v>0</v>
      </c>
      <c r="AL19" s="121">
        <f t="shared" si="18"/>
        <v>0</v>
      </c>
      <c r="AM19" s="121">
        <f>+U256</f>
        <v>13596.47</v>
      </c>
      <c r="AN19" s="121">
        <f t="shared" ref="AN19:AW19" si="19">+V256</f>
        <v>0</v>
      </c>
      <c r="AO19" s="121">
        <f t="shared" si="19"/>
        <v>0</v>
      </c>
      <c r="AP19" s="121">
        <f t="shared" si="19"/>
        <v>0</v>
      </c>
      <c r="AQ19" s="121">
        <f t="shared" si="19"/>
        <v>0</v>
      </c>
      <c r="AR19" s="121">
        <f t="shared" si="19"/>
        <v>0</v>
      </c>
      <c r="AS19" s="121">
        <f t="shared" si="19"/>
        <v>0</v>
      </c>
      <c r="AT19" s="121">
        <f t="shared" si="19"/>
        <v>0</v>
      </c>
      <c r="AU19" s="121">
        <f t="shared" si="19"/>
        <v>0</v>
      </c>
      <c r="AV19" s="121">
        <f t="shared" si="19"/>
        <v>0</v>
      </c>
      <c r="AW19" s="121">
        <f t="shared" si="19"/>
        <v>0</v>
      </c>
      <c r="AX19" s="389">
        <f t="shared" si="5"/>
        <v>0</v>
      </c>
      <c r="AY19" s="121">
        <f t="shared" si="8"/>
        <v>754</v>
      </c>
      <c r="AZ19" s="391">
        <f t="shared" si="17"/>
        <v>0</v>
      </c>
    </row>
    <row r="20" spans="1:52" ht="15.75" customHeight="1" thickBot="1">
      <c r="A20" s="1458" t="s">
        <v>866</v>
      </c>
      <c r="B20" s="1459"/>
      <c r="C20" s="1459"/>
      <c r="D20" s="1459"/>
      <c r="E20" s="1459"/>
      <c r="F20" s="1460"/>
      <c r="G20" s="946">
        <f>SUM(G13:G19)</f>
        <v>1366000</v>
      </c>
      <c r="H20" s="946">
        <f>SUM(H13:H19)</f>
        <v>1366000</v>
      </c>
      <c r="I20" s="947"/>
      <c r="J20" s="947"/>
      <c r="K20" s="948"/>
      <c r="L20" s="949"/>
      <c r="M20" s="950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702" t="s">
        <v>179</v>
      </c>
      <c r="AG20" s="389">
        <f>+H293</f>
        <v>1152000</v>
      </c>
      <c r="AH20" s="389">
        <f t="shared" ref="AH20:AL20" si="20">+I293</f>
        <v>0</v>
      </c>
      <c r="AI20" s="389">
        <f t="shared" si="20"/>
        <v>0</v>
      </c>
      <c r="AJ20" s="389">
        <f t="shared" si="20"/>
        <v>0</v>
      </c>
      <c r="AK20" s="389">
        <f t="shared" si="20"/>
        <v>0</v>
      </c>
      <c r="AL20" s="389">
        <f t="shared" si="20"/>
        <v>0</v>
      </c>
      <c r="AM20" s="389">
        <f>+U293</f>
        <v>113367.67</v>
      </c>
      <c r="AN20" s="389">
        <f t="shared" ref="AN20:AW20" si="21">+V293</f>
        <v>0</v>
      </c>
      <c r="AO20" s="389">
        <f t="shared" si="21"/>
        <v>0</v>
      </c>
      <c r="AP20" s="389">
        <f t="shared" si="21"/>
        <v>0</v>
      </c>
      <c r="AQ20" s="389">
        <f t="shared" si="21"/>
        <v>0</v>
      </c>
      <c r="AR20" s="389">
        <f t="shared" si="21"/>
        <v>0</v>
      </c>
      <c r="AS20" s="389">
        <f t="shared" si="21"/>
        <v>0</v>
      </c>
      <c r="AT20" s="389">
        <f t="shared" si="21"/>
        <v>0</v>
      </c>
      <c r="AU20" s="389">
        <f t="shared" si="21"/>
        <v>0</v>
      </c>
      <c r="AV20" s="389">
        <f t="shared" si="21"/>
        <v>0</v>
      </c>
      <c r="AW20" s="389">
        <f t="shared" si="21"/>
        <v>0</v>
      </c>
      <c r="AX20" s="389">
        <f t="shared" si="5"/>
        <v>0</v>
      </c>
      <c r="AY20" s="121">
        <f t="shared" si="8"/>
        <v>754</v>
      </c>
      <c r="AZ20" s="391">
        <f t="shared" si="17"/>
        <v>0</v>
      </c>
    </row>
    <row r="21" spans="1:52" ht="12.75" customHeight="1" thickBot="1">
      <c r="A21" s="1461" t="s">
        <v>867</v>
      </c>
      <c r="B21" s="1462"/>
      <c r="C21" s="1462"/>
      <c r="D21" s="1462"/>
      <c r="E21" s="1462"/>
      <c r="F21" s="1462"/>
      <c r="G21" s="1463"/>
      <c r="H21" s="951" t="s">
        <v>868</v>
      </c>
      <c r="I21" s="951" t="s">
        <v>869</v>
      </c>
      <c r="J21" s="951" t="s">
        <v>870</v>
      </c>
      <c r="K21" s="951" t="s">
        <v>871</v>
      </c>
      <c r="L21" s="951" t="s">
        <v>872</v>
      </c>
      <c r="M21" s="951" t="s">
        <v>873</v>
      </c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  <c r="AC21" s="561"/>
      <c r="AD21" s="953" t="s">
        <v>991</v>
      </c>
      <c r="AE21" s="561"/>
      <c r="AF21" s="702" t="s">
        <v>180</v>
      </c>
      <c r="AG21" s="121">
        <f>+H332</f>
        <v>1250000</v>
      </c>
      <c r="AH21" s="121">
        <f t="shared" ref="AH21:AL21" si="22">+I332</f>
        <v>0</v>
      </c>
      <c r="AI21" s="121">
        <f t="shared" si="22"/>
        <v>0</v>
      </c>
      <c r="AJ21" s="121">
        <f t="shared" si="22"/>
        <v>0</v>
      </c>
      <c r="AK21" s="121">
        <f t="shared" si="22"/>
        <v>0</v>
      </c>
      <c r="AL21" s="121">
        <f t="shared" si="22"/>
        <v>0</v>
      </c>
      <c r="AM21" s="121">
        <f>+U328</f>
        <v>640220.37</v>
      </c>
      <c r="AN21" s="121">
        <f t="shared" ref="AN21:AW21" si="23">+V328</f>
        <v>0</v>
      </c>
      <c r="AO21" s="121">
        <f t="shared" si="23"/>
        <v>0</v>
      </c>
      <c r="AP21" s="121">
        <f t="shared" si="23"/>
        <v>0</v>
      </c>
      <c r="AQ21" s="121">
        <f t="shared" si="23"/>
        <v>0</v>
      </c>
      <c r="AR21" s="121">
        <f t="shared" si="23"/>
        <v>0</v>
      </c>
      <c r="AS21" s="121">
        <f t="shared" si="23"/>
        <v>0</v>
      </c>
      <c r="AT21" s="121">
        <f t="shared" si="23"/>
        <v>0</v>
      </c>
      <c r="AU21" s="121">
        <f t="shared" si="23"/>
        <v>0</v>
      </c>
      <c r="AV21" s="121">
        <f t="shared" si="23"/>
        <v>0</v>
      </c>
      <c r="AW21" s="121">
        <f t="shared" si="23"/>
        <v>0</v>
      </c>
      <c r="AX21" s="389">
        <f t="shared" si="5"/>
        <v>0</v>
      </c>
      <c r="AY21" s="121">
        <f t="shared" si="8"/>
        <v>754</v>
      </c>
      <c r="AZ21" s="391">
        <f t="shared" si="17"/>
        <v>0</v>
      </c>
    </row>
    <row r="22" spans="1:52" ht="12.75" customHeight="1">
      <c r="A22" s="561"/>
      <c r="B22" s="561"/>
      <c r="C22" s="561"/>
      <c r="D22" s="561"/>
      <c r="E22" s="561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61"/>
      <c r="AB22" s="561"/>
      <c r="AC22" s="561" t="s">
        <v>992</v>
      </c>
      <c r="AD22" s="953"/>
      <c r="AE22" s="561"/>
      <c r="AF22" s="702" t="s">
        <v>181</v>
      </c>
      <c r="AG22" s="389">
        <f>+H361</f>
        <v>624000</v>
      </c>
      <c r="AH22" s="389">
        <f t="shared" ref="AH22:AL22" si="24">+I361</f>
        <v>0</v>
      </c>
      <c r="AI22" s="389">
        <f t="shared" si="24"/>
        <v>0</v>
      </c>
      <c r="AJ22" s="389">
        <f t="shared" si="24"/>
        <v>0</v>
      </c>
      <c r="AK22" s="389">
        <f t="shared" si="24"/>
        <v>0</v>
      </c>
      <c r="AL22" s="389">
        <f t="shared" si="24"/>
        <v>0</v>
      </c>
      <c r="AM22" s="389">
        <f>+U365</f>
        <v>372175.68</v>
      </c>
      <c r="AN22" s="389">
        <f t="shared" ref="AN22:AW22" si="25">+V365</f>
        <v>0</v>
      </c>
      <c r="AO22" s="389">
        <f t="shared" si="25"/>
        <v>0</v>
      </c>
      <c r="AP22" s="389">
        <f t="shared" si="25"/>
        <v>0</v>
      </c>
      <c r="AQ22" s="389">
        <f t="shared" si="25"/>
        <v>0</v>
      </c>
      <c r="AR22" s="389">
        <f t="shared" si="25"/>
        <v>0</v>
      </c>
      <c r="AS22" s="389">
        <f t="shared" si="25"/>
        <v>0</v>
      </c>
      <c r="AT22" s="389">
        <f t="shared" si="25"/>
        <v>0</v>
      </c>
      <c r="AU22" s="389">
        <f t="shared" si="25"/>
        <v>0</v>
      </c>
      <c r="AV22" s="389">
        <f t="shared" si="25"/>
        <v>0</v>
      </c>
      <c r="AW22" s="389">
        <f t="shared" si="25"/>
        <v>0</v>
      </c>
      <c r="AX22" s="389">
        <f t="shared" si="5"/>
        <v>0</v>
      </c>
      <c r="AY22" s="121">
        <f t="shared" si="8"/>
        <v>754</v>
      </c>
      <c r="AZ22" s="391">
        <f t="shared" si="17"/>
        <v>0</v>
      </c>
    </row>
    <row r="23" spans="1:52" ht="12.75" customHeight="1">
      <c r="A23" s="561"/>
      <c r="B23" s="561"/>
      <c r="C23" s="561"/>
      <c r="D23" s="561"/>
      <c r="E23" s="561"/>
      <c r="F23" s="561"/>
      <c r="G23" s="561"/>
      <c r="H23" s="561"/>
      <c r="I23" s="561"/>
      <c r="J23" s="561"/>
      <c r="K23" s="952"/>
      <c r="L23" s="561"/>
      <c r="M23" s="561"/>
      <c r="N23" s="561" t="s">
        <v>876</v>
      </c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1"/>
      <c r="AF23" s="702" t="s">
        <v>182</v>
      </c>
      <c r="AG23" s="121">
        <f>+H391</f>
        <v>0</v>
      </c>
      <c r="AH23" s="121">
        <f t="shared" ref="AH23:AL23" si="26">+I391</f>
        <v>0</v>
      </c>
      <c r="AI23" s="121">
        <f t="shared" si="26"/>
        <v>0</v>
      </c>
      <c r="AJ23" s="121">
        <f t="shared" si="26"/>
        <v>0</v>
      </c>
      <c r="AK23" s="121">
        <f t="shared" si="26"/>
        <v>0</v>
      </c>
      <c r="AL23" s="121">
        <f t="shared" si="26"/>
        <v>0</v>
      </c>
      <c r="AM23" s="121">
        <f>+U393</f>
        <v>48915.770000000004</v>
      </c>
      <c r="AN23" s="121">
        <f t="shared" ref="AN23:AW23" si="27">+V393</f>
        <v>0</v>
      </c>
      <c r="AO23" s="121">
        <f t="shared" si="27"/>
        <v>0</v>
      </c>
      <c r="AP23" s="121">
        <f t="shared" si="27"/>
        <v>0</v>
      </c>
      <c r="AQ23" s="121">
        <f t="shared" si="27"/>
        <v>0</v>
      </c>
      <c r="AR23" s="121">
        <f t="shared" si="27"/>
        <v>0</v>
      </c>
      <c r="AS23" s="121">
        <f t="shared" si="27"/>
        <v>0</v>
      </c>
      <c r="AT23" s="121">
        <f t="shared" si="27"/>
        <v>0</v>
      </c>
      <c r="AU23" s="121">
        <f t="shared" si="27"/>
        <v>0</v>
      </c>
      <c r="AV23" s="121">
        <f t="shared" si="27"/>
        <v>0</v>
      </c>
      <c r="AW23" s="121">
        <f t="shared" si="27"/>
        <v>0</v>
      </c>
      <c r="AX23" s="389">
        <f t="shared" si="5"/>
        <v>0</v>
      </c>
      <c r="AY23" s="121">
        <f t="shared" si="8"/>
        <v>754</v>
      </c>
      <c r="AZ23" s="391">
        <f t="shared" si="17"/>
        <v>0</v>
      </c>
    </row>
    <row r="24" spans="1:52" ht="12.75" customHeight="1">
      <c r="A24" s="561"/>
      <c r="B24" s="561"/>
      <c r="C24" s="561"/>
      <c r="D24" s="561" t="s">
        <v>134</v>
      </c>
      <c r="E24" s="561"/>
      <c r="F24" s="561"/>
      <c r="G24" s="561"/>
      <c r="H24" s="561"/>
      <c r="I24" s="561"/>
      <c r="J24" s="953" t="s">
        <v>874</v>
      </c>
      <c r="K24" s="561"/>
      <c r="L24" s="561"/>
      <c r="M24" s="561"/>
      <c r="N24" s="561" t="s">
        <v>877</v>
      </c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1115" t="s">
        <v>183</v>
      </c>
      <c r="AG24" s="1117"/>
      <c r="AH24" s="1117"/>
      <c r="AI24" s="1117"/>
      <c r="AJ24" s="1117"/>
      <c r="AK24" s="1117"/>
      <c r="AL24" s="1117"/>
      <c r="AM24" s="1117"/>
      <c r="AN24" s="1117"/>
      <c r="AO24" s="1117"/>
      <c r="AP24" s="1117"/>
      <c r="AQ24" s="1117"/>
      <c r="AR24" s="1117"/>
      <c r="AS24" s="1117"/>
      <c r="AT24" s="1117"/>
      <c r="AU24" s="1117"/>
      <c r="AV24" s="1117"/>
      <c r="AW24" s="1117"/>
      <c r="AX24" s="1117"/>
      <c r="AY24" s="1117">
        <f t="shared" si="8"/>
        <v>754</v>
      </c>
      <c r="AZ24" s="1118"/>
    </row>
    <row r="25" spans="1:52" ht="12.75" customHeight="1">
      <c r="A25" s="561"/>
      <c r="B25" s="561"/>
      <c r="C25" s="561"/>
      <c r="D25" s="561"/>
      <c r="E25" s="561"/>
      <c r="F25" s="561"/>
      <c r="G25" s="561"/>
      <c r="H25" s="561"/>
      <c r="I25" s="561"/>
      <c r="J25" s="561" t="s">
        <v>875</v>
      </c>
      <c r="K25" s="561"/>
      <c r="L25" s="561"/>
      <c r="M25" s="561"/>
      <c r="N25" s="561" t="s">
        <v>878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 s="1115" t="s">
        <v>183</v>
      </c>
      <c r="AG25" s="1117"/>
      <c r="AH25" s="1117"/>
      <c r="AI25" s="1117"/>
      <c r="AJ25" s="1117"/>
      <c r="AK25" s="1117"/>
      <c r="AL25" s="1117"/>
      <c r="AM25" s="1117"/>
      <c r="AN25" s="1117"/>
      <c r="AO25" s="1117"/>
      <c r="AP25" s="1117"/>
      <c r="AQ25" s="1117"/>
      <c r="AR25" s="1117"/>
      <c r="AS25" s="1117"/>
      <c r="AT25" s="1117"/>
      <c r="AU25" s="1117"/>
      <c r="AV25" s="1117"/>
      <c r="AW25" s="1117"/>
      <c r="AX25" s="1117"/>
      <c r="AY25" s="1117"/>
      <c r="AZ25" s="1118"/>
    </row>
    <row r="26" spans="1:52" ht="12.75" customHeight="1" thickBot="1">
      <c r="A26" s="561" t="s">
        <v>876</v>
      </c>
      <c r="B26" s="561"/>
      <c r="C26" s="561"/>
      <c r="D26" s="561"/>
      <c r="E26" s="561"/>
      <c r="F26" s="561"/>
      <c r="G26" s="561"/>
      <c r="H26" s="561"/>
      <c r="I26" s="561"/>
      <c r="J26" s="561"/>
      <c r="K26" s="954"/>
      <c r="L26" s="561"/>
      <c r="M26" s="561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 s="563"/>
      <c r="AG26" s="697"/>
      <c r="AH26" s="697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395"/>
    </row>
    <row r="27" spans="1:52" ht="20.25" customHeight="1" thickBot="1">
      <c r="A27" s="561" t="s">
        <v>877</v>
      </c>
      <c r="B27" s="561"/>
      <c r="C27" s="561"/>
      <c r="D27" s="561"/>
      <c r="E27" s="561"/>
      <c r="F27" s="561"/>
      <c r="G27" s="561"/>
      <c r="H27" s="561"/>
      <c r="I27" s="561"/>
      <c r="J27" s="561"/>
      <c r="K27" s="561"/>
      <c r="L27" s="561"/>
      <c r="M27" s="561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 s="703" t="s">
        <v>184</v>
      </c>
      <c r="AG27" s="698">
        <f>SUM(AG12:AG26)</f>
        <v>13982000</v>
      </c>
      <c r="AH27" s="698">
        <f t="shared" ref="AH27:AZ27" si="28">SUM(AH12:AH26)</f>
        <v>0</v>
      </c>
      <c r="AI27" s="698">
        <f t="shared" si="28"/>
        <v>0</v>
      </c>
      <c r="AJ27" s="698">
        <f t="shared" si="28"/>
        <v>0</v>
      </c>
      <c r="AK27" s="698">
        <f t="shared" si="28"/>
        <v>0</v>
      </c>
      <c r="AL27" s="698">
        <f t="shared" si="28"/>
        <v>0</v>
      </c>
      <c r="AM27" s="698">
        <f t="shared" si="28"/>
        <v>3751873.6000000006</v>
      </c>
      <c r="AN27" s="698">
        <f t="shared" si="28"/>
        <v>0</v>
      </c>
      <c r="AO27" s="698">
        <f t="shared" si="28"/>
        <v>0</v>
      </c>
      <c r="AP27" s="698">
        <f t="shared" si="28"/>
        <v>0</v>
      </c>
      <c r="AQ27" s="698">
        <f t="shared" si="28"/>
        <v>0</v>
      </c>
      <c r="AR27" s="698">
        <f t="shared" si="28"/>
        <v>0</v>
      </c>
      <c r="AS27" s="698">
        <f t="shared" si="28"/>
        <v>0</v>
      </c>
      <c r="AT27" s="698">
        <f t="shared" si="28"/>
        <v>0</v>
      </c>
      <c r="AU27" s="698">
        <f t="shared" si="28"/>
        <v>0</v>
      </c>
      <c r="AV27" s="698">
        <f t="shared" si="28"/>
        <v>0</v>
      </c>
      <c r="AW27" s="698">
        <f t="shared" si="28"/>
        <v>0</v>
      </c>
      <c r="AX27" s="698">
        <f t="shared" si="28"/>
        <v>0</v>
      </c>
      <c r="AY27" s="698">
        <f t="shared" si="28"/>
        <v>9802</v>
      </c>
      <c r="AZ27" s="704">
        <f t="shared" si="28"/>
        <v>0</v>
      </c>
    </row>
    <row r="28" spans="1:52" ht="16.5" customHeight="1">
      <c r="A28" s="561" t="s">
        <v>878</v>
      </c>
      <c r="B28"/>
      <c r="C28"/>
      <c r="D28"/>
      <c r="E28"/>
      <c r="F28"/>
      <c r="G28"/>
      <c r="H28"/>
      <c r="I28"/>
      <c r="J28"/>
      <c r="K28" s="561"/>
      <c r="L28" s="561"/>
      <c r="M28" s="561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 s="561"/>
      <c r="AG28" s="699"/>
      <c r="AH28" s="561"/>
      <c r="AI28" s="561"/>
    </row>
    <row r="29" spans="1:52" ht="15.75" customHeight="1">
      <c r="A29" s="561"/>
      <c r="B29" s="561"/>
      <c r="C29" s="561"/>
      <c r="D29" s="561"/>
      <c r="E29" s="561"/>
      <c r="F29" s="561"/>
      <c r="G29" s="561"/>
      <c r="H29" s="561"/>
      <c r="I29" s="561"/>
      <c r="J29" s="561"/>
      <c r="K29" s="561"/>
      <c r="L29" s="561"/>
      <c r="M29" s="561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 s="561"/>
      <c r="AG29" s="699"/>
      <c r="AH29" s="699"/>
      <c r="AI29" s="699"/>
      <c r="AJ29" s="699"/>
      <c r="AK29" s="699"/>
      <c r="AL29" s="699"/>
      <c r="AM29" s="699"/>
      <c r="AN29" s="699"/>
      <c r="AO29" s="699"/>
      <c r="AP29" s="699"/>
      <c r="AQ29" s="699"/>
      <c r="AR29" s="699"/>
      <c r="AS29" s="699"/>
      <c r="AT29" s="699"/>
      <c r="AU29" s="699"/>
      <c r="AV29" s="699"/>
      <c r="AW29" s="699"/>
      <c r="AX29" s="699"/>
      <c r="AY29" s="699"/>
      <c r="AZ29" s="699"/>
    </row>
    <row r="30" spans="1:52" ht="15.75" customHeight="1">
      <c r="A30" s="561"/>
      <c r="B30" s="561"/>
      <c r="C30" s="561"/>
      <c r="D30" s="561"/>
      <c r="E30" s="561"/>
      <c r="F30" s="561"/>
      <c r="G30" s="561"/>
      <c r="H30" s="561"/>
      <c r="I30" s="561"/>
      <c r="J30" s="561"/>
      <c r="K30" s="561"/>
      <c r="L30" s="561"/>
      <c r="M30" s="561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 s="561"/>
      <c r="AG30" s="561"/>
      <c r="AH30" s="561"/>
      <c r="AI30" s="561"/>
      <c r="AY30" s="700"/>
    </row>
    <row r="31" spans="1:52" ht="15.75" customHeight="1">
      <c r="A31" s="561"/>
      <c r="B31" s="561"/>
      <c r="C31" s="561"/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 s="561"/>
      <c r="AG31" s="561"/>
      <c r="AH31" s="561"/>
      <c r="AI31" s="561"/>
      <c r="AZ31" s="700"/>
    </row>
    <row r="32" spans="1:52" ht="15.75" customHeight="1"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43" ht="15.75" customHeight="1">
      <c r="AF33" s="561"/>
      <c r="AG33" s="561"/>
      <c r="AH33" s="561"/>
      <c r="AI33" s="567"/>
      <c r="AJ33" s="567"/>
      <c r="AK33" s="567"/>
      <c r="AL33" s="567"/>
      <c r="AM33" s="567"/>
      <c r="AN33" s="567"/>
      <c r="AO33" s="567"/>
      <c r="AP33" s="1"/>
      <c r="AQ33" s="568"/>
    </row>
    <row r="34" spans="1:43" ht="18" customHeight="1"/>
    <row r="35" spans="1:43" ht="16.5" customHeight="1"/>
    <row r="36" spans="1:43" ht="16.5" customHeight="1"/>
    <row r="37" spans="1:43" ht="15.75" customHeight="1"/>
    <row r="38" spans="1:43" ht="15.75" customHeight="1">
      <c r="A38" s="925" t="s">
        <v>841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925" t="s">
        <v>964</v>
      </c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</row>
    <row r="39" spans="1:43" ht="15.75" customHeight="1">
      <c r="A39" s="926" t="s">
        <v>842</v>
      </c>
      <c r="B39" s="926"/>
      <c r="C39" s="927" t="s">
        <v>843</v>
      </c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926" t="s">
        <v>842</v>
      </c>
      <c r="O39" s="926"/>
      <c r="P39" s="927" t="s">
        <v>843</v>
      </c>
      <c r="Q39" s="561"/>
      <c r="R39" s="561"/>
      <c r="S39" s="561"/>
      <c r="T39" s="561"/>
      <c r="U39" s="561"/>
      <c r="V39" s="561"/>
      <c r="W39" s="561"/>
      <c r="X39" s="561"/>
      <c r="Y39" s="561"/>
      <c r="Z39" s="561"/>
      <c r="AA39" s="561"/>
      <c r="AB39" s="561"/>
      <c r="AC39" s="561"/>
      <c r="AD39" s="561"/>
      <c r="AE39" s="561"/>
    </row>
    <row r="40" spans="1:43" ht="15.75" customHeight="1">
      <c r="A40" s="926" t="s">
        <v>395</v>
      </c>
      <c r="B40" s="926"/>
      <c r="C40" s="927" t="s">
        <v>844</v>
      </c>
      <c r="D40" s="561"/>
      <c r="E40" s="561"/>
      <c r="F40" s="561"/>
      <c r="G40" s="561"/>
      <c r="H40" s="561"/>
      <c r="I40" s="561"/>
      <c r="J40" s="561"/>
      <c r="K40" s="561"/>
      <c r="L40" s="561"/>
      <c r="M40" s="561"/>
      <c r="N40" s="926" t="s">
        <v>395</v>
      </c>
      <c r="O40" s="926"/>
      <c r="P40" s="927" t="s">
        <v>844</v>
      </c>
      <c r="Q40" s="561"/>
      <c r="R40" s="561"/>
      <c r="S40" s="561"/>
      <c r="T40" s="561"/>
      <c r="U40" s="561"/>
      <c r="V40" s="561"/>
      <c r="W40" s="561"/>
      <c r="X40" s="561"/>
      <c r="Y40" s="561"/>
      <c r="Z40" s="561"/>
      <c r="AA40" s="561"/>
      <c r="AB40" s="561"/>
      <c r="AC40" s="561"/>
      <c r="AD40" s="561"/>
      <c r="AE40" s="561"/>
    </row>
    <row r="41" spans="1:43" ht="15.75" customHeight="1">
      <c r="A41" s="926" t="s">
        <v>845</v>
      </c>
      <c r="B41" s="926"/>
      <c r="C41" s="927" t="s">
        <v>846</v>
      </c>
      <c r="D41" s="561"/>
      <c r="E41" s="561"/>
      <c r="F41" s="561"/>
      <c r="G41" s="561"/>
      <c r="H41" s="561"/>
      <c r="I41" s="561"/>
      <c r="J41" s="561"/>
      <c r="K41" s="561"/>
      <c r="L41" s="561"/>
      <c r="M41" s="561"/>
      <c r="N41" s="926" t="s">
        <v>845</v>
      </c>
      <c r="O41" s="926"/>
      <c r="P41" s="927" t="s">
        <v>846</v>
      </c>
      <c r="Q41" s="561"/>
      <c r="R41" s="561"/>
      <c r="S41" s="561"/>
      <c r="T41" s="561"/>
      <c r="U41" s="561"/>
      <c r="V41" s="561"/>
      <c r="W41" s="561"/>
      <c r="X41" s="561"/>
      <c r="Y41" s="561"/>
      <c r="Z41" s="561"/>
      <c r="AA41" s="561"/>
      <c r="AB41" s="561"/>
      <c r="AC41" s="561"/>
      <c r="AD41" s="561"/>
      <c r="AE41" s="561"/>
    </row>
    <row r="42" spans="1:43" ht="15.75" customHeight="1">
      <c r="A42" s="926" t="s">
        <v>167</v>
      </c>
      <c r="B42" s="926"/>
      <c r="C42" s="927" t="s">
        <v>879</v>
      </c>
      <c r="D42" s="561"/>
      <c r="E42" s="561"/>
      <c r="F42" s="561"/>
      <c r="G42" s="561"/>
      <c r="H42" s="561"/>
      <c r="I42" s="561"/>
      <c r="J42" s="561"/>
      <c r="K42" s="561"/>
      <c r="L42" s="561"/>
      <c r="M42" s="561"/>
      <c r="N42" s="926" t="s">
        <v>167</v>
      </c>
      <c r="O42" s="926"/>
      <c r="P42" s="927" t="s">
        <v>879</v>
      </c>
      <c r="Q42" s="561"/>
      <c r="R42" s="561"/>
      <c r="S42" s="561"/>
      <c r="T42" s="561"/>
      <c r="U42" s="561"/>
      <c r="V42" s="561" t="s">
        <v>134</v>
      </c>
      <c r="W42" s="561" t="s">
        <v>134</v>
      </c>
      <c r="X42" s="561"/>
      <c r="Y42" s="561"/>
      <c r="Z42" s="561"/>
      <c r="AA42" s="561"/>
      <c r="AB42" s="561"/>
      <c r="AC42" s="561"/>
      <c r="AD42" s="561"/>
      <c r="AE42" s="561"/>
    </row>
    <row r="43" spans="1:43" ht="15.75" customHeight="1" thickBot="1">
      <c r="A43" s="926"/>
      <c r="B43" s="926"/>
      <c r="C43" s="561"/>
      <c r="D43" s="561"/>
      <c r="E43" s="561"/>
      <c r="F43" s="561"/>
      <c r="G43" s="561"/>
      <c r="H43" s="561"/>
      <c r="I43" s="561"/>
      <c r="J43" s="561"/>
      <c r="K43" s="561"/>
      <c r="L43" s="561"/>
      <c r="M43" s="561"/>
      <c r="N43" s="926"/>
      <c r="O43" s="926"/>
      <c r="P43" s="561"/>
      <c r="Q43" s="561"/>
      <c r="R43" s="561"/>
      <c r="S43" s="561"/>
      <c r="T43" s="561"/>
      <c r="U43" s="561"/>
      <c r="V43" s="561"/>
      <c r="W43" s="561"/>
      <c r="X43" s="561"/>
      <c r="Y43" s="561"/>
      <c r="Z43" s="561"/>
      <c r="AA43" s="561"/>
      <c r="AB43" s="561"/>
      <c r="AC43" s="561"/>
      <c r="AD43" s="561"/>
      <c r="AE43" s="561"/>
    </row>
    <row r="44" spans="1:43" ht="15.75" customHeight="1" thickBot="1">
      <c r="A44" s="561" t="s">
        <v>848</v>
      </c>
      <c r="B44" s="928"/>
      <c r="C44" s="561" t="s">
        <v>849</v>
      </c>
      <c r="D44" s="561"/>
      <c r="E44" s="561"/>
      <c r="F44" s="561"/>
      <c r="G44" s="561"/>
      <c r="H44" s="561"/>
      <c r="I44" s="561"/>
      <c r="J44" s="561"/>
      <c r="K44" s="561"/>
      <c r="L44" s="561"/>
      <c r="M44" s="561"/>
      <c r="N44" s="561" t="s">
        <v>848</v>
      </c>
      <c r="O44" s="928"/>
      <c r="P44" s="561" t="s">
        <v>849</v>
      </c>
      <c r="Q44" s="561"/>
      <c r="R44" s="561"/>
      <c r="S44" s="561"/>
      <c r="T44" s="561"/>
      <c r="U44" s="561"/>
      <c r="V44" s="561"/>
      <c r="W44" s="561"/>
      <c r="X44" s="561"/>
      <c r="Y44" s="561"/>
      <c r="Z44" s="561"/>
      <c r="AA44" s="561"/>
      <c r="AB44" s="561"/>
      <c r="AC44" s="561"/>
      <c r="AD44" s="561"/>
      <c r="AE44" s="561"/>
    </row>
    <row r="45" spans="1:43" ht="15.75" customHeight="1" thickBot="1">
      <c r="A45" s="561"/>
      <c r="B45" s="561"/>
      <c r="C45" s="561"/>
      <c r="D45" s="561"/>
      <c r="E45" s="561"/>
      <c r="F45" s="561"/>
      <c r="G45" s="561"/>
      <c r="H45" s="561"/>
      <c r="I45" s="561"/>
      <c r="J45" s="561"/>
      <c r="K45" s="561"/>
      <c r="L45" s="561"/>
      <c r="M45" s="561"/>
      <c r="N45" s="561"/>
      <c r="O45" s="561"/>
      <c r="P45" s="926"/>
      <c r="Q45" s="561"/>
      <c r="R45" s="561"/>
      <c r="S45" s="561"/>
      <c r="T45" s="561"/>
      <c r="U45" s="561"/>
      <c r="V45" s="561"/>
      <c r="W45" s="561"/>
      <c r="X45" s="561"/>
      <c r="Y45" s="561"/>
      <c r="Z45" s="561"/>
      <c r="AA45" s="561"/>
      <c r="AB45" s="561"/>
      <c r="AC45" s="561"/>
      <c r="AD45" s="561"/>
      <c r="AE45" s="561"/>
    </row>
    <row r="46" spans="1:43" ht="15.75" customHeight="1" thickBot="1">
      <c r="A46" s="1454" t="s">
        <v>850</v>
      </c>
      <c r="B46" s="1464"/>
      <c r="C46" s="1455"/>
      <c r="D46" s="1454" t="s">
        <v>851</v>
      </c>
      <c r="E46" s="1464"/>
      <c r="F46" s="1455"/>
      <c r="G46" s="1466" t="s">
        <v>852</v>
      </c>
      <c r="H46" s="1466" t="s">
        <v>667</v>
      </c>
      <c r="I46" s="1466" t="s">
        <v>668</v>
      </c>
      <c r="J46" s="1454" t="s">
        <v>676</v>
      </c>
      <c r="K46" s="1455"/>
      <c r="L46" s="1454" t="s">
        <v>677</v>
      </c>
      <c r="M46" s="1455"/>
      <c r="N46" s="1486" t="s">
        <v>850</v>
      </c>
      <c r="O46" s="1487"/>
      <c r="P46" s="1488"/>
      <c r="Q46" s="1486" t="s">
        <v>965</v>
      </c>
      <c r="R46" s="1487"/>
      <c r="S46" s="1488"/>
      <c r="T46" s="1466" t="s">
        <v>966</v>
      </c>
      <c r="U46" s="1489" t="s">
        <v>669</v>
      </c>
      <c r="V46" s="1490"/>
      <c r="W46" s="1490"/>
      <c r="X46" s="1490"/>
      <c r="Y46" s="1490"/>
      <c r="Z46" s="1490"/>
      <c r="AA46" s="1490"/>
      <c r="AB46" s="1490"/>
      <c r="AC46" s="1490"/>
      <c r="AD46" s="1490"/>
      <c r="AE46" s="1491"/>
    </row>
    <row r="47" spans="1:43" ht="15.75" customHeight="1" thickBot="1">
      <c r="A47" s="1456"/>
      <c r="B47" s="1465"/>
      <c r="C47" s="1457"/>
      <c r="D47" s="1456"/>
      <c r="E47" s="1465"/>
      <c r="F47" s="1457"/>
      <c r="G47" s="1467"/>
      <c r="H47" s="1467"/>
      <c r="I47" s="1467"/>
      <c r="J47" s="1456"/>
      <c r="K47" s="1457"/>
      <c r="L47" s="1456"/>
      <c r="M47" s="1457"/>
      <c r="N47" s="1466" t="s">
        <v>853</v>
      </c>
      <c r="O47" s="1466" t="s">
        <v>854</v>
      </c>
      <c r="P47" s="1466" t="s">
        <v>855</v>
      </c>
      <c r="Q47" s="1466" t="s">
        <v>967</v>
      </c>
      <c r="R47" s="1466" t="s">
        <v>857</v>
      </c>
      <c r="S47" s="1466" t="s">
        <v>968</v>
      </c>
      <c r="T47" s="1467"/>
      <c r="U47" s="1466" t="s">
        <v>670</v>
      </c>
      <c r="V47" s="1489" t="s">
        <v>678</v>
      </c>
      <c r="W47" s="1492"/>
      <c r="X47" s="1489" t="s">
        <v>679</v>
      </c>
      <c r="Y47" s="1492"/>
      <c r="Z47" s="1489" t="s">
        <v>680</v>
      </c>
      <c r="AA47" s="1491"/>
      <c r="AB47" s="1489" t="s">
        <v>681</v>
      </c>
      <c r="AC47" s="1491"/>
      <c r="AD47" s="1489" t="s">
        <v>671</v>
      </c>
      <c r="AE47" s="1491"/>
    </row>
    <row r="48" spans="1:43" ht="15.75" customHeight="1" thickBot="1">
      <c r="A48" s="929" t="s">
        <v>853</v>
      </c>
      <c r="B48" s="930" t="s">
        <v>854</v>
      </c>
      <c r="C48" s="931" t="s">
        <v>855</v>
      </c>
      <c r="D48" s="932" t="s">
        <v>856</v>
      </c>
      <c r="E48" s="933" t="s">
        <v>857</v>
      </c>
      <c r="F48" s="934" t="s">
        <v>388</v>
      </c>
      <c r="G48" s="1468"/>
      <c r="H48" s="1468"/>
      <c r="I48" s="1468"/>
      <c r="J48" s="935" t="s">
        <v>672</v>
      </c>
      <c r="K48" s="936" t="s">
        <v>673</v>
      </c>
      <c r="L48" s="935" t="s">
        <v>672</v>
      </c>
      <c r="M48" s="936" t="s">
        <v>673</v>
      </c>
      <c r="N48" s="1468"/>
      <c r="O48" s="1468"/>
      <c r="P48" s="1468"/>
      <c r="Q48" s="1468"/>
      <c r="R48" s="1468"/>
      <c r="S48" s="1468"/>
      <c r="T48" s="1468"/>
      <c r="U48" s="1468"/>
      <c r="V48" s="1036" t="s">
        <v>672</v>
      </c>
      <c r="W48" s="1037" t="s">
        <v>673</v>
      </c>
      <c r="X48" s="1036" t="s">
        <v>672</v>
      </c>
      <c r="Y48" s="1037" t="s">
        <v>673</v>
      </c>
      <c r="Z48" s="1038" t="s">
        <v>674</v>
      </c>
      <c r="AA48" s="1038" t="s">
        <v>675</v>
      </c>
      <c r="AB48" s="1038" t="s">
        <v>674</v>
      </c>
      <c r="AC48" s="1038" t="s">
        <v>675</v>
      </c>
      <c r="AD48" s="1038" t="s">
        <v>674</v>
      </c>
      <c r="AE48" s="1038" t="s">
        <v>675</v>
      </c>
    </row>
    <row r="49" spans="1:31" ht="15.75" customHeight="1" thickBot="1">
      <c r="A49" s="937" t="s">
        <v>493</v>
      </c>
      <c r="B49" s="937" t="s">
        <v>494</v>
      </c>
      <c r="C49" s="937" t="s">
        <v>527</v>
      </c>
      <c r="D49" s="937" t="s">
        <v>549</v>
      </c>
      <c r="E49" s="937" t="s">
        <v>551</v>
      </c>
      <c r="F49" s="937" t="s">
        <v>563</v>
      </c>
      <c r="G49" s="937" t="s">
        <v>858</v>
      </c>
      <c r="H49" s="937" t="s">
        <v>567</v>
      </c>
      <c r="I49" s="937" t="s">
        <v>569</v>
      </c>
      <c r="J49" s="937" t="s">
        <v>571</v>
      </c>
      <c r="K49" s="937" t="s">
        <v>573</v>
      </c>
      <c r="L49" s="937" t="s">
        <v>575</v>
      </c>
      <c r="M49" s="937" t="s">
        <v>579</v>
      </c>
      <c r="N49" s="1039" t="s">
        <v>493</v>
      </c>
      <c r="O49" s="1039" t="s">
        <v>494</v>
      </c>
      <c r="P49" s="1039" t="s">
        <v>527</v>
      </c>
      <c r="Q49" s="1039" t="s">
        <v>549</v>
      </c>
      <c r="R49" s="1039" t="s">
        <v>551</v>
      </c>
      <c r="S49" s="1039" t="s">
        <v>563</v>
      </c>
      <c r="T49" s="1040" t="s">
        <v>969</v>
      </c>
      <c r="U49" s="1039" t="s">
        <v>567</v>
      </c>
      <c r="V49" s="1039" t="s">
        <v>569</v>
      </c>
      <c r="W49" s="1039" t="s">
        <v>571</v>
      </c>
      <c r="X49" s="1039" t="s">
        <v>573</v>
      </c>
      <c r="Y49" s="1039" t="s">
        <v>575</v>
      </c>
      <c r="Z49" s="1039" t="s">
        <v>579</v>
      </c>
      <c r="AA49" s="1039" t="s">
        <v>970</v>
      </c>
      <c r="AB49" s="1039" t="s">
        <v>971</v>
      </c>
      <c r="AC49" s="1039" t="s">
        <v>972</v>
      </c>
      <c r="AD49" s="1039" t="s">
        <v>973</v>
      </c>
      <c r="AE49" s="1039" t="s">
        <v>974</v>
      </c>
    </row>
    <row r="50" spans="1:31" ht="15.75" customHeight="1">
      <c r="A50" s="938">
        <v>63</v>
      </c>
      <c r="B50" s="938" t="s">
        <v>880</v>
      </c>
      <c r="C50" s="939" t="s">
        <v>881</v>
      </c>
      <c r="D50" s="938" t="s">
        <v>864</v>
      </c>
      <c r="E50" s="938" t="s">
        <v>861</v>
      </c>
      <c r="F50" s="938" t="s">
        <v>862</v>
      </c>
      <c r="G50" s="955">
        <v>296000</v>
      </c>
      <c r="H50" s="940">
        <v>296000</v>
      </c>
      <c r="I50" s="938"/>
      <c r="J50" s="938"/>
      <c r="K50" s="938"/>
      <c r="L50" s="941"/>
      <c r="M50" s="941"/>
      <c r="N50" s="1041">
        <v>1</v>
      </c>
      <c r="O50" s="1041">
        <v>704001772</v>
      </c>
      <c r="P50" s="1042">
        <v>41062</v>
      </c>
      <c r="Q50" s="1043" t="s">
        <v>975</v>
      </c>
      <c r="R50" s="1043" t="s">
        <v>976</v>
      </c>
      <c r="S50" s="1043" t="s">
        <v>977</v>
      </c>
      <c r="T50" s="1044">
        <v>14495.21</v>
      </c>
      <c r="U50" s="1045">
        <v>14495.21</v>
      </c>
      <c r="V50" s="1017"/>
      <c r="W50" s="1017"/>
      <c r="X50" s="1046"/>
      <c r="Y50" s="1046"/>
      <c r="Z50" s="1047"/>
      <c r="AA50" s="1046"/>
      <c r="AB50" s="1046"/>
      <c r="AC50" s="1046"/>
      <c r="AD50" s="1046"/>
      <c r="AE50" s="1048"/>
    </row>
    <row r="51" spans="1:31" ht="15.75">
      <c r="A51" s="938">
        <v>64</v>
      </c>
      <c r="B51" s="938" t="s">
        <v>882</v>
      </c>
      <c r="C51" s="939" t="s">
        <v>883</v>
      </c>
      <c r="D51" s="938" t="s">
        <v>864</v>
      </c>
      <c r="E51" s="938" t="s">
        <v>861</v>
      </c>
      <c r="F51" s="938" t="s">
        <v>862</v>
      </c>
      <c r="G51" s="955">
        <v>296000</v>
      </c>
      <c r="H51" s="940">
        <v>296000</v>
      </c>
      <c r="I51" s="938"/>
      <c r="J51" s="938"/>
      <c r="K51" s="938"/>
      <c r="L51" s="941"/>
      <c r="M51" s="941"/>
      <c r="N51" s="1041">
        <v>28</v>
      </c>
      <c r="O51" s="1041" t="s">
        <v>993</v>
      </c>
      <c r="P51" s="1042" t="s">
        <v>994</v>
      </c>
      <c r="Q51" s="1043" t="s">
        <v>995</v>
      </c>
      <c r="R51" s="1043" t="s">
        <v>861</v>
      </c>
      <c r="S51" s="1043" t="s">
        <v>996</v>
      </c>
      <c r="T51" s="1044">
        <v>65400</v>
      </c>
      <c r="U51" s="1045">
        <v>65400</v>
      </c>
      <c r="V51" s="1017"/>
      <c r="W51" s="1017"/>
      <c r="X51" s="1046"/>
      <c r="Y51" s="1046"/>
      <c r="Z51" s="1047"/>
      <c r="AA51" s="1046"/>
      <c r="AB51" s="1046"/>
      <c r="AC51" s="1046"/>
      <c r="AD51" s="1046"/>
      <c r="AE51" s="1048"/>
    </row>
    <row r="52" spans="1:31" ht="15.75">
      <c r="A52" s="938">
        <v>65</v>
      </c>
      <c r="B52" s="938" t="s">
        <v>884</v>
      </c>
      <c r="C52" s="939" t="s">
        <v>883</v>
      </c>
      <c r="D52" s="938" t="s">
        <v>864</v>
      </c>
      <c r="E52" s="938" t="s">
        <v>861</v>
      </c>
      <c r="F52" s="938" t="s">
        <v>862</v>
      </c>
      <c r="G52" s="955">
        <v>24000</v>
      </c>
      <c r="H52" s="940">
        <v>24000</v>
      </c>
      <c r="I52" s="938"/>
      <c r="J52" s="938"/>
      <c r="K52" s="938"/>
      <c r="L52" s="941"/>
      <c r="M52" s="941"/>
      <c r="N52" s="1041">
        <v>27</v>
      </c>
      <c r="O52" s="1041">
        <v>39554483</v>
      </c>
      <c r="P52" s="1042" t="s">
        <v>997</v>
      </c>
      <c r="Q52" s="1043" t="s">
        <v>998</v>
      </c>
      <c r="R52" s="1043" t="s">
        <v>861</v>
      </c>
      <c r="S52" s="1043" t="s">
        <v>999</v>
      </c>
      <c r="T52" s="1044">
        <v>150000</v>
      </c>
      <c r="U52" s="1045">
        <v>150000</v>
      </c>
      <c r="V52" s="1017"/>
      <c r="W52" s="1017"/>
      <c r="X52" s="1046"/>
      <c r="Y52" s="1046"/>
      <c r="Z52" s="1047"/>
      <c r="AA52" s="1046"/>
      <c r="AB52" s="1046"/>
      <c r="AC52" s="1046"/>
      <c r="AD52" s="1046"/>
      <c r="AE52" s="1048"/>
    </row>
    <row r="53" spans="1:31" ht="15.75">
      <c r="A53" s="942">
        <v>40</v>
      </c>
      <c r="B53" s="942">
        <v>72646120</v>
      </c>
      <c r="C53" s="942" t="s">
        <v>885</v>
      </c>
      <c r="D53" s="942" t="s">
        <v>886</v>
      </c>
      <c r="E53" s="942" t="s">
        <v>861</v>
      </c>
      <c r="F53" s="942" t="s">
        <v>862</v>
      </c>
      <c r="G53" s="956">
        <v>48000</v>
      </c>
      <c r="H53" s="943">
        <v>48000</v>
      </c>
      <c r="I53" s="942"/>
      <c r="J53" s="942"/>
      <c r="K53" s="942"/>
      <c r="L53" s="944"/>
      <c r="M53" s="944"/>
      <c r="N53" s="1041">
        <v>56</v>
      </c>
      <c r="O53" s="1041">
        <v>87219156</v>
      </c>
      <c r="P53" s="1042" t="s">
        <v>997</v>
      </c>
      <c r="Q53" s="1043" t="s">
        <v>1000</v>
      </c>
      <c r="R53" s="1043" t="s">
        <v>861</v>
      </c>
      <c r="S53" s="1043" t="s">
        <v>1001</v>
      </c>
      <c r="T53" s="1044">
        <v>294300</v>
      </c>
      <c r="U53" s="1045">
        <v>294300</v>
      </c>
      <c r="V53" s="1017"/>
      <c r="W53" s="1017"/>
      <c r="X53" s="1046"/>
      <c r="Y53" s="1046"/>
      <c r="Z53" s="1047"/>
      <c r="AA53" s="1046"/>
      <c r="AB53" s="1046"/>
      <c r="AC53" s="1046"/>
      <c r="AD53" s="1046"/>
      <c r="AE53" s="1048"/>
    </row>
    <row r="54" spans="1:31" ht="16.5" thickBot="1">
      <c r="A54" s="942">
        <v>41</v>
      </c>
      <c r="B54" s="942">
        <v>72646121</v>
      </c>
      <c r="C54" s="942" t="s">
        <v>883</v>
      </c>
      <c r="D54" s="942" t="s">
        <v>886</v>
      </c>
      <c r="E54" s="942" t="s">
        <v>861</v>
      </c>
      <c r="F54" s="942" t="s">
        <v>862</v>
      </c>
      <c r="G54" s="956">
        <v>248000</v>
      </c>
      <c r="H54" s="943">
        <v>248000</v>
      </c>
      <c r="I54" s="942"/>
      <c r="J54" s="942"/>
      <c r="K54" s="942"/>
      <c r="L54" s="944"/>
      <c r="M54" s="944"/>
      <c r="N54" s="1041">
        <v>57</v>
      </c>
      <c r="O54" s="1041">
        <v>87219161</v>
      </c>
      <c r="P54" s="1042" t="s">
        <v>883</v>
      </c>
      <c r="Q54" s="1043" t="s">
        <v>1000</v>
      </c>
      <c r="R54" s="1043" t="s">
        <v>861</v>
      </c>
      <c r="S54" s="1043" t="s">
        <v>1001</v>
      </c>
      <c r="T54" s="1044">
        <v>287760</v>
      </c>
      <c r="U54" s="1045">
        <v>287760</v>
      </c>
      <c r="V54" s="1017"/>
      <c r="W54" s="1017"/>
      <c r="X54" s="1046"/>
      <c r="Y54" s="1046"/>
      <c r="Z54" s="1047"/>
      <c r="AA54" s="1046"/>
      <c r="AB54" s="1046"/>
      <c r="AC54" s="1046"/>
      <c r="AD54" s="1046"/>
      <c r="AE54" s="1048"/>
    </row>
    <row r="55" spans="1:31" ht="16.5" thickBot="1">
      <c r="A55" s="942">
        <v>6</v>
      </c>
      <c r="B55" s="942">
        <v>69420115</v>
      </c>
      <c r="C55" s="942" t="s">
        <v>885</v>
      </c>
      <c r="D55" s="942" t="s">
        <v>865</v>
      </c>
      <c r="E55" s="942" t="s">
        <v>861</v>
      </c>
      <c r="F55" s="942" t="s">
        <v>862</v>
      </c>
      <c r="G55" s="956">
        <v>84000</v>
      </c>
      <c r="H55" s="943">
        <v>84000</v>
      </c>
      <c r="I55" s="942"/>
      <c r="J55" s="942"/>
      <c r="K55" s="942"/>
      <c r="L55" s="944"/>
      <c r="M55" s="944"/>
      <c r="N55" s="1458" t="s">
        <v>866</v>
      </c>
      <c r="O55" s="1459"/>
      <c r="P55" s="1459"/>
      <c r="Q55" s="1459"/>
      <c r="R55" s="1459"/>
      <c r="S55" s="1460"/>
      <c r="T55" s="947">
        <f>SUM(T50:T54)</f>
        <v>811955.21</v>
      </c>
      <c r="U55" s="947">
        <f>SUM(U50:U54)</f>
        <v>811955.21</v>
      </c>
      <c r="V55" s="947"/>
      <c r="W55" s="1049"/>
      <c r="X55" s="949"/>
      <c r="Y55" s="949"/>
      <c r="Z55" s="949"/>
      <c r="AA55" s="949"/>
      <c r="AB55" s="949"/>
      <c r="AC55" s="949"/>
      <c r="AD55" s="949"/>
      <c r="AE55" s="950"/>
    </row>
    <row r="56" spans="1:31" ht="16.5" thickBot="1">
      <c r="A56" s="942">
        <v>4</v>
      </c>
      <c r="B56" s="942">
        <v>67903722</v>
      </c>
      <c r="C56" s="942" t="s">
        <v>887</v>
      </c>
      <c r="D56" s="942" t="s">
        <v>888</v>
      </c>
      <c r="E56" s="942" t="s">
        <v>861</v>
      </c>
      <c r="F56" s="942" t="s">
        <v>862</v>
      </c>
      <c r="G56" s="956">
        <v>40000</v>
      </c>
      <c r="H56" s="943">
        <v>40000</v>
      </c>
      <c r="I56" s="942"/>
      <c r="J56" s="942"/>
      <c r="K56" s="942"/>
      <c r="L56" s="944"/>
      <c r="M56" s="944"/>
      <c r="N56" s="1461" t="s">
        <v>867</v>
      </c>
      <c r="O56" s="1462"/>
      <c r="P56" s="1462"/>
      <c r="Q56" s="1462"/>
      <c r="R56" s="1462"/>
      <c r="S56" s="1462"/>
      <c r="T56" s="1463"/>
      <c r="U56" s="951" t="s">
        <v>980</v>
      </c>
      <c r="V56" s="951" t="s">
        <v>981</v>
      </c>
      <c r="W56" s="951" t="s">
        <v>982</v>
      </c>
      <c r="X56" s="951" t="s">
        <v>983</v>
      </c>
      <c r="Y56" s="951" t="s">
        <v>984</v>
      </c>
      <c r="Z56" s="951" t="s">
        <v>985</v>
      </c>
      <c r="AA56" s="951" t="s">
        <v>986</v>
      </c>
      <c r="AB56" s="951" t="s">
        <v>987</v>
      </c>
      <c r="AC56" s="951" t="s">
        <v>988</v>
      </c>
      <c r="AD56" s="951" t="s">
        <v>989</v>
      </c>
      <c r="AE56" s="951" t="s">
        <v>990</v>
      </c>
    </row>
    <row r="57" spans="1:31" ht="16.5" thickBot="1">
      <c r="A57" s="1458" t="s">
        <v>866</v>
      </c>
      <c r="B57" s="1459"/>
      <c r="C57" s="1459"/>
      <c r="D57" s="1459"/>
      <c r="E57" s="1459"/>
      <c r="F57" s="1460"/>
      <c r="G57" s="946">
        <f>SUM(G50:G56)</f>
        <v>1036000</v>
      </c>
      <c r="H57" s="946">
        <f>SUM(H50:H56)</f>
        <v>1036000</v>
      </c>
      <c r="I57" s="947"/>
      <c r="J57" s="947"/>
      <c r="K57" s="948"/>
      <c r="L57" s="949"/>
      <c r="M57" s="950"/>
      <c r="N57" s="561"/>
      <c r="O57" s="561"/>
      <c r="P57" s="561"/>
      <c r="Q57" s="561"/>
      <c r="R57" s="561"/>
      <c r="S57" s="561"/>
      <c r="T57" s="561"/>
      <c r="U57" s="561"/>
      <c r="V57" s="561"/>
      <c r="W57" s="561"/>
      <c r="X57" s="561"/>
      <c r="Y57" s="561"/>
      <c r="Z57" s="561"/>
      <c r="AA57" s="561"/>
      <c r="AB57" s="561"/>
      <c r="AC57" s="561"/>
      <c r="AD57" s="561"/>
      <c r="AE57" s="561"/>
    </row>
    <row r="58" spans="1:31" ht="16.5" thickBot="1">
      <c r="A58" s="1461" t="s">
        <v>867</v>
      </c>
      <c r="B58" s="1462"/>
      <c r="C58" s="1462"/>
      <c r="D58" s="1462"/>
      <c r="E58" s="1462"/>
      <c r="F58" s="1462"/>
      <c r="G58" s="1463"/>
      <c r="H58" s="951" t="s">
        <v>868</v>
      </c>
      <c r="I58" s="951" t="s">
        <v>869</v>
      </c>
      <c r="J58" s="951" t="s">
        <v>870</v>
      </c>
      <c r="K58" s="951" t="s">
        <v>871</v>
      </c>
      <c r="L58" s="951" t="s">
        <v>872</v>
      </c>
      <c r="M58" s="951" t="s">
        <v>873</v>
      </c>
      <c r="N58" s="561"/>
      <c r="O58" s="561"/>
      <c r="P58" s="561"/>
      <c r="Q58" s="561"/>
      <c r="R58" s="561"/>
      <c r="S58" s="561"/>
      <c r="T58" s="561"/>
      <c r="U58" s="561"/>
      <c r="V58" s="561"/>
      <c r="W58" s="561"/>
      <c r="X58" s="561"/>
      <c r="Y58" s="561"/>
      <c r="Z58" s="561"/>
      <c r="AA58" s="561"/>
      <c r="AB58" s="561"/>
      <c r="AC58" s="561"/>
      <c r="AD58" s="561"/>
      <c r="AE58" s="561"/>
    </row>
    <row r="59" spans="1:31" ht="19.5" customHeight="1">
      <c r="A59" s="561"/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561"/>
      <c r="U59" s="561"/>
      <c r="V59" s="561"/>
      <c r="W59" s="561"/>
      <c r="X59" s="561"/>
      <c r="Y59" s="561"/>
      <c r="Z59" s="561"/>
      <c r="AA59" s="561"/>
      <c r="AB59" s="561"/>
      <c r="AC59" s="561"/>
      <c r="AD59" s="953" t="s">
        <v>991</v>
      </c>
      <c r="AE59" s="561"/>
    </row>
    <row r="60" spans="1:31" ht="15.75" customHeight="1">
      <c r="A60" s="561"/>
      <c r="B60" s="561"/>
      <c r="C60" s="561"/>
      <c r="D60" s="561"/>
      <c r="E60" s="561"/>
      <c r="F60" s="561"/>
      <c r="G60" s="561"/>
      <c r="H60" s="561"/>
      <c r="I60" s="561"/>
      <c r="J60" s="561"/>
      <c r="K60" s="952"/>
      <c r="L60" s="561"/>
      <c r="M60" s="561"/>
      <c r="N60" s="561"/>
      <c r="O60" s="561"/>
      <c r="P60" s="561"/>
      <c r="Q60" s="561"/>
      <c r="R60" s="561"/>
      <c r="S60" s="561"/>
      <c r="T60" s="561"/>
      <c r="U60" s="561"/>
      <c r="V60" s="561"/>
      <c r="W60" s="561"/>
      <c r="X60" s="561"/>
      <c r="Y60" s="561"/>
      <c r="Z60" s="561"/>
      <c r="AA60" s="561"/>
      <c r="AB60" s="561"/>
      <c r="AC60" s="561" t="s">
        <v>992</v>
      </c>
      <c r="AD60" s="953"/>
      <c r="AE60" s="561"/>
    </row>
    <row r="61" spans="1:31" ht="15.75" customHeight="1">
      <c r="A61" s="561"/>
      <c r="B61" s="561"/>
      <c r="C61" s="561"/>
      <c r="D61" s="561" t="s">
        <v>134</v>
      </c>
      <c r="E61" s="561"/>
      <c r="F61" s="561"/>
      <c r="G61" s="561"/>
      <c r="H61" s="561"/>
      <c r="I61" s="561"/>
      <c r="J61" s="953" t="s">
        <v>874</v>
      </c>
      <c r="K61" s="561"/>
      <c r="L61" s="561"/>
      <c r="M61" s="561"/>
      <c r="N61" s="561" t="s">
        <v>876</v>
      </c>
      <c r="O61" s="561"/>
      <c r="P61" s="561"/>
      <c r="Q61" s="561"/>
      <c r="R61" s="561"/>
      <c r="S61" s="561"/>
      <c r="T61" s="561"/>
      <c r="U61" s="561"/>
      <c r="V61" s="561"/>
      <c r="W61" s="561"/>
      <c r="X61" s="561"/>
      <c r="Y61" s="561"/>
      <c r="Z61" s="561"/>
      <c r="AA61" s="561"/>
      <c r="AB61" s="561"/>
      <c r="AC61" s="561"/>
      <c r="AD61" s="561"/>
      <c r="AE61" s="561"/>
    </row>
    <row r="62" spans="1:31" ht="15.75" customHeight="1">
      <c r="A62" s="561"/>
      <c r="B62" s="561"/>
      <c r="C62" s="561"/>
      <c r="D62" s="561"/>
      <c r="E62" s="561"/>
      <c r="F62" s="561"/>
      <c r="G62" s="561"/>
      <c r="H62" s="561"/>
      <c r="I62" s="561"/>
      <c r="J62" s="561" t="s">
        <v>875</v>
      </c>
      <c r="K62" s="561"/>
      <c r="L62" s="561"/>
      <c r="M62" s="561"/>
      <c r="N62" s="561" t="s">
        <v>877</v>
      </c>
      <c r="O62" s="561"/>
      <c r="P62" s="561"/>
      <c r="Q62" s="561"/>
      <c r="R62" s="561"/>
      <c r="S62" s="561"/>
      <c r="T62" s="561"/>
      <c r="U62" s="561"/>
      <c r="V62" s="561"/>
      <c r="W62" s="561"/>
      <c r="X62" s="561"/>
      <c r="Y62" s="561"/>
      <c r="Z62" s="561"/>
      <c r="AA62" s="561"/>
      <c r="AB62" s="561"/>
      <c r="AC62" s="561"/>
      <c r="AD62" s="561"/>
      <c r="AE62" s="561"/>
    </row>
    <row r="63" spans="1:31" ht="15.75" customHeight="1">
      <c r="A63" s="561" t="s">
        <v>876</v>
      </c>
      <c r="B63" s="561"/>
      <c r="C63" s="561"/>
      <c r="D63" s="561"/>
      <c r="E63" s="561"/>
      <c r="F63" s="561"/>
      <c r="G63" s="561"/>
      <c r="H63" s="561"/>
      <c r="I63" s="561"/>
      <c r="J63" s="561"/>
      <c r="K63" s="954"/>
      <c r="L63" s="561"/>
      <c r="M63" s="561"/>
      <c r="N63" s="561" t="s">
        <v>878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ht="15.75" customHeight="1">
      <c r="A64" s="561" t="s">
        <v>877</v>
      </c>
      <c r="B64" s="561"/>
      <c r="C64" s="561"/>
      <c r="D64" s="561"/>
      <c r="E64" s="561"/>
      <c r="F64" s="561"/>
      <c r="G64" s="561"/>
      <c r="H64" s="561"/>
      <c r="I64" s="561"/>
      <c r="J64" s="561"/>
      <c r="K64" s="561"/>
      <c r="L64" s="561"/>
      <c r="M64" s="561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1:31" ht="15.75" customHeight="1">
      <c r="A65" s="561" t="s">
        <v>878</v>
      </c>
      <c r="B65"/>
      <c r="C65"/>
      <c r="D65"/>
      <c r="E65"/>
      <c r="F65"/>
      <c r="G65"/>
      <c r="H65"/>
      <c r="I65"/>
      <c r="J65"/>
      <c r="K65" s="561"/>
      <c r="L65" s="561"/>
      <c r="M65" s="561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1:31" ht="15.75" customHeight="1">
      <c r="A66" s="561"/>
      <c r="B66" s="561"/>
      <c r="C66" s="561"/>
      <c r="D66" s="561"/>
      <c r="E66" s="561"/>
      <c r="F66" s="561"/>
      <c r="G66" s="561"/>
      <c r="H66" s="561"/>
      <c r="I66" s="561"/>
      <c r="J66" s="561"/>
      <c r="K66" s="561"/>
      <c r="L66" s="561"/>
      <c r="M66" s="561"/>
    </row>
    <row r="67" spans="1:31" ht="16.5" customHeight="1"/>
    <row r="68" spans="1:31" ht="16.5" customHeight="1"/>
    <row r="69" spans="1:31" ht="15.75" customHeight="1"/>
    <row r="70" spans="1:31" ht="15.75" customHeight="1"/>
    <row r="71" spans="1:31" ht="15.75" customHeight="1"/>
    <row r="72" spans="1:31" ht="15.75" customHeight="1"/>
    <row r="73" spans="1:31" ht="15.75" customHeight="1"/>
    <row r="74" spans="1:31" ht="15.75" customHeight="1"/>
    <row r="75" spans="1:31" ht="15.75" customHeight="1"/>
    <row r="76" spans="1:31" ht="15.75" customHeight="1">
      <c r="A76" s="925" t="s">
        <v>841</v>
      </c>
      <c r="B76" s="561"/>
      <c r="C76" s="561"/>
      <c r="D76" s="561"/>
      <c r="E76" s="561"/>
      <c r="F76" s="561"/>
      <c r="G76" s="561"/>
      <c r="H76" s="561"/>
      <c r="I76" s="561"/>
      <c r="J76" s="561"/>
      <c r="K76" s="561"/>
      <c r="L76" s="561"/>
      <c r="M76" s="561"/>
      <c r="N76" s="925" t="s">
        <v>964</v>
      </c>
      <c r="O76" s="561"/>
      <c r="P76" s="561"/>
      <c r="Q76" s="561"/>
      <c r="R76" s="561"/>
      <c r="S76" s="561"/>
      <c r="T76" s="561"/>
      <c r="U76" s="561"/>
      <c r="V76" s="561"/>
      <c r="W76" s="561"/>
      <c r="X76" s="561"/>
      <c r="Y76" s="561"/>
      <c r="Z76" s="561"/>
      <c r="AA76" s="561"/>
      <c r="AB76" s="561"/>
      <c r="AC76" s="561"/>
      <c r="AD76" s="561"/>
      <c r="AE76" s="561"/>
    </row>
    <row r="77" spans="1:31" ht="15.75" customHeight="1">
      <c r="A77" s="926" t="s">
        <v>842</v>
      </c>
      <c r="B77" s="926"/>
      <c r="C77" s="927" t="s">
        <v>843</v>
      </c>
      <c r="D77" s="561"/>
      <c r="E77" s="561"/>
      <c r="F77" s="561"/>
      <c r="G77" s="561"/>
      <c r="H77" s="561"/>
      <c r="I77" s="561"/>
      <c r="J77" s="561"/>
      <c r="K77" s="561"/>
      <c r="L77" s="561"/>
      <c r="M77" s="561"/>
      <c r="N77" s="926" t="s">
        <v>842</v>
      </c>
      <c r="O77" s="926"/>
      <c r="P77" s="927" t="s">
        <v>843</v>
      </c>
      <c r="Q77" s="561"/>
      <c r="R77" s="561"/>
      <c r="S77" s="561"/>
      <c r="T77" s="561"/>
      <c r="U77" s="561"/>
      <c r="V77" s="561"/>
      <c r="W77" s="561"/>
      <c r="X77" s="561"/>
      <c r="Y77" s="561"/>
      <c r="Z77" s="561"/>
      <c r="AA77" s="561"/>
      <c r="AB77" s="561"/>
      <c r="AC77" s="561"/>
      <c r="AD77" s="561"/>
      <c r="AE77" s="561"/>
    </row>
    <row r="78" spans="1:31" ht="15.75" customHeight="1">
      <c r="A78" s="926" t="s">
        <v>395</v>
      </c>
      <c r="B78" s="926"/>
      <c r="C78" s="927" t="s">
        <v>844</v>
      </c>
      <c r="D78" s="561"/>
      <c r="E78" s="561"/>
      <c r="F78" s="561"/>
      <c r="G78" s="561"/>
      <c r="H78" s="561"/>
      <c r="I78" s="561"/>
      <c r="J78" s="561"/>
      <c r="K78" s="561"/>
      <c r="L78" s="561"/>
      <c r="M78" s="561"/>
      <c r="N78" s="926" t="s">
        <v>395</v>
      </c>
      <c r="O78" s="926"/>
      <c r="P78" s="927" t="s">
        <v>844</v>
      </c>
      <c r="Q78" s="561"/>
      <c r="R78" s="561"/>
      <c r="S78" s="561"/>
      <c r="T78" s="561"/>
      <c r="U78" s="561"/>
      <c r="V78" s="561"/>
      <c r="W78" s="561"/>
      <c r="X78" s="561"/>
      <c r="Y78" s="561"/>
      <c r="Z78" s="561"/>
      <c r="AA78" s="561"/>
      <c r="AB78" s="561"/>
      <c r="AC78" s="561"/>
      <c r="AD78" s="561"/>
      <c r="AE78" s="561"/>
    </row>
    <row r="79" spans="1:31" ht="15.75" customHeight="1">
      <c r="A79" s="926" t="s">
        <v>845</v>
      </c>
      <c r="B79" s="926"/>
      <c r="C79" s="927" t="s">
        <v>846</v>
      </c>
      <c r="D79" s="561"/>
      <c r="E79" s="561"/>
      <c r="F79" s="561"/>
      <c r="G79" s="561"/>
      <c r="H79" s="561"/>
      <c r="I79" s="561"/>
      <c r="J79" s="561"/>
      <c r="K79" s="561"/>
      <c r="L79" s="561"/>
      <c r="M79" s="561"/>
      <c r="N79" s="926" t="s">
        <v>845</v>
      </c>
      <c r="O79" s="926"/>
      <c r="P79" s="927" t="s">
        <v>846</v>
      </c>
      <c r="Q79" s="561"/>
      <c r="R79" s="561"/>
      <c r="S79" s="561"/>
      <c r="T79" s="561"/>
      <c r="U79" s="561"/>
      <c r="V79" s="561"/>
      <c r="W79" s="561"/>
      <c r="X79" s="561"/>
      <c r="Y79" s="561"/>
      <c r="Z79" s="561"/>
      <c r="AA79" s="561"/>
      <c r="AB79" s="561"/>
      <c r="AC79" s="561"/>
      <c r="AD79" s="561"/>
      <c r="AE79" s="561"/>
    </row>
    <row r="80" spans="1:31" ht="15.75" customHeight="1">
      <c r="A80" s="926" t="s">
        <v>167</v>
      </c>
      <c r="B80" s="926"/>
      <c r="C80" s="927" t="s">
        <v>889</v>
      </c>
      <c r="D80" s="561"/>
      <c r="E80" s="561"/>
      <c r="F80" s="561"/>
      <c r="G80" s="561"/>
      <c r="H80" s="561"/>
      <c r="I80" s="561"/>
      <c r="J80" s="561"/>
      <c r="K80" s="561"/>
      <c r="L80" s="561"/>
      <c r="M80" s="561"/>
      <c r="N80" s="926" t="s">
        <v>167</v>
      </c>
      <c r="O80" s="926"/>
      <c r="P80" s="927" t="s">
        <v>889</v>
      </c>
      <c r="Q80" s="561"/>
      <c r="R80" s="561"/>
      <c r="S80" s="561"/>
      <c r="T80" s="561"/>
      <c r="U80" s="561"/>
      <c r="V80" s="561" t="s">
        <v>134</v>
      </c>
      <c r="W80" s="561" t="s">
        <v>134</v>
      </c>
      <c r="X80" s="561"/>
      <c r="Y80" s="561"/>
      <c r="Z80" s="561"/>
      <c r="AA80" s="561"/>
      <c r="AB80" s="561"/>
      <c r="AC80" s="561"/>
      <c r="AD80" s="561"/>
      <c r="AE80" s="561"/>
    </row>
    <row r="81" spans="1:31" ht="15.75" customHeight="1" thickBot="1">
      <c r="A81" s="926"/>
      <c r="B81" s="926"/>
      <c r="C81" s="561"/>
      <c r="D81" s="561"/>
      <c r="E81" s="561"/>
      <c r="F81" s="561"/>
      <c r="G81" s="561"/>
      <c r="H81" s="561"/>
      <c r="I81" s="561"/>
      <c r="J81" s="561"/>
      <c r="K81" s="561"/>
      <c r="L81" s="561"/>
      <c r="M81" s="561"/>
      <c r="N81" s="926"/>
      <c r="O81" s="926"/>
      <c r="P81" s="561"/>
      <c r="Q81" s="561"/>
      <c r="R81" s="561"/>
      <c r="S81" s="561"/>
      <c r="T81" s="561"/>
      <c r="U81" s="561"/>
      <c r="V81" s="561"/>
      <c r="W81" s="561"/>
      <c r="X81" s="561"/>
      <c r="Y81" s="561"/>
      <c r="Z81" s="561"/>
      <c r="AA81" s="561"/>
      <c r="AB81" s="561"/>
      <c r="AC81" s="561"/>
      <c r="AD81" s="561"/>
      <c r="AE81" s="561"/>
    </row>
    <row r="82" spans="1:31" ht="15.75" customHeight="1" thickBot="1">
      <c r="A82" s="561" t="s">
        <v>848</v>
      </c>
      <c r="B82" s="928"/>
      <c r="C82" s="561" t="s">
        <v>849</v>
      </c>
      <c r="D82" s="561"/>
      <c r="E82" s="561"/>
      <c r="F82" s="561"/>
      <c r="G82" s="561"/>
      <c r="H82" s="561"/>
      <c r="I82" s="561"/>
      <c r="J82" s="561"/>
      <c r="K82" s="561"/>
      <c r="L82" s="561"/>
      <c r="M82" s="561"/>
      <c r="N82" s="561" t="s">
        <v>848</v>
      </c>
      <c r="O82" s="928"/>
      <c r="P82" s="561" t="s">
        <v>849</v>
      </c>
      <c r="Q82" s="561"/>
      <c r="R82" s="561"/>
      <c r="S82" s="561"/>
      <c r="T82" s="561"/>
      <c r="U82" s="561"/>
      <c r="V82" s="561"/>
      <c r="W82" s="561"/>
      <c r="X82" s="561"/>
      <c r="Y82" s="561"/>
      <c r="Z82" s="561"/>
      <c r="AA82" s="561"/>
      <c r="AB82" s="561"/>
      <c r="AC82" s="561"/>
      <c r="AD82" s="561"/>
      <c r="AE82" s="561"/>
    </row>
    <row r="83" spans="1:31" ht="15.75" customHeight="1" thickBot="1">
      <c r="A83" s="561"/>
      <c r="B83" s="561"/>
      <c r="C83" s="561"/>
      <c r="D83" s="561"/>
      <c r="E83" s="561"/>
      <c r="F83" s="561"/>
      <c r="G83" s="561"/>
      <c r="H83" s="561"/>
      <c r="I83" s="561"/>
      <c r="J83" s="561"/>
      <c r="K83" s="561"/>
      <c r="L83" s="561"/>
      <c r="M83" s="561"/>
      <c r="N83" s="561"/>
      <c r="O83" s="561"/>
      <c r="P83" s="926"/>
      <c r="Q83" s="561"/>
      <c r="R83" s="561"/>
      <c r="S83" s="561"/>
      <c r="T83" s="561"/>
      <c r="U83" s="561"/>
      <c r="V83" s="561"/>
      <c r="W83" s="561"/>
      <c r="X83" s="561"/>
      <c r="Y83" s="561"/>
      <c r="Z83" s="561"/>
      <c r="AA83" s="561"/>
      <c r="AB83" s="561"/>
      <c r="AC83" s="561"/>
      <c r="AD83" s="561"/>
      <c r="AE83" s="561"/>
    </row>
    <row r="84" spans="1:31" ht="15.75" customHeight="1" thickBot="1">
      <c r="A84" s="1454" t="s">
        <v>850</v>
      </c>
      <c r="B84" s="1464"/>
      <c r="C84" s="1455"/>
      <c r="D84" s="1454" t="s">
        <v>851</v>
      </c>
      <c r="E84" s="1464"/>
      <c r="F84" s="1455"/>
      <c r="G84" s="1466" t="s">
        <v>852</v>
      </c>
      <c r="H84" s="1466" t="s">
        <v>667</v>
      </c>
      <c r="I84" s="1466" t="s">
        <v>668</v>
      </c>
      <c r="J84" s="1454" t="s">
        <v>676</v>
      </c>
      <c r="K84" s="1455"/>
      <c r="L84" s="1454" t="s">
        <v>677</v>
      </c>
      <c r="M84" s="1455"/>
      <c r="N84" s="1486" t="s">
        <v>850</v>
      </c>
      <c r="O84" s="1487"/>
      <c r="P84" s="1488"/>
      <c r="Q84" s="1486" t="s">
        <v>965</v>
      </c>
      <c r="R84" s="1487"/>
      <c r="S84" s="1488"/>
      <c r="T84" s="1466" t="s">
        <v>966</v>
      </c>
      <c r="U84" s="1489" t="s">
        <v>669</v>
      </c>
      <c r="V84" s="1490"/>
      <c r="W84" s="1490"/>
      <c r="X84" s="1490"/>
      <c r="Y84" s="1490"/>
      <c r="Z84" s="1490"/>
      <c r="AA84" s="1490"/>
      <c r="AB84" s="1490"/>
      <c r="AC84" s="1490"/>
      <c r="AD84" s="1490"/>
      <c r="AE84" s="1491"/>
    </row>
    <row r="85" spans="1:31" ht="15.75" customHeight="1" thickBot="1">
      <c r="A85" s="1456"/>
      <c r="B85" s="1465"/>
      <c r="C85" s="1457"/>
      <c r="D85" s="1456"/>
      <c r="E85" s="1465"/>
      <c r="F85" s="1457"/>
      <c r="G85" s="1467"/>
      <c r="H85" s="1467"/>
      <c r="I85" s="1467"/>
      <c r="J85" s="1456"/>
      <c r="K85" s="1457"/>
      <c r="L85" s="1456"/>
      <c r="M85" s="1457"/>
      <c r="N85" s="1466" t="s">
        <v>853</v>
      </c>
      <c r="O85" s="1466" t="s">
        <v>854</v>
      </c>
      <c r="P85" s="1466" t="s">
        <v>855</v>
      </c>
      <c r="Q85" s="1466" t="s">
        <v>967</v>
      </c>
      <c r="R85" s="1466" t="s">
        <v>857</v>
      </c>
      <c r="S85" s="1466" t="s">
        <v>968</v>
      </c>
      <c r="T85" s="1467"/>
      <c r="U85" s="1466" t="s">
        <v>670</v>
      </c>
      <c r="V85" s="1489" t="s">
        <v>678</v>
      </c>
      <c r="W85" s="1492"/>
      <c r="X85" s="1489" t="s">
        <v>679</v>
      </c>
      <c r="Y85" s="1492"/>
      <c r="Z85" s="1489" t="s">
        <v>680</v>
      </c>
      <c r="AA85" s="1491"/>
      <c r="AB85" s="1489" t="s">
        <v>681</v>
      </c>
      <c r="AC85" s="1491"/>
      <c r="AD85" s="1489" t="s">
        <v>671</v>
      </c>
      <c r="AE85" s="1491"/>
    </row>
    <row r="86" spans="1:31" ht="63.75" thickBot="1">
      <c r="A86" s="929" t="s">
        <v>853</v>
      </c>
      <c r="B86" s="930" t="s">
        <v>854</v>
      </c>
      <c r="C86" s="931" t="s">
        <v>855</v>
      </c>
      <c r="D86" s="932" t="s">
        <v>856</v>
      </c>
      <c r="E86" s="933" t="s">
        <v>857</v>
      </c>
      <c r="F86" s="934" t="s">
        <v>388</v>
      </c>
      <c r="G86" s="1468"/>
      <c r="H86" s="1468"/>
      <c r="I86" s="1468"/>
      <c r="J86" s="935" t="s">
        <v>672</v>
      </c>
      <c r="K86" s="936" t="s">
        <v>673</v>
      </c>
      <c r="L86" s="935" t="s">
        <v>672</v>
      </c>
      <c r="M86" s="936" t="s">
        <v>673</v>
      </c>
      <c r="N86" s="1468"/>
      <c r="O86" s="1468"/>
      <c r="P86" s="1468"/>
      <c r="Q86" s="1468"/>
      <c r="R86" s="1468"/>
      <c r="S86" s="1468"/>
      <c r="T86" s="1468"/>
      <c r="U86" s="1468"/>
      <c r="V86" s="1036" t="s">
        <v>672</v>
      </c>
      <c r="W86" s="1037" t="s">
        <v>673</v>
      </c>
      <c r="X86" s="1036" t="s">
        <v>672</v>
      </c>
      <c r="Y86" s="1037" t="s">
        <v>673</v>
      </c>
      <c r="Z86" s="1038" t="s">
        <v>674</v>
      </c>
      <c r="AA86" s="1038" t="s">
        <v>675</v>
      </c>
      <c r="AB86" s="1038" t="s">
        <v>674</v>
      </c>
      <c r="AC86" s="1038" t="s">
        <v>675</v>
      </c>
      <c r="AD86" s="1038" t="s">
        <v>674</v>
      </c>
      <c r="AE86" s="1038" t="s">
        <v>675</v>
      </c>
    </row>
    <row r="87" spans="1:31" ht="29.25" thickBot="1">
      <c r="A87" s="937" t="s">
        <v>493</v>
      </c>
      <c r="B87" s="937" t="s">
        <v>494</v>
      </c>
      <c r="C87" s="937" t="s">
        <v>527</v>
      </c>
      <c r="D87" s="937" t="s">
        <v>549</v>
      </c>
      <c r="E87" s="937" t="s">
        <v>551</v>
      </c>
      <c r="F87" s="937" t="s">
        <v>563</v>
      </c>
      <c r="G87" s="937" t="s">
        <v>858</v>
      </c>
      <c r="H87" s="937" t="s">
        <v>567</v>
      </c>
      <c r="I87" s="937" t="s">
        <v>569</v>
      </c>
      <c r="J87" s="937" t="s">
        <v>571</v>
      </c>
      <c r="K87" s="937" t="s">
        <v>573</v>
      </c>
      <c r="L87" s="937" t="s">
        <v>575</v>
      </c>
      <c r="M87" s="937" t="s">
        <v>579</v>
      </c>
      <c r="N87" s="1039" t="s">
        <v>493</v>
      </c>
      <c r="O87" s="1039" t="s">
        <v>494</v>
      </c>
      <c r="P87" s="1039" t="s">
        <v>527</v>
      </c>
      <c r="Q87" s="1039" t="s">
        <v>549</v>
      </c>
      <c r="R87" s="1039" t="s">
        <v>551</v>
      </c>
      <c r="S87" s="1039" t="s">
        <v>563</v>
      </c>
      <c r="T87" s="1040" t="s">
        <v>969</v>
      </c>
      <c r="U87" s="1039" t="s">
        <v>567</v>
      </c>
      <c r="V87" s="1039" t="s">
        <v>569</v>
      </c>
      <c r="W87" s="1039" t="s">
        <v>571</v>
      </c>
      <c r="X87" s="1039" t="s">
        <v>573</v>
      </c>
      <c r="Y87" s="1039" t="s">
        <v>575</v>
      </c>
      <c r="Z87" s="1039" t="s">
        <v>579</v>
      </c>
      <c r="AA87" s="1039" t="s">
        <v>970</v>
      </c>
      <c r="AB87" s="1039" t="s">
        <v>971</v>
      </c>
      <c r="AC87" s="1039" t="s">
        <v>972</v>
      </c>
      <c r="AD87" s="1039" t="s">
        <v>973</v>
      </c>
      <c r="AE87" s="1039" t="s">
        <v>974</v>
      </c>
    </row>
    <row r="88" spans="1:31" ht="15.75">
      <c r="A88" s="957">
        <v>42</v>
      </c>
      <c r="B88" s="958">
        <v>72646122</v>
      </c>
      <c r="C88" s="939" t="s">
        <v>890</v>
      </c>
      <c r="D88" s="938" t="s">
        <v>886</v>
      </c>
      <c r="E88" s="938" t="s">
        <v>861</v>
      </c>
      <c r="F88" s="938" t="s">
        <v>862</v>
      </c>
      <c r="G88" s="955">
        <v>296000</v>
      </c>
      <c r="H88" s="940">
        <v>296000</v>
      </c>
      <c r="I88" s="938"/>
      <c r="J88" s="938"/>
      <c r="K88" s="938"/>
      <c r="L88" s="941"/>
      <c r="M88" s="959"/>
      <c r="N88" s="1043"/>
      <c r="O88" s="1043">
        <v>704461984</v>
      </c>
      <c r="P88" s="1050">
        <v>41032</v>
      </c>
      <c r="Q88" s="1043" t="s">
        <v>975</v>
      </c>
      <c r="R88" s="1043" t="s">
        <v>976</v>
      </c>
      <c r="S88" s="1043" t="s">
        <v>977</v>
      </c>
      <c r="T88" s="1051">
        <v>14224.46</v>
      </c>
      <c r="U88" s="1052">
        <v>14224.46</v>
      </c>
      <c r="V88" s="1053"/>
      <c r="W88" s="1053"/>
      <c r="X88" s="1054"/>
      <c r="Y88" s="1054"/>
      <c r="Z88" s="1047"/>
      <c r="AA88" s="1054"/>
      <c r="AB88" s="1054"/>
      <c r="AC88" s="1054"/>
      <c r="AD88" s="1054"/>
      <c r="AE88" s="1055"/>
    </row>
    <row r="89" spans="1:31" ht="15.75">
      <c r="A89" s="957">
        <v>43</v>
      </c>
      <c r="B89" s="960">
        <v>72646123</v>
      </c>
      <c r="C89" s="939" t="s">
        <v>890</v>
      </c>
      <c r="D89" s="938" t="s">
        <v>886</v>
      </c>
      <c r="E89" s="938" t="s">
        <v>861</v>
      </c>
      <c r="F89" s="938" t="s">
        <v>862</v>
      </c>
      <c r="G89" s="955">
        <v>64000</v>
      </c>
      <c r="H89" s="940">
        <v>64000</v>
      </c>
      <c r="I89" s="938"/>
      <c r="J89" s="938"/>
      <c r="K89" s="938"/>
      <c r="L89" s="941"/>
      <c r="M89" s="959"/>
      <c r="N89" s="1043">
        <v>68</v>
      </c>
      <c r="O89" s="1043">
        <v>87219168</v>
      </c>
      <c r="P89" s="1050">
        <v>41063</v>
      </c>
      <c r="Q89" s="1043" t="s">
        <v>1002</v>
      </c>
      <c r="R89" s="1043" t="s">
        <v>861</v>
      </c>
      <c r="S89" s="1043" t="s">
        <v>1001</v>
      </c>
      <c r="T89" s="1056">
        <v>294000</v>
      </c>
      <c r="U89" s="1057">
        <v>294000</v>
      </c>
      <c r="V89" s="1058"/>
      <c r="W89" s="1058"/>
      <c r="X89" s="1059"/>
      <c r="Y89" s="1059"/>
      <c r="Z89" s="1047"/>
      <c r="AA89" s="1059"/>
      <c r="AB89" s="1059"/>
      <c r="AC89" s="1059"/>
      <c r="AD89" s="1059"/>
      <c r="AE89" s="1059"/>
    </row>
    <row r="90" spans="1:31" ht="16.5" thickBot="1">
      <c r="A90" s="957">
        <v>66</v>
      </c>
      <c r="B90" s="961" t="s">
        <v>891</v>
      </c>
      <c r="C90" s="939" t="s">
        <v>890</v>
      </c>
      <c r="D90" s="938" t="s">
        <v>864</v>
      </c>
      <c r="E90" s="938" t="s">
        <v>861</v>
      </c>
      <c r="F90" s="938" t="s">
        <v>862</v>
      </c>
      <c r="G90" s="955">
        <v>296000</v>
      </c>
      <c r="H90" s="940">
        <v>296000</v>
      </c>
      <c r="I90" s="938"/>
      <c r="J90" s="938"/>
      <c r="K90" s="938"/>
      <c r="L90" s="941"/>
      <c r="M90" s="959"/>
      <c r="N90" s="1043">
        <v>75</v>
      </c>
      <c r="O90" s="1043">
        <v>87219175</v>
      </c>
      <c r="P90" s="1050" t="s">
        <v>1003</v>
      </c>
      <c r="Q90" s="1043" t="s">
        <v>1002</v>
      </c>
      <c r="R90" s="1043" t="s">
        <v>861</v>
      </c>
      <c r="S90" s="1043" t="s">
        <v>1001</v>
      </c>
      <c r="T90" s="1056">
        <v>288000</v>
      </c>
      <c r="U90" s="1057">
        <v>288000</v>
      </c>
      <c r="V90" s="1058"/>
      <c r="W90" s="1058"/>
      <c r="X90" s="1059"/>
      <c r="Y90" s="1059"/>
      <c r="Z90" s="1047"/>
      <c r="AA90" s="1059"/>
      <c r="AB90" s="1059"/>
      <c r="AC90" s="1059"/>
      <c r="AD90" s="1059"/>
      <c r="AE90" s="1059"/>
    </row>
    <row r="91" spans="1:31" ht="16.5" thickBot="1">
      <c r="A91" s="962">
        <v>67</v>
      </c>
      <c r="B91" s="961" t="s">
        <v>892</v>
      </c>
      <c r="C91" s="942" t="s">
        <v>890</v>
      </c>
      <c r="D91" s="938" t="s">
        <v>864</v>
      </c>
      <c r="E91" s="938" t="s">
        <v>861</v>
      </c>
      <c r="F91" s="938" t="s">
        <v>862</v>
      </c>
      <c r="G91" s="956">
        <v>296000</v>
      </c>
      <c r="H91" s="943">
        <v>296000</v>
      </c>
      <c r="I91" s="942"/>
      <c r="J91" s="942"/>
      <c r="K91" s="942"/>
      <c r="L91" s="944"/>
      <c r="M91" s="963"/>
      <c r="N91" s="1458" t="s">
        <v>866</v>
      </c>
      <c r="O91" s="1459"/>
      <c r="P91" s="1459"/>
      <c r="Q91" s="1459"/>
      <c r="R91" s="1459"/>
      <c r="S91" s="1460"/>
      <c r="T91" s="947">
        <f>SUM(T88:T90)</f>
        <v>596224.46</v>
      </c>
      <c r="U91" s="947">
        <f>SUM(U88:U90)</f>
        <v>596224.46</v>
      </c>
      <c r="V91" s="947"/>
      <c r="W91" s="1049"/>
      <c r="X91" s="949"/>
      <c r="Y91" s="949"/>
      <c r="Z91" s="949"/>
      <c r="AA91" s="949"/>
      <c r="AB91" s="949"/>
      <c r="AC91" s="949"/>
      <c r="AD91" s="949"/>
      <c r="AE91" s="950"/>
    </row>
    <row r="92" spans="1:31" ht="16.5" thickBot="1">
      <c r="A92" s="962">
        <v>68</v>
      </c>
      <c r="B92" s="961" t="s">
        <v>893</v>
      </c>
      <c r="C92" s="942" t="s">
        <v>890</v>
      </c>
      <c r="D92" s="938" t="s">
        <v>864</v>
      </c>
      <c r="E92" s="938" t="s">
        <v>861</v>
      </c>
      <c r="F92" s="938" t="s">
        <v>862</v>
      </c>
      <c r="G92" s="956">
        <v>296000</v>
      </c>
      <c r="H92" s="943">
        <v>296000</v>
      </c>
      <c r="I92" s="942"/>
      <c r="J92" s="942"/>
      <c r="K92" s="942"/>
      <c r="L92" s="944"/>
      <c r="M92" s="963"/>
      <c r="N92" s="1461" t="s">
        <v>867</v>
      </c>
      <c r="O92" s="1462"/>
      <c r="P92" s="1462"/>
      <c r="Q92" s="1462"/>
      <c r="R92" s="1462"/>
      <c r="S92" s="1462"/>
      <c r="T92" s="1463"/>
      <c r="U92" s="951" t="s">
        <v>980</v>
      </c>
      <c r="V92" s="951" t="s">
        <v>981</v>
      </c>
      <c r="W92" s="951" t="s">
        <v>982</v>
      </c>
      <c r="X92" s="951" t="s">
        <v>983</v>
      </c>
      <c r="Y92" s="951" t="s">
        <v>984</v>
      </c>
      <c r="Z92" s="951" t="s">
        <v>985</v>
      </c>
      <c r="AA92" s="951" t="s">
        <v>986</v>
      </c>
      <c r="AB92" s="951" t="s">
        <v>987</v>
      </c>
      <c r="AC92" s="951" t="s">
        <v>988</v>
      </c>
      <c r="AD92" s="951" t="s">
        <v>989</v>
      </c>
      <c r="AE92" s="951" t="s">
        <v>990</v>
      </c>
    </row>
    <row r="93" spans="1:31" ht="15.75">
      <c r="A93" s="962">
        <v>5</v>
      </c>
      <c r="B93" s="960">
        <v>67903723</v>
      </c>
      <c r="C93" s="942" t="s">
        <v>890</v>
      </c>
      <c r="D93" s="942" t="s">
        <v>888</v>
      </c>
      <c r="E93" s="938" t="s">
        <v>861</v>
      </c>
      <c r="F93" s="938" t="s">
        <v>862</v>
      </c>
      <c r="G93" s="956">
        <v>160000</v>
      </c>
      <c r="H93" s="943">
        <v>160000</v>
      </c>
      <c r="I93" s="942"/>
      <c r="J93" s="942"/>
      <c r="K93" s="942"/>
      <c r="L93" s="944"/>
      <c r="M93" s="963"/>
      <c r="N93" s="561"/>
      <c r="O93" s="561"/>
      <c r="P93" s="561"/>
      <c r="Q93" s="561"/>
      <c r="R93" s="561"/>
      <c r="S93" s="561"/>
      <c r="T93" s="561"/>
      <c r="U93" s="561"/>
      <c r="V93" s="561"/>
      <c r="W93" s="561"/>
      <c r="X93" s="561"/>
      <c r="Y93" s="561"/>
      <c r="Z93" s="561"/>
      <c r="AA93" s="561"/>
      <c r="AB93" s="561"/>
      <c r="AC93" s="561"/>
      <c r="AD93" s="561"/>
      <c r="AE93" s="561"/>
    </row>
    <row r="94" spans="1:31" ht="15.75">
      <c r="A94" s="962">
        <v>7</v>
      </c>
      <c r="B94" s="960">
        <v>69420116</v>
      </c>
      <c r="C94" s="942" t="s">
        <v>890</v>
      </c>
      <c r="D94" s="942" t="s">
        <v>894</v>
      </c>
      <c r="E94" s="938" t="s">
        <v>861</v>
      </c>
      <c r="F94" s="938" t="s">
        <v>862</v>
      </c>
      <c r="G94" s="956">
        <v>294000</v>
      </c>
      <c r="H94" s="943">
        <v>294000</v>
      </c>
      <c r="I94" s="942"/>
      <c r="J94" s="942"/>
      <c r="K94" s="942"/>
      <c r="L94" s="944"/>
      <c r="M94" s="963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561"/>
      <c r="AE94" s="561"/>
    </row>
    <row r="95" spans="1:31" ht="16.5" thickBot="1">
      <c r="A95" s="962">
        <v>8</v>
      </c>
      <c r="B95" s="960">
        <v>69420117</v>
      </c>
      <c r="C95" s="942" t="s">
        <v>890</v>
      </c>
      <c r="D95" s="942" t="s">
        <v>894</v>
      </c>
      <c r="E95" s="938" t="s">
        <v>861</v>
      </c>
      <c r="F95" s="938" t="s">
        <v>862</v>
      </c>
      <c r="G95" s="956">
        <v>294000</v>
      </c>
      <c r="H95" s="943">
        <v>294000</v>
      </c>
      <c r="I95" s="942"/>
      <c r="J95" s="942"/>
      <c r="K95" s="942"/>
      <c r="L95" s="944"/>
      <c r="M95" s="963"/>
      <c r="N95" s="561"/>
      <c r="O95" s="561"/>
      <c r="P95" s="561"/>
      <c r="Q95" s="561"/>
      <c r="R95" s="561"/>
      <c r="S95" s="561"/>
      <c r="T95" s="561"/>
      <c r="U95" s="561"/>
      <c r="V95" s="561"/>
      <c r="W95" s="561"/>
      <c r="X95" s="561"/>
      <c r="Y95" s="561"/>
      <c r="Z95" s="561"/>
      <c r="AA95" s="561"/>
      <c r="AB95" s="561"/>
      <c r="AC95" s="561"/>
      <c r="AD95" s="953" t="s">
        <v>991</v>
      </c>
      <c r="AE95" s="561"/>
    </row>
    <row r="96" spans="1:31" ht="16.5" thickBot="1">
      <c r="A96" s="1458" t="s">
        <v>866</v>
      </c>
      <c r="B96" s="1459"/>
      <c r="C96" s="1459"/>
      <c r="D96" s="1459"/>
      <c r="E96" s="1459"/>
      <c r="F96" s="1460"/>
      <c r="G96" s="946">
        <f>SUM(G88:G95)</f>
        <v>1996000</v>
      </c>
      <c r="H96" s="946">
        <f>SUM(H88:H95)</f>
        <v>1996000</v>
      </c>
      <c r="I96" s="947"/>
      <c r="J96" s="947"/>
      <c r="K96" s="948"/>
      <c r="L96" s="949"/>
      <c r="M96" s="950"/>
      <c r="N96" s="561"/>
      <c r="O96" s="561"/>
      <c r="P96" s="561"/>
      <c r="Q96" s="561"/>
      <c r="R96" s="561"/>
      <c r="S96" s="561"/>
      <c r="T96" s="561"/>
      <c r="U96" s="561"/>
      <c r="V96" s="561"/>
      <c r="W96" s="561"/>
      <c r="X96" s="561"/>
      <c r="Y96" s="561"/>
      <c r="Z96" s="561"/>
      <c r="AA96" s="561"/>
      <c r="AB96" s="561"/>
      <c r="AC96" s="561" t="s">
        <v>992</v>
      </c>
      <c r="AD96" s="953"/>
      <c r="AE96" s="561"/>
    </row>
    <row r="97" spans="1:31" ht="16.5" thickBot="1">
      <c r="A97" s="1461" t="s">
        <v>867</v>
      </c>
      <c r="B97" s="1462"/>
      <c r="C97" s="1462"/>
      <c r="D97" s="1462"/>
      <c r="E97" s="1462"/>
      <c r="F97" s="1462"/>
      <c r="G97" s="1463"/>
      <c r="H97" s="951" t="s">
        <v>868</v>
      </c>
      <c r="I97" s="951" t="s">
        <v>869</v>
      </c>
      <c r="J97" s="951" t="s">
        <v>870</v>
      </c>
      <c r="K97" s="951" t="s">
        <v>871</v>
      </c>
      <c r="L97" s="951" t="s">
        <v>872</v>
      </c>
      <c r="M97" s="951" t="s">
        <v>873</v>
      </c>
      <c r="N97" s="561" t="s">
        <v>876</v>
      </c>
      <c r="O97" s="561"/>
      <c r="P97" s="561"/>
      <c r="Q97" s="561"/>
      <c r="R97" s="561"/>
      <c r="S97" s="561"/>
      <c r="T97" s="561"/>
      <c r="U97" s="561"/>
      <c r="V97" s="561"/>
      <c r="W97" s="561"/>
      <c r="X97" s="561"/>
      <c r="Y97" s="561"/>
      <c r="Z97" s="561"/>
      <c r="AA97" s="561"/>
      <c r="AB97" s="561"/>
      <c r="AC97" s="561"/>
      <c r="AD97" s="561"/>
      <c r="AE97" s="561"/>
    </row>
    <row r="98" spans="1:31" ht="15.75">
      <c r="A98" s="561"/>
      <c r="B98" s="561"/>
      <c r="C98" s="561"/>
      <c r="D98" s="561"/>
      <c r="E98" s="561"/>
      <c r="F98" s="561"/>
      <c r="G98" s="561"/>
      <c r="H98" s="561"/>
      <c r="I98" s="561"/>
      <c r="J98" s="561"/>
      <c r="K98" s="561"/>
      <c r="L98" s="561"/>
      <c r="M98" s="561"/>
      <c r="N98" s="561" t="s">
        <v>877</v>
      </c>
      <c r="O98" s="561"/>
      <c r="P98" s="561"/>
      <c r="Q98" s="561"/>
      <c r="R98" s="561"/>
      <c r="S98" s="561"/>
      <c r="T98" s="561"/>
      <c r="U98" s="561"/>
      <c r="V98" s="561"/>
      <c r="W98" s="561"/>
      <c r="X98" s="561"/>
      <c r="Y98" s="561"/>
      <c r="Z98" s="561"/>
      <c r="AA98" s="561"/>
      <c r="AB98" s="561"/>
      <c r="AC98" s="561"/>
      <c r="AD98" s="561"/>
      <c r="AE98" s="561"/>
    </row>
    <row r="99" spans="1:31" ht="15.75">
      <c r="A99" s="561"/>
      <c r="B99" s="561"/>
      <c r="C99" s="561"/>
      <c r="D99" s="561"/>
      <c r="E99" s="561"/>
      <c r="F99" s="561"/>
      <c r="G99" s="952"/>
      <c r="H99" s="561"/>
      <c r="I99" s="561"/>
      <c r="J99" s="561"/>
      <c r="K99" s="952"/>
      <c r="L99" s="561"/>
      <c r="M99" s="561"/>
      <c r="N99" s="561" t="s">
        <v>878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</row>
    <row r="100" spans="1:31" ht="15.75">
      <c r="A100" s="561"/>
      <c r="B100" s="561"/>
      <c r="C100" s="561"/>
      <c r="D100" s="561" t="s">
        <v>134</v>
      </c>
      <c r="E100" s="561"/>
      <c r="F100" s="561"/>
      <c r="G100" s="561"/>
      <c r="H100" s="561"/>
      <c r="I100" s="561"/>
      <c r="J100" s="953" t="s">
        <v>874</v>
      </c>
      <c r="K100" s="561"/>
      <c r="L100" s="561"/>
      <c r="M100" s="561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>
      <c r="A101" s="561"/>
      <c r="B101" s="561"/>
      <c r="C101" s="561"/>
      <c r="D101" s="561"/>
      <c r="E101" s="561"/>
      <c r="F101" s="561"/>
      <c r="G101" s="561"/>
      <c r="H101" s="561"/>
      <c r="I101" s="561"/>
      <c r="J101" s="561" t="s">
        <v>875</v>
      </c>
      <c r="K101" s="561"/>
      <c r="L101" s="561"/>
      <c r="M101" s="561"/>
    </row>
    <row r="102" spans="1:31">
      <c r="A102" s="561" t="s">
        <v>876</v>
      </c>
      <c r="B102" s="561"/>
      <c r="C102" s="561"/>
      <c r="D102" s="561"/>
      <c r="E102" s="561"/>
      <c r="F102" s="561"/>
      <c r="G102" s="561"/>
      <c r="H102" s="561"/>
      <c r="I102" s="561"/>
      <c r="J102" s="561"/>
      <c r="K102" s="954"/>
      <c r="L102" s="561"/>
      <c r="M102" s="561"/>
    </row>
    <row r="103" spans="1:31">
      <c r="A103" s="561" t="s">
        <v>877</v>
      </c>
      <c r="B103" s="561"/>
      <c r="C103" s="561"/>
      <c r="D103" s="561"/>
      <c r="E103" s="561"/>
      <c r="F103" s="561"/>
      <c r="G103" s="561"/>
      <c r="H103" s="561"/>
      <c r="I103" s="561"/>
      <c r="J103" s="561"/>
      <c r="K103" s="561"/>
      <c r="L103" s="561"/>
      <c r="M103" s="561"/>
    </row>
    <row r="104" spans="1:31">
      <c r="A104" s="561" t="s">
        <v>878</v>
      </c>
      <c r="B104"/>
      <c r="C104"/>
      <c r="D104"/>
      <c r="E104"/>
      <c r="F104"/>
      <c r="G104"/>
      <c r="H104"/>
      <c r="I104"/>
      <c r="J104"/>
      <c r="K104" s="561"/>
      <c r="L104" s="561"/>
      <c r="M104" s="561"/>
    </row>
    <row r="105" spans="1:31">
      <c r="A105" s="561"/>
      <c r="B105" s="561"/>
      <c r="C105" s="561"/>
      <c r="D105" s="561"/>
      <c r="E105" s="561"/>
      <c r="F105" s="561"/>
      <c r="G105" s="561"/>
      <c r="H105" s="561"/>
      <c r="I105" s="561"/>
      <c r="J105" s="561"/>
      <c r="K105" s="561"/>
      <c r="L105" s="561"/>
      <c r="M105" s="561"/>
    </row>
    <row r="106" spans="1:31">
      <c r="A106" s="561"/>
      <c r="B106" s="561"/>
      <c r="C106" s="561"/>
      <c r="D106" s="561"/>
      <c r="E106" s="561"/>
      <c r="F106" s="561"/>
      <c r="G106" s="561"/>
      <c r="H106" s="561"/>
      <c r="I106" s="561"/>
      <c r="J106" s="561"/>
      <c r="K106" s="561"/>
      <c r="L106" s="561"/>
      <c r="M106" s="561"/>
    </row>
    <row r="108" spans="1:31">
      <c r="A108" s="925" t="s">
        <v>841</v>
      </c>
      <c r="B108" s="561"/>
      <c r="C108" s="561"/>
      <c r="D108" s="561"/>
      <c r="E108" s="561"/>
      <c r="F108" s="561"/>
      <c r="G108" s="561"/>
      <c r="H108" s="561"/>
      <c r="I108" s="561"/>
      <c r="J108" s="561"/>
      <c r="K108" s="561"/>
      <c r="L108" s="561"/>
      <c r="M108" s="561"/>
      <c r="N108" s="925" t="s">
        <v>964</v>
      </c>
      <c r="O108" s="561"/>
      <c r="P108" s="561"/>
      <c r="Q108" s="561"/>
      <c r="R108" s="561"/>
      <c r="S108" s="561"/>
      <c r="T108" s="561"/>
      <c r="U108" s="561"/>
      <c r="V108" s="561"/>
      <c r="W108" s="561"/>
      <c r="X108" s="561"/>
      <c r="Y108" s="561"/>
      <c r="Z108" s="561"/>
      <c r="AA108" s="561"/>
      <c r="AB108" s="561"/>
      <c r="AC108" s="561"/>
      <c r="AD108" s="561"/>
      <c r="AE108" s="561"/>
    </row>
    <row r="109" spans="1:31" ht="15.75">
      <c r="A109" s="926" t="s">
        <v>842</v>
      </c>
      <c r="B109" s="926"/>
      <c r="C109" s="927" t="s">
        <v>843</v>
      </c>
      <c r="D109" s="561"/>
      <c r="E109" s="561"/>
      <c r="F109" s="561"/>
      <c r="G109" s="561"/>
      <c r="H109" s="561"/>
      <c r="I109" s="561"/>
      <c r="J109" s="561"/>
      <c r="K109" s="561"/>
      <c r="L109" s="561"/>
      <c r="M109" s="561"/>
      <c r="N109" s="926" t="s">
        <v>842</v>
      </c>
      <c r="O109" s="926"/>
      <c r="P109" s="927" t="s">
        <v>843</v>
      </c>
      <c r="Q109" s="561"/>
      <c r="R109" s="561"/>
      <c r="S109" s="561"/>
      <c r="T109" s="561"/>
      <c r="U109" s="561"/>
      <c r="V109" s="561"/>
      <c r="W109" s="561"/>
      <c r="X109" s="561"/>
      <c r="Y109" s="561"/>
      <c r="Z109" s="561"/>
      <c r="AA109" s="561"/>
      <c r="AB109" s="561"/>
      <c r="AC109" s="561"/>
      <c r="AD109" s="561"/>
      <c r="AE109" s="561"/>
    </row>
    <row r="110" spans="1:31" ht="15.75">
      <c r="A110" s="926" t="s">
        <v>395</v>
      </c>
      <c r="B110" s="926"/>
      <c r="C110" s="927" t="s">
        <v>844</v>
      </c>
      <c r="D110" s="561"/>
      <c r="E110" s="561"/>
      <c r="F110" s="561"/>
      <c r="G110" s="561"/>
      <c r="H110" s="561"/>
      <c r="I110" s="561"/>
      <c r="J110" s="561"/>
      <c r="K110" s="561"/>
      <c r="L110" s="561"/>
      <c r="M110" s="561"/>
      <c r="N110" s="926" t="s">
        <v>395</v>
      </c>
      <c r="O110" s="926"/>
      <c r="P110" s="927" t="s">
        <v>844</v>
      </c>
      <c r="Q110" s="561"/>
      <c r="R110" s="561"/>
      <c r="S110" s="561"/>
      <c r="T110" s="561"/>
      <c r="U110" s="561"/>
      <c r="V110" s="561"/>
      <c r="W110" s="561"/>
      <c r="X110" s="561"/>
      <c r="Y110" s="561"/>
      <c r="Z110" s="561"/>
      <c r="AA110" s="561"/>
      <c r="AB110" s="561"/>
      <c r="AC110" s="561"/>
      <c r="AD110" s="561"/>
      <c r="AE110" s="561"/>
    </row>
    <row r="111" spans="1:31" ht="15.75">
      <c r="A111" s="926" t="s">
        <v>845</v>
      </c>
      <c r="B111" s="926"/>
      <c r="C111" s="927" t="s">
        <v>846</v>
      </c>
      <c r="D111" s="561"/>
      <c r="E111" s="561"/>
      <c r="F111" s="561"/>
      <c r="G111" s="561"/>
      <c r="H111" s="561"/>
      <c r="I111" s="561"/>
      <c r="J111" s="561"/>
      <c r="K111" s="561"/>
      <c r="L111" s="561"/>
      <c r="M111" s="561"/>
      <c r="N111" s="926" t="s">
        <v>845</v>
      </c>
      <c r="O111" s="926"/>
      <c r="P111" s="927" t="s">
        <v>846</v>
      </c>
      <c r="Q111" s="561"/>
      <c r="R111" s="561"/>
      <c r="S111" s="561"/>
      <c r="T111" s="561"/>
      <c r="U111" s="561"/>
      <c r="V111" s="561"/>
      <c r="W111" s="561"/>
      <c r="X111" s="561"/>
      <c r="Y111" s="561"/>
      <c r="Z111" s="561"/>
      <c r="AA111" s="561"/>
      <c r="AB111" s="561"/>
      <c r="AC111" s="561"/>
      <c r="AD111" s="561"/>
      <c r="AE111" s="561"/>
    </row>
    <row r="112" spans="1:31" ht="15.75">
      <c r="A112" s="926" t="s">
        <v>167</v>
      </c>
      <c r="B112" s="926"/>
      <c r="C112" s="927" t="s">
        <v>895</v>
      </c>
      <c r="D112" s="561"/>
      <c r="E112" s="561"/>
      <c r="F112" s="561"/>
      <c r="G112" s="561"/>
      <c r="H112" s="561"/>
      <c r="I112" s="561"/>
      <c r="J112" s="561"/>
      <c r="K112" s="561"/>
      <c r="L112" s="561"/>
      <c r="M112" s="561"/>
      <c r="N112" s="926" t="s">
        <v>167</v>
      </c>
      <c r="O112" s="926"/>
      <c r="P112" s="927" t="s">
        <v>895</v>
      </c>
      <c r="Q112" s="561"/>
      <c r="R112" s="561"/>
      <c r="S112" s="561"/>
      <c r="T112" s="561"/>
      <c r="U112" s="561"/>
      <c r="V112" s="561" t="s">
        <v>134</v>
      </c>
      <c r="W112" s="561" t="s">
        <v>134</v>
      </c>
      <c r="X112" s="561"/>
      <c r="Y112" s="561"/>
      <c r="Z112" s="561"/>
      <c r="AA112" s="561"/>
      <c r="AB112" s="561"/>
      <c r="AC112" s="561"/>
      <c r="AD112" s="561"/>
      <c r="AE112" s="561"/>
    </row>
    <row r="113" spans="1:31" ht="16.5" thickBot="1">
      <c r="A113" s="926"/>
      <c r="B113" s="926"/>
      <c r="C113" s="561"/>
      <c r="D113" s="561"/>
      <c r="E113" s="561"/>
      <c r="F113" s="561"/>
      <c r="G113" s="561"/>
      <c r="H113" s="561"/>
      <c r="I113" s="561"/>
      <c r="J113" s="561"/>
      <c r="K113" s="561"/>
      <c r="L113" s="561"/>
      <c r="M113" s="561"/>
      <c r="N113" s="926"/>
      <c r="O113" s="926"/>
      <c r="P113" s="561"/>
      <c r="Q113" s="561"/>
      <c r="R113" s="561"/>
      <c r="S113" s="561"/>
      <c r="T113" s="561"/>
      <c r="U113" s="561"/>
      <c r="V113" s="561"/>
      <c r="W113" s="561"/>
      <c r="X113" s="561"/>
      <c r="Y113" s="561"/>
      <c r="Z113" s="561"/>
      <c r="AA113" s="561"/>
      <c r="AB113" s="561"/>
      <c r="AC113" s="561"/>
      <c r="AD113" s="561"/>
      <c r="AE113" s="561"/>
    </row>
    <row r="114" spans="1:31" ht="16.5" thickBot="1">
      <c r="A114" s="561" t="s">
        <v>848</v>
      </c>
      <c r="B114" s="928"/>
      <c r="C114" s="561" t="s">
        <v>849</v>
      </c>
      <c r="D114" s="561"/>
      <c r="E114" s="561"/>
      <c r="F114" s="561"/>
      <c r="G114" s="561"/>
      <c r="H114" s="561"/>
      <c r="I114" s="561"/>
      <c r="J114" s="561"/>
      <c r="K114" s="561"/>
      <c r="L114" s="561"/>
      <c r="M114" s="561"/>
      <c r="N114" s="561" t="s">
        <v>848</v>
      </c>
      <c r="O114" s="928"/>
      <c r="P114" s="561" t="s">
        <v>849</v>
      </c>
      <c r="Q114" s="561"/>
      <c r="R114" s="561"/>
      <c r="S114" s="561"/>
      <c r="T114" s="561"/>
      <c r="U114" s="561"/>
      <c r="V114" s="561"/>
      <c r="W114" s="561"/>
      <c r="X114" s="561"/>
      <c r="Y114" s="561"/>
      <c r="Z114" s="561"/>
      <c r="AA114" s="561"/>
      <c r="AB114" s="561"/>
      <c r="AC114" s="561"/>
      <c r="AD114" s="561"/>
      <c r="AE114" s="561"/>
    </row>
    <row r="115" spans="1:31" ht="16.5" thickBot="1">
      <c r="A115" s="561"/>
      <c r="B115" s="561"/>
      <c r="C115" s="561"/>
      <c r="D115" s="561"/>
      <c r="E115" s="561"/>
      <c r="F115" s="561"/>
      <c r="G115" s="561"/>
      <c r="H115" s="561"/>
      <c r="I115" s="561"/>
      <c r="J115" s="561"/>
      <c r="K115" s="561"/>
      <c r="L115" s="561"/>
      <c r="M115" s="561"/>
      <c r="N115" s="561"/>
      <c r="O115" s="561"/>
      <c r="P115" s="926"/>
      <c r="Q115" s="561"/>
      <c r="R115" s="561"/>
      <c r="S115" s="561"/>
      <c r="T115" s="561"/>
      <c r="U115" s="561"/>
      <c r="V115" s="561"/>
      <c r="W115" s="561"/>
      <c r="X115" s="561"/>
      <c r="Y115" s="561"/>
      <c r="Z115" s="561"/>
      <c r="AA115" s="561"/>
      <c r="AB115" s="561"/>
      <c r="AC115" s="561"/>
      <c r="AD115" s="561"/>
      <c r="AE115" s="561"/>
    </row>
    <row r="116" spans="1:31" ht="16.5" thickBot="1">
      <c r="A116" s="1454" t="s">
        <v>850</v>
      </c>
      <c r="B116" s="1464"/>
      <c r="C116" s="1455"/>
      <c r="D116" s="1454" t="s">
        <v>851</v>
      </c>
      <c r="E116" s="1464"/>
      <c r="F116" s="1455"/>
      <c r="G116" s="1466" t="s">
        <v>852</v>
      </c>
      <c r="H116" s="1466" t="s">
        <v>667</v>
      </c>
      <c r="I116" s="1466" t="s">
        <v>668</v>
      </c>
      <c r="J116" s="1454" t="s">
        <v>676</v>
      </c>
      <c r="K116" s="1455"/>
      <c r="L116" s="1454" t="s">
        <v>677</v>
      </c>
      <c r="M116" s="1455"/>
      <c r="N116" s="1486" t="s">
        <v>850</v>
      </c>
      <c r="O116" s="1487"/>
      <c r="P116" s="1488"/>
      <c r="Q116" s="1486" t="s">
        <v>965</v>
      </c>
      <c r="R116" s="1487"/>
      <c r="S116" s="1488"/>
      <c r="T116" s="1466" t="s">
        <v>966</v>
      </c>
      <c r="U116" s="1489" t="s">
        <v>669</v>
      </c>
      <c r="V116" s="1490"/>
      <c r="W116" s="1490"/>
      <c r="X116" s="1490"/>
      <c r="Y116" s="1490"/>
      <c r="Z116" s="1490"/>
      <c r="AA116" s="1490"/>
      <c r="AB116" s="1490"/>
      <c r="AC116" s="1490"/>
      <c r="AD116" s="1490"/>
      <c r="AE116" s="1491"/>
    </row>
    <row r="117" spans="1:31" ht="16.5" thickBot="1">
      <c r="A117" s="1456"/>
      <c r="B117" s="1465"/>
      <c r="C117" s="1457"/>
      <c r="D117" s="1456"/>
      <c r="E117" s="1465"/>
      <c r="F117" s="1457"/>
      <c r="G117" s="1467"/>
      <c r="H117" s="1467"/>
      <c r="I117" s="1467"/>
      <c r="J117" s="1456"/>
      <c r="K117" s="1457"/>
      <c r="L117" s="1456"/>
      <c r="M117" s="1457"/>
      <c r="N117" s="1466" t="s">
        <v>853</v>
      </c>
      <c r="O117" s="1466" t="s">
        <v>854</v>
      </c>
      <c r="P117" s="1466" t="s">
        <v>855</v>
      </c>
      <c r="Q117" s="1466" t="s">
        <v>967</v>
      </c>
      <c r="R117" s="1466" t="s">
        <v>857</v>
      </c>
      <c r="S117" s="1466" t="s">
        <v>968</v>
      </c>
      <c r="T117" s="1467"/>
      <c r="U117" s="1466" t="s">
        <v>670</v>
      </c>
      <c r="V117" s="1489" t="s">
        <v>678</v>
      </c>
      <c r="W117" s="1492"/>
      <c r="X117" s="1489" t="s">
        <v>679</v>
      </c>
      <c r="Y117" s="1492"/>
      <c r="Z117" s="1489" t="s">
        <v>680</v>
      </c>
      <c r="AA117" s="1491"/>
      <c r="AB117" s="1489" t="s">
        <v>681</v>
      </c>
      <c r="AC117" s="1491"/>
      <c r="AD117" s="1489" t="s">
        <v>671</v>
      </c>
      <c r="AE117" s="1491"/>
    </row>
    <row r="118" spans="1:31" ht="63.75" thickBot="1">
      <c r="A118" s="934" t="s">
        <v>853</v>
      </c>
      <c r="B118" s="934" t="s">
        <v>854</v>
      </c>
      <c r="C118" s="934" t="s">
        <v>855</v>
      </c>
      <c r="D118" s="934" t="s">
        <v>856</v>
      </c>
      <c r="E118" s="934" t="s">
        <v>857</v>
      </c>
      <c r="F118" s="934" t="s">
        <v>388</v>
      </c>
      <c r="G118" s="1468"/>
      <c r="H118" s="1468"/>
      <c r="I118" s="1468"/>
      <c r="J118" s="935" t="s">
        <v>672</v>
      </c>
      <c r="K118" s="935" t="s">
        <v>673</v>
      </c>
      <c r="L118" s="935" t="s">
        <v>672</v>
      </c>
      <c r="M118" s="935" t="s">
        <v>673</v>
      </c>
      <c r="N118" s="1468"/>
      <c r="O118" s="1468"/>
      <c r="P118" s="1468"/>
      <c r="Q118" s="1468"/>
      <c r="R118" s="1468"/>
      <c r="S118" s="1468"/>
      <c r="T118" s="1468"/>
      <c r="U118" s="1468"/>
      <c r="V118" s="1036" t="s">
        <v>672</v>
      </c>
      <c r="W118" s="1037" t="s">
        <v>673</v>
      </c>
      <c r="X118" s="1036" t="s">
        <v>672</v>
      </c>
      <c r="Y118" s="1037" t="s">
        <v>673</v>
      </c>
      <c r="Z118" s="1038" t="s">
        <v>674</v>
      </c>
      <c r="AA118" s="1038" t="s">
        <v>675</v>
      </c>
      <c r="AB118" s="1038" t="s">
        <v>674</v>
      </c>
      <c r="AC118" s="1038" t="s">
        <v>675</v>
      </c>
      <c r="AD118" s="1038" t="s">
        <v>674</v>
      </c>
      <c r="AE118" s="1038" t="s">
        <v>675</v>
      </c>
    </row>
    <row r="119" spans="1:31" ht="29.25" thickBot="1">
      <c r="A119" s="937" t="s">
        <v>493</v>
      </c>
      <c r="B119" s="937" t="s">
        <v>494</v>
      </c>
      <c r="C119" s="937" t="s">
        <v>527</v>
      </c>
      <c r="D119" s="937" t="s">
        <v>549</v>
      </c>
      <c r="E119" s="937" t="s">
        <v>551</v>
      </c>
      <c r="F119" s="937" t="s">
        <v>563</v>
      </c>
      <c r="G119" s="937" t="s">
        <v>858</v>
      </c>
      <c r="H119" s="937" t="s">
        <v>567</v>
      </c>
      <c r="I119" s="937" t="s">
        <v>569</v>
      </c>
      <c r="J119" s="937" t="s">
        <v>571</v>
      </c>
      <c r="K119" s="937" t="s">
        <v>573</v>
      </c>
      <c r="L119" s="937" t="s">
        <v>575</v>
      </c>
      <c r="M119" s="937" t="s">
        <v>579</v>
      </c>
      <c r="N119" s="1039" t="s">
        <v>493</v>
      </c>
      <c r="O119" s="1039" t="s">
        <v>494</v>
      </c>
      <c r="P119" s="1039" t="s">
        <v>527</v>
      </c>
      <c r="Q119" s="1039" t="s">
        <v>549</v>
      </c>
      <c r="R119" s="1039" t="s">
        <v>551</v>
      </c>
      <c r="S119" s="1039" t="s">
        <v>563</v>
      </c>
      <c r="T119" s="1040" t="s">
        <v>969</v>
      </c>
      <c r="U119" s="1039" t="s">
        <v>567</v>
      </c>
      <c r="V119" s="1039" t="s">
        <v>569</v>
      </c>
      <c r="W119" s="1039" t="s">
        <v>571</v>
      </c>
      <c r="X119" s="1039" t="s">
        <v>573</v>
      </c>
      <c r="Y119" s="1039" t="s">
        <v>575</v>
      </c>
      <c r="Z119" s="1039" t="s">
        <v>579</v>
      </c>
      <c r="AA119" s="1039" t="s">
        <v>970</v>
      </c>
      <c r="AB119" s="1039" t="s">
        <v>971</v>
      </c>
      <c r="AC119" s="1039" t="s">
        <v>972</v>
      </c>
      <c r="AD119" s="1039" t="s">
        <v>973</v>
      </c>
      <c r="AE119" s="1039" t="s">
        <v>974</v>
      </c>
    </row>
    <row r="120" spans="1:31" ht="15.75">
      <c r="A120" s="957">
        <v>44</v>
      </c>
      <c r="B120" s="938">
        <v>72646124</v>
      </c>
      <c r="C120" s="939">
        <v>41186</v>
      </c>
      <c r="D120" s="938" t="s">
        <v>886</v>
      </c>
      <c r="E120" s="938" t="s">
        <v>861</v>
      </c>
      <c r="F120" s="938" t="s">
        <v>862</v>
      </c>
      <c r="G120" s="955">
        <v>296000</v>
      </c>
      <c r="H120" s="940">
        <v>296000</v>
      </c>
      <c r="I120" s="964"/>
      <c r="J120" s="964"/>
      <c r="K120" s="964"/>
      <c r="L120" s="965"/>
      <c r="M120" s="966"/>
      <c r="N120" s="1060">
        <v>3</v>
      </c>
      <c r="O120" s="1043">
        <v>1443284300</v>
      </c>
      <c r="P120" s="1050">
        <v>41033</v>
      </c>
      <c r="Q120" s="1043" t="s">
        <v>975</v>
      </c>
      <c r="R120" s="1043" t="s">
        <v>976</v>
      </c>
      <c r="S120" s="1043" t="s">
        <v>977</v>
      </c>
      <c r="T120" s="1051">
        <v>13982</v>
      </c>
      <c r="U120" s="1052">
        <v>13982</v>
      </c>
      <c r="V120" s="1053"/>
      <c r="W120" s="1053"/>
      <c r="X120" s="1054"/>
      <c r="Y120" s="1054"/>
      <c r="Z120" s="1047"/>
      <c r="AA120" s="1054"/>
      <c r="AB120" s="1054"/>
      <c r="AC120" s="1054"/>
      <c r="AD120" s="1054"/>
      <c r="AE120" s="1055"/>
    </row>
    <row r="121" spans="1:31" ht="16.5" thickBot="1">
      <c r="A121" s="962">
        <v>45</v>
      </c>
      <c r="B121" s="942">
        <v>72646125</v>
      </c>
      <c r="C121" s="945" t="s">
        <v>896</v>
      </c>
      <c r="D121" s="942" t="s">
        <v>886</v>
      </c>
      <c r="E121" s="942" t="s">
        <v>861</v>
      </c>
      <c r="F121" s="942" t="s">
        <v>862</v>
      </c>
      <c r="G121" s="956">
        <v>296000</v>
      </c>
      <c r="H121" s="943">
        <v>296000</v>
      </c>
      <c r="I121" s="967"/>
      <c r="J121" s="967"/>
      <c r="K121" s="967"/>
      <c r="L121" s="968"/>
      <c r="M121" s="966"/>
      <c r="N121" s="1060">
        <v>6640</v>
      </c>
      <c r="O121" s="1043">
        <v>88856640</v>
      </c>
      <c r="P121" s="1050">
        <v>41186</v>
      </c>
      <c r="Q121" s="1043" t="s">
        <v>1004</v>
      </c>
      <c r="R121" s="1043" t="s">
        <v>861</v>
      </c>
      <c r="S121" s="1043" t="s">
        <v>1005</v>
      </c>
      <c r="T121" s="1056">
        <v>290000</v>
      </c>
      <c r="U121" s="1057">
        <v>290000</v>
      </c>
      <c r="V121" s="1058"/>
      <c r="W121" s="1058"/>
      <c r="X121" s="1059"/>
      <c r="Y121" s="1059"/>
      <c r="Z121" s="1047"/>
      <c r="AA121" s="1059"/>
      <c r="AB121" s="1059"/>
      <c r="AC121" s="1059"/>
      <c r="AD121" s="1059"/>
      <c r="AE121" s="1061"/>
    </row>
    <row r="122" spans="1:31" ht="16.5" thickBot="1">
      <c r="A122" s="962">
        <v>46</v>
      </c>
      <c r="B122" s="942">
        <v>72646126</v>
      </c>
      <c r="C122" s="945" t="s">
        <v>896</v>
      </c>
      <c r="D122" s="942" t="s">
        <v>886</v>
      </c>
      <c r="E122" s="942" t="s">
        <v>861</v>
      </c>
      <c r="F122" s="942" t="s">
        <v>862</v>
      </c>
      <c r="G122" s="956">
        <v>112000</v>
      </c>
      <c r="H122" s="943">
        <v>112000</v>
      </c>
      <c r="I122" s="967"/>
      <c r="J122" s="967"/>
      <c r="K122" s="967"/>
      <c r="L122" s="968"/>
      <c r="M122" s="966"/>
      <c r="N122" s="1458" t="s">
        <v>866</v>
      </c>
      <c r="O122" s="1459"/>
      <c r="P122" s="1459"/>
      <c r="Q122" s="1459"/>
      <c r="R122" s="1459"/>
      <c r="S122" s="1460"/>
      <c r="T122" s="947">
        <f>SUM(T120:T121)</f>
        <v>303982</v>
      </c>
      <c r="U122" s="947">
        <f>SUM(U120:U121)</f>
        <v>303982</v>
      </c>
      <c r="V122" s="947"/>
      <c r="W122" s="1049"/>
      <c r="X122" s="949"/>
      <c r="Y122" s="949"/>
      <c r="Z122" s="949"/>
      <c r="AA122" s="949"/>
      <c r="AB122" s="949"/>
      <c r="AC122" s="949"/>
      <c r="AD122" s="949"/>
      <c r="AE122" s="950"/>
    </row>
    <row r="123" spans="1:31" ht="16.5" thickBot="1">
      <c r="A123" s="962">
        <v>69</v>
      </c>
      <c r="B123" s="969" t="s">
        <v>897</v>
      </c>
      <c r="C123" s="945">
        <v>41186</v>
      </c>
      <c r="D123" s="942" t="s">
        <v>864</v>
      </c>
      <c r="E123" s="942" t="s">
        <v>861</v>
      </c>
      <c r="F123" s="942" t="s">
        <v>862</v>
      </c>
      <c r="G123" s="956">
        <v>296000</v>
      </c>
      <c r="H123" s="943">
        <v>296000</v>
      </c>
      <c r="I123" s="967"/>
      <c r="J123" s="967"/>
      <c r="K123" s="967"/>
      <c r="L123" s="968"/>
      <c r="M123" s="970"/>
      <c r="N123" s="1461" t="s">
        <v>867</v>
      </c>
      <c r="O123" s="1462"/>
      <c r="P123" s="1462"/>
      <c r="Q123" s="1462"/>
      <c r="R123" s="1462"/>
      <c r="S123" s="1462"/>
      <c r="T123" s="1463"/>
      <c r="U123" s="951" t="s">
        <v>980</v>
      </c>
      <c r="V123" s="951" t="s">
        <v>981</v>
      </c>
      <c r="W123" s="951" t="s">
        <v>982</v>
      </c>
      <c r="X123" s="951" t="s">
        <v>983</v>
      </c>
      <c r="Y123" s="951" t="s">
        <v>984</v>
      </c>
      <c r="Z123" s="951" t="s">
        <v>985</v>
      </c>
      <c r="AA123" s="951" t="s">
        <v>986</v>
      </c>
      <c r="AB123" s="951" t="s">
        <v>987</v>
      </c>
      <c r="AC123" s="951" t="s">
        <v>988</v>
      </c>
      <c r="AD123" s="951" t="s">
        <v>989</v>
      </c>
      <c r="AE123" s="951" t="s">
        <v>990</v>
      </c>
    </row>
    <row r="124" spans="1:31" ht="15.75">
      <c r="A124" s="962">
        <v>70</v>
      </c>
      <c r="B124" s="969" t="s">
        <v>898</v>
      </c>
      <c r="C124" s="945">
        <v>41186</v>
      </c>
      <c r="D124" s="942" t="s">
        <v>864</v>
      </c>
      <c r="E124" s="942" t="s">
        <v>861</v>
      </c>
      <c r="F124" s="942" t="s">
        <v>862</v>
      </c>
      <c r="G124" s="956">
        <v>296000</v>
      </c>
      <c r="H124" s="943">
        <v>296000</v>
      </c>
      <c r="I124" s="967"/>
      <c r="J124" s="967"/>
      <c r="K124" s="967"/>
      <c r="L124" s="968"/>
      <c r="M124" s="970"/>
      <c r="N124" s="561"/>
      <c r="O124" s="561"/>
      <c r="P124" s="561"/>
      <c r="Q124" s="561"/>
      <c r="R124" s="561"/>
      <c r="S124" s="561"/>
      <c r="T124" s="561"/>
      <c r="U124" s="561"/>
      <c r="V124" s="561"/>
      <c r="W124" s="561"/>
      <c r="X124" s="561"/>
      <c r="Y124" s="561"/>
      <c r="Z124" s="561"/>
      <c r="AA124" s="561"/>
      <c r="AB124" s="561"/>
      <c r="AC124" s="561"/>
      <c r="AD124" s="561"/>
      <c r="AE124" s="561"/>
    </row>
    <row r="125" spans="1:31" ht="15.75">
      <c r="A125" s="962">
        <v>71</v>
      </c>
      <c r="B125" s="969" t="s">
        <v>899</v>
      </c>
      <c r="C125" s="945" t="s">
        <v>896</v>
      </c>
      <c r="D125" s="942" t="s">
        <v>864</v>
      </c>
      <c r="E125" s="942" t="s">
        <v>861</v>
      </c>
      <c r="F125" s="942" t="s">
        <v>862</v>
      </c>
      <c r="G125" s="956">
        <v>296000</v>
      </c>
      <c r="H125" s="943">
        <v>296000</v>
      </c>
      <c r="I125" s="967"/>
      <c r="J125" s="967"/>
      <c r="K125" s="967"/>
      <c r="L125" s="968"/>
      <c r="M125" s="970"/>
      <c r="N125" s="561"/>
      <c r="O125" s="561"/>
      <c r="P125" s="561"/>
      <c r="Q125" s="561"/>
      <c r="R125" s="561"/>
      <c r="S125" s="561"/>
      <c r="T125" s="561"/>
      <c r="U125" s="561"/>
      <c r="V125" s="561"/>
      <c r="W125" s="561"/>
      <c r="X125" s="561"/>
      <c r="Y125" s="561"/>
      <c r="Z125" s="561"/>
      <c r="AA125" s="561"/>
      <c r="AB125" s="561"/>
      <c r="AC125" s="561"/>
      <c r="AD125" s="561"/>
      <c r="AE125" s="561"/>
    </row>
    <row r="126" spans="1:31" ht="15.75">
      <c r="A126" s="962">
        <v>72</v>
      </c>
      <c r="B126" s="969" t="s">
        <v>900</v>
      </c>
      <c r="C126" s="945" t="s">
        <v>896</v>
      </c>
      <c r="D126" s="942" t="s">
        <v>864</v>
      </c>
      <c r="E126" s="942" t="s">
        <v>861</v>
      </c>
      <c r="F126" s="942" t="s">
        <v>862</v>
      </c>
      <c r="G126" s="956">
        <v>296000</v>
      </c>
      <c r="H126" s="943">
        <v>296000</v>
      </c>
      <c r="I126" s="967"/>
      <c r="J126" s="967"/>
      <c r="K126" s="967"/>
      <c r="L126" s="968"/>
      <c r="M126" s="970"/>
      <c r="N126" s="561"/>
      <c r="O126" s="561"/>
      <c r="P126" s="561"/>
      <c r="Q126" s="561"/>
      <c r="R126" s="561"/>
      <c r="S126" s="561"/>
      <c r="T126" s="561"/>
      <c r="U126" s="561"/>
      <c r="V126" s="561"/>
      <c r="W126" s="561"/>
      <c r="X126" s="561"/>
      <c r="Y126" s="561"/>
      <c r="Z126" s="561"/>
      <c r="AA126" s="561"/>
      <c r="AB126" s="561"/>
      <c r="AC126" s="561"/>
      <c r="AD126" s="953" t="s">
        <v>991</v>
      </c>
      <c r="AE126" s="561"/>
    </row>
    <row r="127" spans="1:31" ht="15.75">
      <c r="A127" s="962">
        <v>9</v>
      </c>
      <c r="B127" s="960">
        <v>69420118</v>
      </c>
      <c r="C127" s="945">
        <v>41186</v>
      </c>
      <c r="D127" s="942" t="s">
        <v>894</v>
      </c>
      <c r="E127" s="942" t="s">
        <v>861</v>
      </c>
      <c r="F127" s="942" t="s">
        <v>862</v>
      </c>
      <c r="G127" s="956">
        <v>112000</v>
      </c>
      <c r="H127" s="943">
        <v>112000</v>
      </c>
      <c r="I127" s="967"/>
      <c r="J127" s="967"/>
      <c r="K127" s="967"/>
      <c r="L127" s="968"/>
      <c r="M127" s="970"/>
      <c r="N127" s="561"/>
      <c r="O127" s="561"/>
      <c r="P127" s="561"/>
      <c r="Q127" s="561"/>
      <c r="R127" s="561"/>
      <c r="S127" s="561"/>
      <c r="T127" s="561"/>
      <c r="U127" s="561"/>
      <c r="V127" s="561"/>
      <c r="W127" s="561"/>
      <c r="X127" s="561"/>
      <c r="Y127" s="561"/>
      <c r="Z127" s="561"/>
      <c r="AA127" s="561"/>
      <c r="AB127" s="561"/>
      <c r="AC127" s="561" t="s">
        <v>992</v>
      </c>
      <c r="AD127" s="953"/>
      <c r="AE127" s="561"/>
    </row>
    <row r="128" spans="1:31" ht="16.5" thickBot="1">
      <c r="A128" s="971">
        <v>10</v>
      </c>
      <c r="B128" s="972">
        <v>69420119</v>
      </c>
      <c r="C128" s="973" t="s">
        <v>896</v>
      </c>
      <c r="D128" s="973" t="s">
        <v>894</v>
      </c>
      <c r="E128" s="973" t="s">
        <v>861</v>
      </c>
      <c r="F128" s="973" t="s">
        <v>862</v>
      </c>
      <c r="G128" s="974">
        <v>294000</v>
      </c>
      <c r="H128" s="975">
        <v>294000</v>
      </c>
      <c r="I128" s="976"/>
      <c r="J128" s="976"/>
      <c r="K128" s="976"/>
      <c r="L128" s="977"/>
      <c r="M128" s="978"/>
      <c r="N128" s="561" t="s">
        <v>876</v>
      </c>
      <c r="O128" s="561"/>
      <c r="P128" s="561"/>
      <c r="Q128" s="561"/>
      <c r="R128" s="561"/>
      <c r="S128" s="561"/>
      <c r="T128" s="561"/>
      <c r="U128" s="561"/>
      <c r="V128" s="561"/>
      <c r="W128" s="561"/>
      <c r="X128" s="561"/>
      <c r="Y128" s="561"/>
      <c r="Z128" s="561"/>
      <c r="AA128" s="561"/>
      <c r="AB128" s="561"/>
      <c r="AC128" s="561"/>
      <c r="AD128" s="561"/>
      <c r="AE128" s="561"/>
    </row>
    <row r="129" spans="1:31" ht="16.5" thickBot="1">
      <c r="A129" s="1469" t="s">
        <v>866</v>
      </c>
      <c r="B129" s="1470"/>
      <c r="C129" s="1470"/>
      <c r="D129" s="1470"/>
      <c r="E129" s="1470"/>
      <c r="F129" s="1471"/>
      <c r="G129" s="979">
        <f>SUM(G120:G128)</f>
        <v>2294000</v>
      </c>
      <c r="H129" s="979">
        <f>SUM(H120:H128)</f>
        <v>2294000</v>
      </c>
      <c r="I129" s="947"/>
      <c r="J129" s="947"/>
      <c r="K129" s="948"/>
      <c r="L129" s="949"/>
      <c r="M129" s="950"/>
      <c r="N129" s="561" t="s">
        <v>877</v>
      </c>
      <c r="O129" s="561"/>
      <c r="P129" s="561"/>
      <c r="Q129" s="561"/>
      <c r="R129" s="561"/>
      <c r="S129" s="561"/>
      <c r="T129" s="561"/>
      <c r="U129" s="561"/>
      <c r="V129" s="561"/>
      <c r="W129" s="561"/>
      <c r="X129" s="561"/>
      <c r="Y129" s="561"/>
      <c r="Z129" s="561"/>
      <c r="AA129" s="561"/>
      <c r="AB129" s="561"/>
      <c r="AC129" s="561"/>
      <c r="AD129" s="561"/>
      <c r="AE129" s="561"/>
    </row>
    <row r="130" spans="1:31" ht="16.5" thickBot="1">
      <c r="A130" s="1472" t="s">
        <v>867</v>
      </c>
      <c r="B130" s="1473"/>
      <c r="C130" s="1473"/>
      <c r="D130" s="1473"/>
      <c r="E130" s="1473"/>
      <c r="F130" s="1473"/>
      <c r="G130" s="1474"/>
      <c r="H130" s="980" t="s">
        <v>868</v>
      </c>
      <c r="I130" s="980" t="s">
        <v>869</v>
      </c>
      <c r="J130" s="980" t="s">
        <v>870</v>
      </c>
      <c r="K130" s="980" t="s">
        <v>871</v>
      </c>
      <c r="L130" s="980" t="s">
        <v>872</v>
      </c>
      <c r="M130" s="980" t="s">
        <v>873</v>
      </c>
      <c r="N130" s="561" t="s">
        <v>878</v>
      </c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</row>
    <row r="131" spans="1:31" ht="15.75">
      <c r="A131" s="561"/>
      <c r="B131" s="561"/>
      <c r="C131" s="561"/>
      <c r="D131" s="561"/>
      <c r="E131" s="561"/>
      <c r="F131" s="561"/>
      <c r="G131" s="561"/>
      <c r="H131" s="561"/>
      <c r="I131" s="561"/>
      <c r="J131" s="561"/>
      <c r="K131" s="561"/>
      <c r="L131" s="561"/>
      <c r="M131" s="56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</row>
    <row r="132" spans="1:31" ht="15.75">
      <c r="A132" s="561"/>
      <c r="B132" s="561"/>
      <c r="C132" s="561"/>
      <c r="D132" s="561"/>
      <c r="E132" s="561"/>
      <c r="F132" s="561"/>
      <c r="G132" s="952"/>
      <c r="H132" s="561"/>
      <c r="I132" s="561"/>
      <c r="J132" s="561"/>
      <c r="K132" s="952"/>
      <c r="L132" s="561"/>
      <c r="M132" s="561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</row>
    <row r="133" spans="1:31" ht="15.75">
      <c r="A133" s="561"/>
      <c r="B133" s="561"/>
      <c r="C133" s="561"/>
      <c r="D133" s="561" t="s">
        <v>134</v>
      </c>
      <c r="E133" s="561"/>
      <c r="F133" s="561"/>
      <c r="G133" s="561"/>
      <c r="H133" s="561"/>
      <c r="I133" s="561"/>
      <c r="J133" s="953" t="s">
        <v>874</v>
      </c>
      <c r="K133" s="561"/>
      <c r="L133" s="561"/>
      <c r="M133" s="561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</row>
    <row r="134" spans="1:31" ht="15.75">
      <c r="A134" s="561"/>
      <c r="B134" s="561"/>
      <c r="C134" s="561"/>
      <c r="D134" s="561"/>
      <c r="E134" s="561"/>
      <c r="F134" s="561"/>
      <c r="G134" s="561"/>
      <c r="H134" s="561"/>
      <c r="I134" s="561"/>
      <c r="J134" s="561" t="s">
        <v>875</v>
      </c>
      <c r="K134" s="561"/>
      <c r="L134" s="561"/>
      <c r="M134" s="561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</row>
    <row r="135" spans="1:31">
      <c r="A135" s="561" t="s">
        <v>876</v>
      </c>
      <c r="B135" s="561"/>
      <c r="C135" s="561"/>
      <c r="D135" s="561"/>
      <c r="E135" s="561"/>
      <c r="F135" s="561"/>
      <c r="G135" s="561"/>
      <c r="H135" s="561"/>
      <c r="I135" s="561"/>
      <c r="J135" s="561"/>
      <c r="K135" s="954"/>
      <c r="L135" s="561"/>
      <c r="M135" s="561"/>
    </row>
    <row r="136" spans="1:31">
      <c r="A136" s="561" t="s">
        <v>877</v>
      </c>
      <c r="B136" s="561"/>
      <c r="C136" s="561"/>
      <c r="D136" s="561"/>
      <c r="E136" s="561"/>
      <c r="F136" s="561"/>
      <c r="G136" s="561"/>
      <c r="H136" s="561"/>
      <c r="I136" s="561"/>
      <c r="J136" s="561"/>
      <c r="K136" s="561"/>
      <c r="L136" s="561"/>
      <c r="M136" s="561"/>
    </row>
    <row r="137" spans="1:31">
      <c r="A137" s="561"/>
      <c r="B137" s="561"/>
      <c r="C137" s="561"/>
      <c r="D137" s="561"/>
      <c r="E137" s="561"/>
      <c r="F137" s="561"/>
      <c r="G137" s="561"/>
      <c r="H137" s="561"/>
      <c r="I137" s="561"/>
      <c r="J137" s="561"/>
      <c r="K137" s="561"/>
      <c r="L137" s="561"/>
      <c r="M137" s="561"/>
    </row>
    <row r="138" spans="1:31">
      <c r="A138" s="561"/>
      <c r="B138" s="561"/>
      <c r="C138" s="561"/>
      <c r="D138" s="561"/>
      <c r="E138" s="561"/>
      <c r="F138" s="561"/>
      <c r="G138" s="561"/>
      <c r="H138" s="561"/>
      <c r="I138" s="561"/>
      <c r="J138" s="561"/>
      <c r="K138" s="561"/>
      <c r="L138" s="561"/>
      <c r="M138" s="561"/>
    </row>
    <row r="139" spans="1:31">
      <c r="A139" s="561"/>
      <c r="B139" s="561"/>
      <c r="C139" s="561"/>
      <c r="D139" s="561"/>
      <c r="E139" s="561"/>
      <c r="F139" s="561"/>
      <c r="G139" s="561"/>
      <c r="H139" s="561"/>
      <c r="I139" s="561"/>
      <c r="J139" s="561"/>
      <c r="K139" s="561"/>
      <c r="L139" s="561"/>
      <c r="M139" s="561"/>
    </row>
    <row r="140" spans="1:31">
      <c r="A140" s="561"/>
      <c r="B140" s="561"/>
      <c r="C140" s="561"/>
      <c r="D140" s="561"/>
      <c r="E140" s="561"/>
      <c r="F140" s="561"/>
      <c r="G140" s="561"/>
      <c r="H140" s="561"/>
      <c r="I140" s="561"/>
      <c r="J140" s="561"/>
      <c r="K140" s="561"/>
      <c r="L140" s="561"/>
      <c r="M140" s="561"/>
    </row>
    <row r="141" spans="1:31">
      <c r="A141" s="925" t="s">
        <v>841</v>
      </c>
      <c r="B141" s="561"/>
      <c r="C141" s="561"/>
      <c r="D141" s="561"/>
      <c r="E141" s="561"/>
      <c r="F141" s="561"/>
      <c r="G141" s="561"/>
      <c r="H141" s="561"/>
      <c r="I141" s="561"/>
      <c r="J141" s="561"/>
      <c r="K141" s="561"/>
      <c r="L141" s="561"/>
      <c r="M141" s="561"/>
      <c r="N141" s="925" t="s">
        <v>964</v>
      </c>
      <c r="O141" s="561"/>
      <c r="P141" s="561"/>
      <c r="Q141" s="561"/>
      <c r="R141" s="561"/>
      <c r="S141" s="561"/>
      <c r="T141" s="561"/>
      <c r="U141" s="561"/>
      <c r="V141" s="561"/>
      <c r="W141" s="561"/>
      <c r="X141" s="561"/>
      <c r="Y141" s="561"/>
      <c r="Z141" s="561"/>
      <c r="AA141" s="561"/>
      <c r="AB141" s="561"/>
      <c r="AC141" s="561"/>
      <c r="AD141" s="561"/>
      <c r="AE141" s="561"/>
    </row>
    <row r="142" spans="1:31" ht="15.75">
      <c r="A142" s="926" t="s">
        <v>842</v>
      </c>
      <c r="B142" s="926"/>
      <c r="C142" s="927" t="s">
        <v>843</v>
      </c>
      <c r="D142" s="561"/>
      <c r="E142" s="561"/>
      <c r="F142" s="561"/>
      <c r="G142" s="561"/>
      <c r="H142" s="561"/>
      <c r="I142" s="561"/>
      <c r="J142" s="561"/>
      <c r="K142" s="561"/>
      <c r="L142" s="561"/>
      <c r="M142" s="561"/>
      <c r="N142" s="926" t="s">
        <v>842</v>
      </c>
      <c r="O142" s="926"/>
      <c r="P142" s="927" t="s">
        <v>843</v>
      </c>
      <c r="Q142" s="561"/>
      <c r="R142" s="561"/>
      <c r="S142" s="561"/>
      <c r="T142" s="561"/>
      <c r="U142" s="561"/>
      <c r="V142" s="561"/>
      <c r="W142" s="561"/>
      <c r="X142" s="561"/>
      <c r="Y142" s="561"/>
      <c r="Z142" s="561"/>
      <c r="AA142" s="561"/>
      <c r="AB142" s="561"/>
      <c r="AC142" s="561"/>
      <c r="AD142" s="561"/>
      <c r="AE142" s="561"/>
    </row>
    <row r="143" spans="1:31" ht="15.75">
      <c r="A143" s="926" t="s">
        <v>395</v>
      </c>
      <c r="B143" s="926"/>
      <c r="C143" s="927" t="s">
        <v>844</v>
      </c>
      <c r="D143" s="561"/>
      <c r="E143" s="561"/>
      <c r="F143" s="561"/>
      <c r="G143" s="561"/>
      <c r="H143" s="561"/>
      <c r="I143" s="561"/>
      <c r="J143" s="561"/>
      <c r="K143" s="561"/>
      <c r="L143" s="561"/>
      <c r="M143" s="561"/>
      <c r="N143" s="926" t="s">
        <v>395</v>
      </c>
      <c r="O143" s="926"/>
      <c r="P143" s="927" t="s">
        <v>844</v>
      </c>
      <c r="Q143" s="561"/>
      <c r="R143" s="561"/>
      <c r="S143" s="561"/>
      <c r="T143" s="561"/>
      <c r="U143" s="561"/>
      <c r="V143" s="561"/>
      <c r="W143" s="561"/>
      <c r="X143" s="561"/>
      <c r="Y143" s="561"/>
      <c r="Z143" s="561"/>
      <c r="AA143" s="561"/>
      <c r="AB143" s="561"/>
      <c r="AC143" s="561"/>
      <c r="AD143" s="561"/>
      <c r="AE143" s="561"/>
    </row>
    <row r="144" spans="1:31" ht="15.75">
      <c r="A144" s="926" t="s">
        <v>845</v>
      </c>
      <c r="B144" s="926"/>
      <c r="C144" s="927" t="s">
        <v>846</v>
      </c>
      <c r="D144" s="561"/>
      <c r="E144" s="561"/>
      <c r="F144" s="561"/>
      <c r="G144" s="561"/>
      <c r="H144" s="561"/>
      <c r="I144" s="561"/>
      <c r="J144" s="561"/>
      <c r="K144" s="561"/>
      <c r="L144" s="561"/>
      <c r="M144" s="561"/>
      <c r="N144" s="926" t="s">
        <v>845</v>
      </c>
      <c r="O144" s="926"/>
      <c r="P144" s="927" t="s">
        <v>846</v>
      </c>
      <c r="Q144" s="561"/>
      <c r="R144" s="561"/>
      <c r="S144" s="561"/>
      <c r="T144" s="561"/>
      <c r="U144" s="561"/>
      <c r="V144" s="561"/>
      <c r="W144" s="561"/>
      <c r="X144" s="561"/>
      <c r="Y144" s="561"/>
      <c r="Z144" s="561"/>
      <c r="AA144" s="561"/>
      <c r="AB144" s="561"/>
      <c r="AC144" s="561"/>
      <c r="AD144" s="561"/>
      <c r="AE144" s="561"/>
    </row>
    <row r="145" spans="1:31" ht="15.75">
      <c r="A145" s="926" t="s">
        <v>167</v>
      </c>
      <c r="B145" s="926"/>
      <c r="C145" s="927" t="s">
        <v>901</v>
      </c>
      <c r="D145" s="561"/>
      <c r="E145" s="561"/>
      <c r="F145" s="561"/>
      <c r="G145" s="561"/>
      <c r="H145" s="561"/>
      <c r="I145" s="561"/>
      <c r="J145" s="561"/>
      <c r="K145" s="561"/>
      <c r="L145" s="561"/>
      <c r="M145" s="561"/>
      <c r="N145" s="926" t="s">
        <v>167</v>
      </c>
      <c r="O145" s="926"/>
      <c r="P145" s="927" t="s">
        <v>901</v>
      </c>
      <c r="Q145" s="561"/>
      <c r="R145" s="561"/>
      <c r="S145" s="561"/>
      <c r="T145" s="561"/>
      <c r="U145" s="561"/>
      <c r="V145" s="561" t="s">
        <v>134</v>
      </c>
      <c r="W145" s="561" t="s">
        <v>134</v>
      </c>
      <c r="X145" s="561"/>
      <c r="Y145" s="561"/>
      <c r="Z145" s="561"/>
      <c r="AA145" s="561"/>
      <c r="AB145" s="561"/>
      <c r="AC145" s="561"/>
      <c r="AD145" s="561"/>
      <c r="AE145" s="561"/>
    </row>
    <row r="146" spans="1:31" ht="16.5" thickBot="1">
      <c r="A146" s="926"/>
      <c r="B146" s="926"/>
      <c r="C146" s="561"/>
      <c r="D146" s="561"/>
      <c r="E146" s="561"/>
      <c r="F146" s="561"/>
      <c r="G146" s="561"/>
      <c r="H146" s="561"/>
      <c r="I146" s="561"/>
      <c r="J146" s="561"/>
      <c r="K146" s="561"/>
      <c r="L146" s="561"/>
      <c r="M146" s="561"/>
      <c r="N146" s="926"/>
      <c r="O146" s="926"/>
      <c r="P146" s="561"/>
      <c r="Q146" s="561"/>
      <c r="R146" s="561"/>
      <c r="S146" s="561"/>
      <c r="T146" s="561"/>
      <c r="U146" s="561"/>
      <c r="V146" s="561"/>
      <c r="W146" s="561"/>
      <c r="X146" s="561"/>
      <c r="Y146" s="561"/>
      <c r="Z146" s="561"/>
      <c r="AA146" s="561"/>
      <c r="AB146" s="561"/>
      <c r="AC146" s="561"/>
      <c r="AD146" s="561"/>
      <c r="AE146" s="561"/>
    </row>
    <row r="147" spans="1:31" ht="16.5" thickBot="1">
      <c r="A147" s="561" t="s">
        <v>848</v>
      </c>
      <c r="B147" s="928"/>
      <c r="C147" s="561" t="s">
        <v>849</v>
      </c>
      <c r="D147" s="561"/>
      <c r="E147" s="561"/>
      <c r="F147" s="561"/>
      <c r="G147" s="561"/>
      <c r="H147" s="561"/>
      <c r="I147" s="561"/>
      <c r="J147" s="561"/>
      <c r="K147" s="561"/>
      <c r="L147" s="561"/>
      <c r="M147" s="561"/>
      <c r="N147" s="561" t="s">
        <v>848</v>
      </c>
      <c r="O147" s="928"/>
      <c r="P147" s="561" t="s">
        <v>849</v>
      </c>
      <c r="Q147" s="561"/>
      <c r="R147" s="561"/>
      <c r="S147" s="561"/>
      <c r="T147" s="561"/>
      <c r="U147" s="561"/>
      <c r="V147" s="561"/>
      <c r="W147" s="561"/>
      <c r="X147" s="561"/>
      <c r="Y147" s="561"/>
      <c r="Z147" s="561"/>
      <c r="AA147" s="561"/>
      <c r="AB147" s="561"/>
      <c r="AC147" s="561"/>
      <c r="AD147" s="561"/>
      <c r="AE147" s="561"/>
    </row>
    <row r="148" spans="1:31" ht="16.5" thickBot="1">
      <c r="A148" s="561"/>
      <c r="B148" s="561"/>
      <c r="C148" s="561"/>
      <c r="D148" s="561"/>
      <c r="E148" s="561"/>
      <c r="F148" s="561"/>
      <c r="G148" s="561"/>
      <c r="H148" s="561"/>
      <c r="I148" s="561"/>
      <c r="J148" s="561"/>
      <c r="K148" s="561"/>
      <c r="L148" s="561"/>
      <c r="M148" s="561"/>
      <c r="N148" s="561"/>
      <c r="O148" s="561"/>
      <c r="P148" s="926"/>
      <c r="Q148" s="561"/>
      <c r="R148" s="561"/>
      <c r="S148" s="561"/>
      <c r="T148" s="561"/>
      <c r="U148" s="561"/>
      <c r="V148" s="561"/>
      <c r="W148" s="561"/>
      <c r="X148" s="561"/>
      <c r="Y148" s="561"/>
      <c r="Z148" s="561"/>
      <c r="AA148" s="561"/>
      <c r="AB148" s="561"/>
      <c r="AC148" s="561"/>
      <c r="AD148" s="561"/>
      <c r="AE148" s="561"/>
    </row>
    <row r="149" spans="1:31" ht="16.5" thickBot="1">
      <c r="A149" s="1454" t="s">
        <v>850</v>
      </c>
      <c r="B149" s="1464"/>
      <c r="C149" s="1455"/>
      <c r="D149" s="1454" t="s">
        <v>851</v>
      </c>
      <c r="E149" s="1464"/>
      <c r="F149" s="1455"/>
      <c r="G149" s="1466" t="s">
        <v>852</v>
      </c>
      <c r="H149" s="1466" t="s">
        <v>667</v>
      </c>
      <c r="I149" s="1466" t="s">
        <v>668</v>
      </c>
      <c r="J149" s="1454" t="s">
        <v>676</v>
      </c>
      <c r="K149" s="1455"/>
      <c r="L149" s="1454" t="s">
        <v>677</v>
      </c>
      <c r="M149" s="1455"/>
      <c r="N149" s="1486" t="s">
        <v>850</v>
      </c>
      <c r="O149" s="1487"/>
      <c r="P149" s="1488"/>
      <c r="Q149" s="1486" t="s">
        <v>965</v>
      </c>
      <c r="R149" s="1487"/>
      <c r="S149" s="1488"/>
      <c r="T149" s="1466" t="s">
        <v>966</v>
      </c>
      <c r="U149" s="1489" t="s">
        <v>669</v>
      </c>
      <c r="V149" s="1490"/>
      <c r="W149" s="1490"/>
      <c r="X149" s="1490"/>
      <c r="Y149" s="1490"/>
      <c r="Z149" s="1490"/>
      <c r="AA149" s="1490"/>
      <c r="AB149" s="1490"/>
      <c r="AC149" s="1490"/>
      <c r="AD149" s="1490"/>
      <c r="AE149" s="1491"/>
    </row>
    <row r="150" spans="1:31" ht="16.5" thickBot="1">
      <c r="A150" s="1456"/>
      <c r="B150" s="1465"/>
      <c r="C150" s="1457"/>
      <c r="D150" s="1456"/>
      <c r="E150" s="1465"/>
      <c r="F150" s="1457"/>
      <c r="G150" s="1467"/>
      <c r="H150" s="1467"/>
      <c r="I150" s="1467"/>
      <c r="J150" s="1456"/>
      <c r="K150" s="1457"/>
      <c r="L150" s="1456"/>
      <c r="M150" s="1457"/>
      <c r="N150" s="1466" t="s">
        <v>853</v>
      </c>
      <c r="O150" s="1466" t="s">
        <v>854</v>
      </c>
      <c r="P150" s="1466" t="s">
        <v>855</v>
      </c>
      <c r="Q150" s="1466" t="s">
        <v>967</v>
      </c>
      <c r="R150" s="1466" t="s">
        <v>857</v>
      </c>
      <c r="S150" s="1466" t="s">
        <v>968</v>
      </c>
      <c r="T150" s="1467"/>
      <c r="U150" s="1466" t="s">
        <v>670</v>
      </c>
      <c r="V150" s="1489" t="s">
        <v>678</v>
      </c>
      <c r="W150" s="1492"/>
      <c r="X150" s="1489" t="s">
        <v>679</v>
      </c>
      <c r="Y150" s="1492"/>
      <c r="Z150" s="1489" t="s">
        <v>680</v>
      </c>
      <c r="AA150" s="1491"/>
      <c r="AB150" s="1489" t="s">
        <v>681</v>
      </c>
      <c r="AC150" s="1491"/>
      <c r="AD150" s="1489" t="s">
        <v>671</v>
      </c>
      <c r="AE150" s="1491"/>
    </row>
    <row r="151" spans="1:31" ht="63.75" thickBot="1">
      <c r="A151" s="934" t="s">
        <v>853</v>
      </c>
      <c r="B151" s="934" t="s">
        <v>854</v>
      </c>
      <c r="C151" s="934" t="s">
        <v>855</v>
      </c>
      <c r="D151" s="934" t="s">
        <v>856</v>
      </c>
      <c r="E151" s="934" t="s">
        <v>857</v>
      </c>
      <c r="F151" s="934" t="s">
        <v>388</v>
      </c>
      <c r="G151" s="1468"/>
      <c r="H151" s="1468"/>
      <c r="I151" s="1468"/>
      <c r="J151" s="935" t="s">
        <v>672</v>
      </c>
      <c r="K151" s="935" t="s">
        <v>673</v>
      </c>
      <c r="L151" s="935" t="s">
        <v>672</v>
      </c>
      <c r="M151" s="935" t="s">
        <v>673</v>
      </c>
      <c r="N151" s="1468"/>
      <c r="O151" s="1468"/>
      <c r="P151" s="1468"/>
      <c r="Q151" s="1468"/>
      <c r="R151" s="1468"/>
      <c r="S151" s="1468"/>
      <c r="T151" s="1468"/>
      <c r="U151" s="1468"/>
      <c r="V151" s="1036" t="s">
        <v>672</v>
      </c>
      <c r="W151" s="1037" t="s">
        <v>673</v>
      </c>
      <c r="X151" s="1036" t="s">
        <v>672</v>
      </c>
      <c r="Y151" s="1037" t="s">
        <v>673</v>
      </c>
      <c r="Z151" s="1038" t="s">
        <v>674</v>
      </c>
      <c r="AA151" s="1038" t="s">
        <v>675</v>
      </c>
      <c r="AB151" s="1038" t="s">
        <v>674</v>
      </c>
      <c r="AC151" s="1038" t="s">
        <v>675</v>
      </c>
      <c r="AD151" s="1038" t="s">
        <v>674</v>
      </c>
      <c r="AE151" s="1038" t="s">
        <v>675</v>
      </c>
    </row>
    <row r="152" spans="1:31" ht="29.25" thickBot="1">
      <c r="A152" s="937" t="s">
        <v>493</v>
      </c>
      <c r="B152" s="937" t="s">
        <v>494</v>
      </c>
      <c r="C152" s="937" t="s">
        <v>527</v>
      </c>
      <c r="D152" s="937" t="s">
        <v>549</v>
      </c>
      <c r="E152" s="937" t="s">
        <v>551</v>
      </c>
      <c r="F152" s="937" t="s">
        <v>563</v>
      </c>
      <c r="G152" s="937" t="s">
        <v>858</v>
      </c>
      <c r="H152" s="937" t="s">
        <v>567</v>
      </c>
      <c r="I152" s="937" t="s">
        <v>569</v>
      </c>
      <c r="J152" s="937" t="s">
        <v>571</v>
      </c>
      <c r="K152" s="937" t="s">
        <v>573</v>
      </c>
      <c r="L152" s="937" t="s">
        <v>575</v>
      </c>
      <c r="M152" s="937" t="s">
        <v>579</v>
      </c>
      <c r="N152" s="1039" t="s">
        <v>493</v>
      </c>
      <c r="O152" s="1039" t="s">
        <v>494</v>
      </c>
      <c r="P152" s="1039" t="s">
        <v>527</v>
      </c>
      <c r="Q152" s="1039" t="s">
        <v>549</v>
      </c>
      <c r="R152" s="1039" t="s">
        <v>551</v>
      </c>
      <c r="S152" s="1039" t="s">
        <v>563</v>
      </c>
      <c r="T152" s="1040" t="s">
        <v>969</v>
      </c>
      <c r="U152" s="1039" t="s">
        <v>567</v>
      </c>
      <c r="V152" s="1039" t="s">
        <v>569</v>
      </c>
      <c r="W152" s="1039" t="s">
        <v>571</v>
      </c>
      <c r="X152" s="1039" t="s">
        <v>573</v>
      </c>
      <c r="Y152" s="1039" t="s">
        <v>575</v>
      </c>
      <c r="Z152" s="1039" t="s">
        <v>579</v>
      </c>
      <c r="AA152" s="1039" t="s">
        <v>970</v>
      </c>
      <c r="AB152" s="1039" t="s">
        <v>971</v>
      </c>
      <c r="AC152" s="1039" t="s">
        <v>972</v>
      </c>
      <c r="AD152" s="1039" t="s">
        <v>973</v>
      </c>
      <c r="AE152" s="1039" t="s">
        <v>974</v>
      </c>
    </row>
    <row r="153" spans="1:31" ht="15.75">
      <c r="A153" s="957">
        <v>6</v>
      </c>
      <c r="B153" s="938">
        <v>67903724</v>
      </c>
      <c r="C153" s="939" t="s">
        <v>902</v>
      </c>
      <c r="D153" s="938" t="s">
        <v>888</v>
      </c>
      <c r="E153" s="938" t="s">
        <v>861</v>
      </c>
      <c r="F153" s="938" t="s">
        <v>862</v>
      </c>
      <c r="G153" s="955">
        <v>80000</v>
      </c>
      <c r="H153" s="940">
        <v>80000</v>
      </c>
      <c r="I153" s="938"/>
      <c r="J153" s="938"/>
      <c r="K153" s="938"/>
      <c r="L153" s="941"/>
      <c r="M153" s="959"/>
      <c r="N153" s="1062">
        <v>4</v>
      </c>
      <c r="O153" s="958">
        <v>705403323</v>
      </c>
      <c r="P153" s="1063">
        <v>41004</v>
      </c>
      <c r="Q153" s="958" t="s">
        <v>975</v>
      </c>
      <c r="R153" s="958" t="s">
        <v>976</v>
      </c>
      <c r="S153" s="958" t="s">
        <v>977</v>
      </c>
      <c r="T153" s="1051">
        <v>14547.21</v>
      </c>
      <c r="U153" s="1052">
        <v>14547.21</v>
      </c>
      <c r="V153" s="1052"/>
      <c r="W153" s="1052"/>
      <c r="X153" s="1051"/>
      <c r="Y153" s="1051"/>
      <c r="Z153" s="1064"/>
      <c r="AA153" s="1051"/>
      <c r="AB153" s="1051"/>
      <c r="AC153" s="1051"/>
      <c r="AD153" s="1051"/>
      <c r="AE153" s="1065"/>
    </row>
    <row r="154" spans="1:31" ht="15.75">
      <c r="A154" s="962">
        <v>73</v>
      </c>
      <c r="B154" s="969" t="s">
        <v>903</v>
      </c>
      <c r="C154" s="945" t="s">
        <v>902</v>
      </c>
      <c r="D154" s="942" t="s">
        <v>864</v>
      </c>
      <c r="E154" s="942" t="s">
        <v>861</v>
      </c>
      <c r="F154" s="942" t="s">
        <v>862</v>
      </c>
      <c r="G154" s="956">
        <v>296000</v>
      </c>
      <c r="H154" s="943">
        <v>296000</v>
      </c>
      <c r="I154" s="942"/>
      <c r="J154" s="942"/>
      <c r="K154" s="942"/>
      <c r="L154" s="944"/>
      <c r="M154" s="959"/>
      <c r="N154" s="1066">
        <v>3803</v>
      </c>
      <c r="O154" s="969" t="s">
        <v>1006</v>
      </c>
      <c r="P154" s="1067">
        <v>41004</v>
      </c>
      <c r="Q154" s="960" t="s">
        <v>1007</v>
      </c>
      <c r="R154" s="960" t="s">
        <v>1008</v>
      </c>
      <c r="S154" s="960" t="s">
        <v>1009</v>
      </c>
      <c r="T154" s="1056">
        <v>140400</v>
      </c>
      <c r="U154" s="1057">
        <v>140400</v>
      </c>
      <c r="V154" s="1057"/>
      <c r="W154" s="1057"/>
      <c r="X154" s="1056"/>
      <c r="Y154" s="1056"/>
      <c r="Z154" s="1068"/>
      <c r="AA154" s="1056"/>
      <c r="AB154" s="1056"/>
      <c r="AC154" s="1056"/>
      <c r="AD154" s="1056"/>
      <c r="AE154" s="1069"/>
    </row>
    <row r="155" spans="1:31" ht="15.75">
      <c r="A155" s="971">
        <v>74</v>
      </c>
      <c r="B155" s="969" t="s">
        <v>904</v>
      </c>
      <c r="C155" s="981" t="s">
        <v>902</v>
      </c>
      <c r="D155" s="973" t="s">
        <v>864</v>
      </c>
      <c r="E155" s="973" t="s">
        <v>861</v>
      </c>
      <c r="F155" s="973" t="s">
        <v>862</v>
      </c>
      <c r="G155" s="974">
        <v>296000</v>
      </c>
      <c r="H155" s="975">
        <v>296000</v>
      </c>
      <c r="I155" s="973"/>
      <c r="J155" s="973"/>
      <c r="K155" s="942"/>
      <c r="L155" s="944"/>
      <c r="M155" s="959"/>
      <c r="N155" s="1070">
        <v>6742</v>
      </c>
      <c r="O155" s="1071" t="s">
        <v>1010</v>
      </c>
      <c r="P155" s="1072">
        <v>41218</v>
      </c>
      <c r="Q155" s="972" t="s">
        <v>1004</v>
      </c>
      <c r="R155" s="972" t="s">
        <v>861</v>
      </c>
      <c r="S155" s="972" t="s">
        <v>1005</v>
      </c>
      <c r="T155" s="1073">
        <v>28201.88</v>
      </c>
      <c r="U155" s="1074">
        <v>28201.88</v>
      </c>
      <c r="V155" s="1074"/>
      <c r="W155" s="1074"/>
      <c r="X155" s="1073"/>
      <c r="Y155" s="1073"/>
      <c r="Z155" s="1075"/>
      <c r="AA155" s="1073"/>
      <c r="AB155" s="1073"/>
      <c r="AC155" s="1073"/>
      <c r="AD155" s="1073"/>
      <c r="AE155" s="1076"/>
    </row>
    <row r="156" spans="1:31" ht="15.75">
      <c r="A156" s="942">
        <v>75</v>
      </c>
      <c r="B156" s="969" t="s">
        <v>905</v>
      </c>
      <c r="C156" s="945" t="s">
        <v>906</v>
      </c>
      <c r="D156" s="973" t="s">
        <v>864</v>
      </c>
      <c r="E156" s="973" t="s">
        <v>861</v>
      </c>
      <c r="F156" s="973" t="s">
        <v>862</v>
      </c>
      <c r="G156" s="956">
        <v>296000</v>
      </c>
      <c r="H156" s="943">
        <v>296000</v>
      </c>
      <c r="I156" s="942"/>
      <c r="J156" s="942"/>
      <c r="K156" s="942"/>
      <c r="L156" s="944"/>
      <c r="M156" s="959"/>
      <c r="N156" s="1066">
        <v>72</v>
      </c>
      <c r="O156" s="969" t="s">
        <v>1011</v>
      </c>
      <c r="P156" s="1067" t="s">
        <v>1012</v>
      </c>
      <c r="Q156" s="960" t="s">
        <v>1013</v>
      </c>
      <c r="R156" s="960" t="s">
        <v>861</v>
      </c>
      <c r="S156" s="960" t="s">
        <v>996</v>
      </c>
      <c r="T156" s="1056">
        <v>74880</v>
      </c>
      <c r="U156" s="1057">
        <v>74880</v>
      </c>
      <c r="V156" s="1057"/>
      <c r="W156" s="1057"/>
      <c r="X156" s="1056"/>
      <c r="Y156" s="1056"/>
      <c r="Z156" s="1068"/>
      <c r="AA156" s="1056"/>
      <c r="AB156" s="1056"/>
      <c r="AC156" s="1056"/>
      <c r="AD156" s="1056"/>
      <c r="AE156" s="1069"/>
    </row>
    <row r="157" spans="1:31" ht="15.75">
      <c r="A157" s="942">
        <v>76</v>
      </c>
      <c r="B157" s="969" t="s">
        <v>907</v>
      </c>
      <c r="C157" s="945" t="s">
        <v>906</v>
      </c>
      <c r="D157" s="973" t="s">
        <v>864</v>
      </c>
      <c r="E157" s="973" t="s">
        <v>861</v>
      </c>
      <c r="F157" s="973" t="s">
        <v>862</v>
      </c>
      <c r="G157" s="956">
        <v>296000</v>
      </c>
      <c r="H157" s="943">
        <v>296000</v>
      </c>
      <c r="I157" s="942"/>
      <c r="J157" s="942"/>
      <c r="K157" s="942"/>
      <c r="L157" s="944"/>
      <c r="M157" s="959"/>
      <c r="N157" s="1066">
        <v>6775</v>
      </c>
      <c r="O157" s="969" t="s">
        <v>1014</v>
      </c>
      <c r="P157" s="1067" t="s">
        <v>1015</v>
      </c>
      <c r="Q157" s="960" t="s">
        <v>1004</v>
      </c>
      <c r="R157" s="960" t="s">
        <v>861</v>
      </c>
      <c r="S157" s="960" t="s">
        <v>1005</v>
      </c>
      <c r="T157" s="1056">
        <v>18500</v>
      </c>
      <c r="U157" s="1057">
        <v>18500</v>
      </c>
      <c r="V157" s="1057"/>
      <c r="W157" s="1057"/>
      <c r="X157" s="1056"/>
      <c r="Y157" s="1056"/>
      <c r="Z157" s="1068"/>
      <c r="AA157" s="1056"/>
      <c r="AB157" s="1056"/>
      <c r="AC157" s="1056"/>
      <c r="AD157" s="1056"/>
      <c r="AE157" s="1069"/>
    </row>
    <row r="158" spans="1:31" ht="16.5" thickBot="1">
      <c r="A158" s="942">
        <v>77</v>
      </c>
      <c r="B158" s="969" t="s">
        <v>908</v>
      </c>
      <c r="C158" s="945" t="s">
        <v>906</v>
      </c>
      <c r="D158" s="973" t="s">
        <v>864</v>
      </c>
      <c r="E158" s="973" t="s">
        <v>861</v>
      </c>
      <c r="F158" s="973" t="s">
        <v>862</v>
      </c>
      <c r="G158" s="956">
        <v>296000</v>
      </c>
      <c r="H158" s="943">
        <v>296000</v>
      </c>
      <c r="I158" s="942"/>
      <c r="J158" s="942"/>
      <c r="K158" s="942"/>
      <c r="L158" s="944"/>
      <c r="M158" s="959"/>
      <c r="N158" s="1070">
        <v>6787</v>
      </c>
      <c r="O158" s="1071" t="s">
        <v>1016</v>
      </c>
      <c r="P158" s="1072" t="s">
        <v>1017</v>
      </c>
      <c r="Q158" s="972" t="s">
        <v>1004</v>
      </c>
      <c r="R158" s="972" t="s">
        <v>861</v>
      </c>
      <c r="S158" s="972" t="s">
        <v>1005</v>
      </c>
      <c r="T158" s="1073">
        <v>18000</v>
      </c>
      <c r="U158" s="1074">
        <v>18000</v>
      </c>
      <c r="V158" s="1074"/>
      <c r="W158" s="1074"/>
      <c r="X158" s="1073"/>
      <c r="Y158" s="1073"/>
      <c r="Z158" s="1075"/>
      <c r="AA158" s="1073"/>
      <c r="AB158" s="1073"/>
      <c r="AC158" s="1073"/>
      <c r="AD158" s="1073"/>
      <c r="AE158" s="1076"/>
    </row>
    <row r="159" spans="1:31" ht="16.5" thickBot="1">
      <c r="A159" s="942">
        <v>78</v>
      </c>
      <c r="B159" s="969" t="s">
        <v>909</v>
      </c>
      <c r="C159" s="945" t="s">
        <v>906</v>
      </c>
      <c r="D159" s="973" t="s">
        <v>864</v>
      </c>
      <c r="E159" s="973" t="s">
        <v>861</v>
      </c>
      <c r="F159" s="973" t="s">
        <v>862</v>
      </c>
      <c r="G159" s="956">
        <v>72000</v>
      </c>
      <c r="H159" s="943">
        <v>72000</v>
      </c>
      <c r="I159" s="942"/>
      <c r="J159" s="942"/>
      <c r="K159" s="942"/>
      <c r="L159" s="944"/>
      <c r="M159" s="959"/>
      <c r="N159" s="1458" t="s">
        <v>866</v>
      </c>
      <c r="O159" s="1459"/>
      <c r="P159" s="1459"/>
      <c r="Q159" s="1459"/>
      <c r="R159" s="1459"/>
      <c r="S159" s="1460"/>
      <c r="T159" s="947">
        <f>SUM(T153:T158)</f>
        <v>294529.08999999997</v>
      </c>
      <c r="U159" s="947">
        <f>SUM(U153:U158)</f>
        <v>294529.08999999997</v>
      </c>
      <c r="V159" s="947"/>
      <c r="W159" s="947"/>
      <c r="X159" s="949"/>
      <c r="Y159" s="949"/>
      <c r="Z159" s="949"/>
      <c r="AA159" s="949"/>
      <c r="AB159" s="949"/>
      <c r="AC159" s="949"/>
      <c r="AD159" s="1077"/>
      <c r="AE159" s="1078"/>
    </row>
    <row r="160" spans="1:31" ht="16.5" thickBot="1">
      <c r="A160" s="942">
        <v>47</v>
      </c>
      <c r="B160" s="969" t="s">
        <v>910</v>
      </c>
      <c r="C160" s="945" t="s">
        <v>902</v>
      </c>
      <c r="D160" s="942" t="s">
        <v>860</v>
      </c>
      <c r="E160" s="942" t="s">
        <v>861</v>
      </c>
      <c r="F160" s="942" t="s">
        <v>862</v>
      </c>
      <c r="G160" s="956">
        <v>296000</v>
      </c>
      <c r="H160" s="943">
        <v>296000</v>
      </c>
      <c r="I160" s="942"/>
      <c r="J160" s="942"/>
      <c r="K160" s="942"/>
      <c r="L160" s="944"/>
      <c r="M160" s="963"/>
      <c r="N160" s="1472" t="s">
        <v>867</v>
      </c>
      <c r="O160" s="1473"/>
      <c r="P160" s="1473"/>
      <c r="Q160" s="1473"/>
      <c r="R160" s="1473"/>
      <c r="S160" s="1473"/>
      <c r="T160" s="1474"/>
      <c r="U160" s="980" t="s">
        <v>980</v>
      </c>
      <c r="V160" s="980" t="s">
        <v>981</v>
      </c>
      <c r="W160" s="980" t="s">
        <v>982</v>
      </c>
      <c r="X160" s="980" t="s">
        <v>983</v>
      </c>
      <c r="Y160" s="980" t="s">
        <v>984</v>
      </c>
      <c r="Z160" s="980" t="s">
        <v>985</v>
      </c>
      <c r="AA160" s="980" t="s">
        <v>986</v>
      </c>
      <c r="AB160" s="980" t="s">
        <v>987</v>
      </c>
      <c r="AC160" s="980" t="s">
        <v>988</v>
      </c>
      <c r="AD160" s="980" t="s">
        <v>989</v>
      </c>
      <c r="AE160" s="980" t="s">
        <v>990</v>
      </c>
    </row>
    <row r="161" spans="1:31" ht="15.75">
      <c r="A161" s="962">
        <v>48</v>
      </c>
      <c r="B161" s="969" t="s">
        <v>911</v>
      </c>
      <c r="C161" s="945" t="s">
        <v>902</v>
      </c>
      <c r="D161" s="942" t="s">
        <v>860</v>
      </c>
      <c r="E161" s="942" t="s">
        <v>861</v>
      </c>
      <c r="F161" s="942" t="s">
        <v>862</v>
      </c>
      <c r="G161" s="956">
        <v>32000</v>
      </c>
      <c r="H161" s="943">
        <v>32000</v>
      </c>
      <c r="I161" s="942"/>
      <c r="J161" s="942"/>
      <c r="K161" s="942"/>
      <c r="L161" s="944"/>
      <c r="M161" s="963"/>
      <c r="N161" s="561"/>
      <c r="O161" s="561"/>
      <c r="P161" s="561"/>
      <c r="Q161" s="561"/>
      <c r="R161" s="561"/>
      <c r="S161" s="561"/>
      <c r="T161" s="561"/>
      <c r="U161" s="561"/>
      <c r="V161" s="561"/>
      <c r="W161" s="561"/>
      <c r="X161" s="561"/>
      <c r="Y161" s="561"/>
      <c r="Z161" s="561"/>
      <c r="AA161" s="561"/>
      <c r="AB161" s="561"/>
      <c r="AC161" s="561"/>
      <c r="AD161" s="561"/>
      <c r="AE161" s="561"/>
    </row>
    <row r="162" spans="1:31" ht="15.75">
      <c r="A162" s="962">
        <v>49</v>
      </c>
      <c r="B162" s="969" t="s">
        <v>912</v>
      </c>
      <c r="C162" s="945" t="s">
        <v>906</v>
      </c>
      <c r="D162" s="942" t="s">
        <v>860</v>
      </c>
      <c r="E162" s="942" t="s">
        <v>861</v>
      </c>
      <c r="F162" s="942" t="s">
        <v>862</v>
      </c>
      <c r="G162" s="956">
        <v>296000</v>
      </c>
      <c r="H162" s="943">
        <v>296000</v>
      </c>
      <c r="I162" s="942"/>
      <c r="J162" s="942"/>
      <c r="K162" s="942"/>
      <c r="L162" s="944"/>
      <c r="M162" s="963"/>
      <c r="N162" s="561"/>
      <c r="O162" s="561"/>
      <c r="P162" s="561"/>
      <c r="Q162" s="561"/>
      <c r="R162" s="561"/>
      <c r="S162" s="561"/>
      <c r="T162" s="561"/>
      <c r="U162" s="561"/>
      <c r="V162" s="561"/>
      <c r="W162" s="561"/>
      <c r="X162" s="561"/>
      <c r="Y162" s="561"/>
      <c r="Z162" s="561"/>
      <c r="AA162" s="561"/>
      <c r="AB162" s="561"/>
      <c r="AC162" s="561"/>
      <c r="AD162" s="561"/>
      <c r="AE162" s="561"/>
    </row>
    <row r="163" spans="1:31" ht="16.5" thickBot="1">
      <c r="A163" s="962">
        <v>50</v>
      </c>
      <c r="B163" s="969" t="s">
        <v>913</v>
      </c>
      <c r="C163" s="945" t="s">
        <v>906</v>
      </c>
      <c r="D163" s="942" t="s">
        <v>860</v>
      </c>
      <c r="E163" s="942" t="s">
        <v>861</v>
      </c>
      <c r="F163" s="942" t="s">
        <v>862</v>
      </c>
      <c r="G163" s="956">
        <v>200000</v>
      </c>
      <c r="H163" s="943">
        <v>200000</v>
      </c>
      <c r="I163" s="942"/>
      <c r="J163" s="942"/>
      <c r="K163" s="942"/>
      <c r="L163" s="944"/>
      <c r="M163" s="963"/>
      <c r="N163" s="561"/>
      <c r="O163" s="561"/>
      <c r="P163" s="561"/>
      <c r="Q163" s="561"/>
      <c r="R163" s="561"/>
      <c r="S163" s="561"/>
      <c r="T163" s="561"/>
      <c r="U163" s="561"/>
      <c r="V163" s="561"/>
      <c r="W163" s="561"/>
      <c r="X163" s="561"/>
      <c r="Y163" s="561"/>
      <c r="Z163" s="561"/>
      <c r="AA163" s="561"/>
      <c r="AB163" s="561"/>
      <c r="AC163" s="561"/>
      <c r="AD163" s="953" t="s">
        <v>991</v>
      </c>
      <c r="AE163" s="561"/>
    </row>
    <row r="164" spans="1:31" ht="16.5" thickBot="1">
      <c r="A164" s="1469" t="s">
        <v>866</v>
      </c>
      <c r="B164" s="1470"/>
      <c r="C164" s="1470"/>
      <c r="D164" s="1470"/>
      <c r="E164" s="1470"/>
      <c r="F164" s="1471"/>
      <c r="G164" s="979">
        <f>SUM(G153:G163)</f>
        <v>2456000</v>
      </c>
      <c r="H164" s="979">
        <f>SUM(H153:H163)</f>
        <v>2456000</v>
      </c>
      <c r="I164" s="947"/>
      <c r="J164" s="947"/>
      <c r="K164" s="948"/>
      <c r="L164" s="949"/>
      <c r="M164" s="950"/>
      <c r="N164" s="561"/>
      <c r="O164" s="561"/>
      <c r="P164" s="561"/>
      <c r="Q164" s="561"/>
      <c r="R164" s="561"/>
      <c r="S164" s="561"/>
      <c r="T164" s="561"/>
      <c r="U164" s="561"/>
      <c r="V164" s="561"/>
      <c r="W164" s="561"/>
      <c r="X164" s="561"/>
      <c r="Y164" s="561"/>
      <c r="Z164" s="561"/>
      <c r="AA164" s="561"/>
      <c r="AB164" s="561"/>
      <c r="AC164" s="561" t="s">
        <v>992</v>
      </c>
      <c r="AD164" s="953"/>
      <c r="AE164" s="561"/>
    </row>
    <row r="165" spans="1:31" ht="16.5" thickBot="1">
      <c r="A165" s="1472" t="s">
        <v>867</v>
      </c>
      <c r="B165" s="1473"/>
      <c r="C165" s="1473"/>
      <c r="D165" s="1473"/>
      <c r="E165" s="1473"/>
      <c r="F165" s="1473"/>
      <c r="G165" s="1474"/>
      <c r="H165" s="980" t="s">
        <v>868</v>
      </c>
      <c r="I165" s="980" t="s">
        <v>869</v>
      </c>
      <c r="J165" s="980" t="s">
        <v>870</v>
      </c>
      <c r="K165" s="980" t="s">
        <v>871</v>
      </c>
      <c r="L165" s="980" t="s">
        <v>872</v>
      </c>
      <c r="M165" s="980" t="s">
        <v>873</v>
      </c>
      <c r="N165" s="561" t="s">
        <v>876</v>
      </c>
      <c r="O165" s="561"/>
      <c r="P165" s="561"/>
      <c r="Q165" s="561"/>
      <c r="R165" s="561"/>
      <c r="S165" s="561"/>
      <c r="T165" s="561"/>
      <c r="U165" s="561"/>
      <c r="V165" s="561"/>
      <c r="W165" s="561"/>
      <c r="X165" s="561"/>
      <c r="Y165" s="561"/>
      <c r="Z165" s="561"/>
      <c r="AA165" s="561"/>
      <c r="AB165" s="561"/>
      <c r="AC165" s="561"/>
      <c r="AD165" s="561"/>
      <c r="AE165" s="561"/>
    </row>
    <row r="166" spans="1:31" ht="15.75">
      <c r="A166" s="561"/>
      <c r="B166" s="561"/>
      <c r="C166" s="561"/>
      <c r="D166" s="561"/>
      <c r="E166" s="561"/>
      <c r="F166" s="561"/>
      <c r="G166" s="561"/>
      <c r="H166" s="561"/>
      <c r="I166" s="561"/>
      <c r="J166" s="561"/>
      <c r="K166" s="561"/>
      <c r="L166" s="561"/>
      <c r="M166" s="561"/>
      <c r="N166" s="561" t="s">
        <v>877</v>
      </c>
      <c r="O166" s="561"/>
      <c r="P166" s="561"/>
      <c r="Q166" s="561"/>
      <c r="R166" s="561"/>
      <c r="S166" s="561"/>
      <c r="T166" s="561"/>
      <c r="U166" s="561"/>
      <c r="V166" s="561"/>
      <c r="W166" s="561"/>
      <c r="X166" s="561"/>
      <c r="Y166" s="561"/>
      <c r="Z166" s="561"/>
      <c r="AA166" s="561"/>
      <c r="AB166" s="561"/>
      <c r="AC166" s="561"/>
      <c r="AD166" s="561"/>
      <c r="AE166" s="561"/>
    </row>
    <row r="167" spans="1:31" ht="15.75">
      <c r="A167" s="561"/>
      <c r="B167" s="561"/>
      <c r="C167" s="561"/>
      <c r="D167" s="561"/>
      <c r="E167" s="561"/>
      <c r="F167" s="561"/>
      <c r="G167" s="952"/>
      <c r="H167" s="561"/>
      <c r="I167" s="561"/>
      <c r="J167" s="561"/>
      <c r="K167" s="952"/>
      <c r="L167" s="561"/>
      <c r="M167" s="561"/>
      <c r="N167" s="561" t="s">
        <v>878</v>
      </c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</row>
    <row r="168" spans="1:31" ht="15.75">
      <c r="A168" s="561"/>
      <c r="B168" s="561"/>
      <c r="C168" s="561"/>
      <c r="D168" s="561" t="s">
        <v>134</v>
      </c>
      <c r="E168" s="561"/>
      <c r="F168" s="561"/>
      <c r="G168" s="561"/>
      <c r="H168" s="561"/>
      <c r="I168" s="561"/>
      <c r="J168" s="953" t="s">
        <v>874</v>
      </c>
      <c r="K168" s="561"/>
      <c r="L168" s="561"/>
      <c r="M168" s="561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</row>
    <row r="169" spans="1:31" ht="15.75">
      <c r="A169" s="561"/>
      <c r="B169" s="561"/>
      <c r="C169" s="561"/>
      <c r="D169" s="561"/>
      <c r="E169" s="561"/>
      <c r="F169" s="561"/>
      <c r="G169" s="561"/>
      <c r="H169" s="561"/>
      <c r="I169" s="561"/>
      <c r="J169" s="953"/>
      <c r="K169" s="561"/>
      <c r="L169" s="561"/>
      <c r="M169" s="561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</row>
    <row r="170" spans="1:31" ht="15.75">
      <c r="A170" s="561"/>
      <c r="B170" s="561"/>
      <c r="C170" s="561"/>
      <c r="D170" s="561"/>
      <c r="E170" s="561"/>
      <c r="F170" s="561"/>
      <c r="G170" s="561"/>
      <c r="H170" s="561"/>
      <c r="I170" s="561"/>
      <c r="J170" s="953"/>
      <c r="K170" s="561"/>
      <c r="L170" s="561"/>
      <c r="M170" s="561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</row>
    <row r="171" spans="1:31" ht="15.75">
      <c r="A171" s="561"/>
      <c r="B171" s="561"/>
      <c r="C171" s="561"/>
      <c r="D171" s="561"/>
      <c r="E171" s="561"/>
      <c r="F171" s="561"/>
      <c r="G171" s="561"/>
      <c r="H171" s="561"/>
      <c r="I171" s="561"/>
      <c r="J171" s="953"/>
      <c r="K171" s="561"/>
      <c r="L171" s="561"/>
      <c r="M171" s="56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</row>
    <row r="172" spans="1:31" ht="15.75">
      <c r="A172" s="561"/>
      <c r="B172" s="561"/>
      <c r="C172" s="561"/>
      <c r="D172" s="561"/>
      <c r="E172" s="561"/>
      <c r="F172" s="561"/>
      <c r="G172" s="561"/>
      <c r="H172" s="561"/>
      <c r="I172" s="561"/>
      <c r="J172" s="953"/>
      <c r="K172" s="561"/>
      <c r="L172" s="561"/>
      <c r="M172" s="561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</row>
    <row r="173" spans="1:31" ht="15.75">
      <c r="A173" s="561"/>
      <c r="B173" s="561"/>
      <c r="C173" s="561"/>
      <c r="D173" s="561"/>
      <c r="E173" s="561"/>
      <c r="F173" s="561"/>
      <c r="G173" s="561"/>
      <c r="H173" s="561"/>
      <c r="I173" s="561"/>
      <c r="J173" s="953"/>
      <c r="K173" s="561"/>
      <c r="L173" s="561"/>
      <c r="M173" s="561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</row>
    <row r="174" spans="1:31" ht="15.75">
      <c r="A174" s="561"/>
      <c r="B174" s="561"/>
      <c r="C174" s="561"/>
      <c r="D174" s="561"/>
      <c r="E174" s="561"/>
      <c r="F174" s="561"/>
      <c r="G174" s="561"/>
      <c r="H174" s="561"/>
      <c r="I174" s="561"/>
      <c r="J174" s="953"/>
      <c r="K174" s="561"/>
      <c r="L174" s="561"/>
      <c r="M174" s="561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</row>
    <row r="175" spans="1:31">
      <c r="A175" s="925" t="s">
        <v>841</v>
      </c>
      <c r="B175" s="561"/>
      <c r="C175" s="561"/>
      <c r="D175" s="561"/>
      <c r="E175" s="561"/>
      <c r="F175" s="561"/>
      <c r="G175" s="561"/>
      <c r="H175" s="561"/>
      <c r="I175" s="561"/>
      <c r="J175" s="561"/>
      <c r="K175" s="561"/>
      <c r="L175" s="561"/>
      <c r="M175" s="561"/>
      <c r="N175" s="925" t="s">
        <v>964</v>
      </c>
      <c r="O175" s="561"/>
      <c r="P175" s="561"/>
      <c r="Q175" s="561"/>
      <c r="R175" s="561"/>
      <c r="S175" s="561"/>
      <c r="T175" s="561"/>
      <c r="U175" s="561"/>
      <c r="V175" s="561"/>
      <c r="W175" s="561"/>
      <c r="X175" s="561"/>
      <c r="Y175" s="561"/>
      <c r="Z175" s="561"/>
      <c r="AA175" s="561"/>
      <c r="AB175" s="561"/>
      <c r="AC175" s="561"/>
      <c r="AD175" s="561"/>
      <c r="AE175" s="561"/>
    </row>
    <row r="176" spans="1:31" ht="15.75">
      <c r="A176" s="926" t="s">
        <v>842</v>
      </c>
      <c r="B176" s="926"/>
      <c r="C176" s="927" t="s">
        <v>843</v>
      </c>
      <c r="D176" s="561"/>
      <c r="E176" s="561"/>
      <c r="F176" s="561"/>
      <c r="G176" s="561"/>
      <c r="H176" s="561"/>
      <c r="I176" s="561"/>
      <c r="J176" s="561"/>
      <c r="K176" s="561"/>
      <c r="L176" s="561"/>
      <c r="M176" s="561"/>
      <c r="N176" s="926" t="s">
        <v>842</v>
      </c>
      <c r="O176" s="926"/>
      <c r="P176" s="927" t="s">
        <v>843</v>
      </c>
      <c r="Q176" s="561"/>
      <c r="R176" s="561"/>
      <c r="S176" s="561"/>
      <c r="T176" s="561"/>
      <c r="U176" s="561"/>
      <c r="V176" s="561"/>
      <c r="W176" s="561"/>
      <c r="X176" s="561"/>
      <c r="Y176" s="561"/>
      <c r="Z176" s="561"/>
      <c r="AA176" s="561"/>
      <c r="AB176" s="561"/>
      <c r="AC176" s="561"/>
      <c r="AD176" s="561"/>
      <c r="AE176" s="561"/>
    </row>
    <row r="177" spans="1:31" ht="15.75">
      <c r="A177" s="926" t="s">
        <v>395</v>
      </c>
      <c r="B177" s="926"/>
      <c r="C177" s="927" t="s">
        <v>844</v>
      </c>
      <c r="D177" s="561"/>
      <c r="E177" s="561"/>
      <c r="F177" s="561"/>
      <c r="G177" s="561"/>
      <c r="H177" s="561"/>
      <c r="I177" s="561"/>
      <c r="J177" s="561"/>
      <c r="K177" s="561"/>
      <c r="L177" s="561"/>
      <c r="M177" s="561"/>
      <c r="N177" s="926" t="s">
        <v>395</v>
      </c>
      <c r="O177" s="926"/>
      <c r="P177" s="927" t="s">
        <v>844</v>
      </c>
      <c r="Q177" s="561"/>
      <c r="R177" s="561"/>
      <c r="S177" s="561"/>
      <c r="T177" s="561"/>
      <c r="U177" s="561"/>
      <c r="V177" s="561"/>
      <c r="W177" s="561"/>
      <c r="X177" s="561"/>
      <c r="Y177" s="561"/>
      <c r="Z177" s="561"/>
      <c r="AA177" s="561"/>
      <c r="AB177" s="561"/>
      <c r="AC177" s="561"/>
      <c r="AD177" s="561"/>
      <c r="AE177" s="561"/>
    </row>
    <row r="178" spans="1:31" ht="15.75">
      <c r="A178" s="926" t="s">
        <v>845</v>
      </c>
      <c r="B178" s="926"/>
      <c r="C178" s="927" t="s">
        <v>846</v>
      </c>
      <c r="D178" s="561"/>
      <c r="E178" s="561"/>
      <c r="F178" s="561"/>
      <c r="G178" s="561"/>
      <c r="H178" s="561"/>
      <c r="I178" s="561"/>
      <c r="J178" s="561"/>
      <c r="K178" s="561"/>
      <c r="L178" s="561"/>
      <c r="M178" s="561"/>
      <c r="N178" s="926" t="s">
        <v>845</v>
      </c>
      <c r="O178" s="926"/>
      <c r="P178" s="927" t="s">
        <v>846</v>
      </c>
      <c r="Q178" s="561"/>
      <c r="R178" s="561"/>
      <c r="S178" s="561"/>
      <c r="T178" s="561"/>
      <c r="U178" s="561"/>
      <c r="V178" s="561"/>
      <c r="W178" s="561"/>
      <c r="X178" s="561"/>
      <c r="Y178" s="561"/>
      <c r="Z178" s="561"/>
      <c r="AA178" s="561"/>
      <c r="AB178" s="561"/>
      <c r="AC178" s="561"/>
      <c r="AD178" s="561"/>
      <c r="AE178" s="561"/>
    </row>
    <row r="179" spans="1:31" ht="15.75">
      <c r="A179" s="926" t="s">
        <v>167</v>
      </c>
      <c r="B179" s="926"/>
      <c r="C179" s="927" t="s">
        <v>914</v>
      </c>
      <c r="D179" s="561"/>
      <c r="E179" s="561"/>
      <c r="F179" s="561"/>
      <c r="G179" s="561"/>
      <c r="H179" s="561"/>
      <c r="I179" s="561"/>
      <c r="J179" s="561"/>
      <c r="K179" s="561"/>
      <c r="L179" s="561"/>
      <c r="M179" s="561"/>
      <c r="N179" s="926" t="s">
        <v>167</v>
      </c>
      <c r="O179" s="926"/>
      <c r="P179" s="927" t="s">
        <v>914</v>
      </c>
      <c r="Q179" s="561"/>
      <c r="R179" s="561"/>
      <c r="S179" s="561"/>
      <c r="T179" s="561"/>
      <c r="U179" s="561"/>
      <c r="V179" s="561" t="s">
        <v>134</v>
      </c>
      <c r="W179" s="561" t="s">
        <v>134</v>
      </c>
      <c r="X179" s="561"/>
      <c r="Y179" s="561"/>
      <c r="Z179" s="561"/>
      <c r="AA179" s="561"/>
      <c r="AB179" s="561"/>
      <c r="AC179" s="561"/>
      <c r="AD179" s="561"/>
      <c r="AE179" s="561"/>
    </row>
    <row r="180" spans="1:31" ht="16.5" thickBot="1">
      <c r="A180" s="926"/>
      <c r="B180" s="926"/>
      <c r="C180" s="561"/>
      <c r="D180" s="561"/>
      <c r="E180" s="561"/>
      <c r="F180" s="561"/>
      <c r="G180" s="561"/>
      <c r="H180" s="561"/>
      <c r="I180" s="561"/>
      <c r="J180" s="561"/>
      <c r="K180" s="561"/>
      <c r="L180" s="561"/>
      <c r="M180" s="561"/>
      <c r="N180" s="926"/>
      <c r="O180" s="926"/>
      <c r="P180" s="561"/>
      <c r="Q180" s="561"/>
      <c r="R180" s="561"/>
      <c r="S180" s="561"/>
      <c r="T180" s="561"/>
      <c r="U180" s="561"/>
      <c r="V180" s="561"/>
      <c r="W180" s="561"/>
      <c r="X180" s="561"/>
      <c r="Y180" s="561"/>
      <c r="Z180" s="561"/>
      <c r="AA180" s="561"/>
      <c r="AB180" s="561"/>
      <c r="AC180" s="561"/>
      <c r="AD180" s="561"/>
      <c r="AE180" s="561"/>
    </row>
    <row r="181" spans="1:31" ht="16.5" thickBot="1">
      <c r="A181" s="561" t="s">
        <v>848</v>
      </c>
      <c r="B181" s="928"/>
      <c r="C181" s="561" t="s">
        <v>849</v>
      </c>
      <c r="D181" s="561"/>
      <c r="E181" s="561"/>
      <c r="F181" s="561"/>
      <c r="G181" s="561"/>
      <c r="H181" s="561"/>
      <c r="I181" s="561"/>
      <c r="J181" s="561"/>
      <c r="K181" s="561"/>
      <c r="L181" s="561"/>
      <c r="M181" s="561"/>
      <c r="N181" s="561" t="s">
        <v>848</v>
      </c>
      <c r="O181" s="928"/>
      <c r="P181" s="561" t="s">
        <v>849</v>
      </c>
      <c r="Q181" s="561"/>
      <c r="R181" s="561"/>
      <c r="S181" s="561"/>
      <c r="T181" s="561"/>
      <c r="U181" s="561"/>
      <c r="V181" s="561"/>
      <c r="W181" s="561"/>
      <c r="X181" s="561"/>
      <c r="Y181" s="561"/>
      <c r="Z181" s="561"/>
      <c r="AA181" s="561"/>
      <c r="AB181" s="561"/>
      <c r="AC181" s="561"/>
      <c r="AD181" s="561"/>
      <c r="AE181" s="561"/>
    </row>
    <row r="182" spans="1:31" ht="16.5" thickBot="1">
      <c r="A182" s="561"/>
      <c r="B182" s="561"/>
      <c r="C182" s="561"/>
      <c r="D182" s="561"/>
      <c r="E182" s="561"/>
      <c r="F182" s="561"/>
      <c r="G182" s="561"/>
      <c r="H182" s="561"/>
      <c r="I182" s="561"/>
      <c r="J182" s="561"/>
      <c r="K182" s="561"/>
      <c r="L182" s="561"/>
      <c r="M182" s="561"/>
      <c r="N182" s="561"/>
      <c r="O182" s="561"/>
      <c r="P182" s="926"/>
      <c r="Q182" s="561"/>
      <c r="R182" s="561"/>
      <c r="S182" s="561"/>
      <c r="T182" s="561"/>
      <c r="U182" s="561"/>
      <c r="V182" s="561"/>
      <c r="W182" s="561"/>
      <c r="X182" s="561"/>
      <c r="Y182" s="561"/>
      <c r="Z182" s="561"/>
      <c r="AA182" s="561"/>
      <c r="AB182" s="561"/>
      <c r="AC182" s="561"/>
      <c r="AD182" s="561"/>
      <c r="AE182" s="561"/>
    </row>
    <row r="183" spans="1:31" ht="16.5" thickBot="1">
      <c r="A183" s="1454" t="s">
        <v>850</v>
      </c>
      <c r="B183" s="1464"/>
      <c r="C183" s="1455"/>
      <c r="D183" s="1454" t="s">
        <v>851</v>
      </c>
      <c r="E183" s="1464"/>
      <c r="F183" s="1455"/>
      <c r="G183" s="1466" t="s">
        <v>852</v>
      </c>
      <c r="H183" s="1466" t="s">
        <v>667</v>
      </c>
      <c r="I183" s="1466" t="s">
        <v>668</v>
      </c>
      <c r="J183" s="1454" t="s">
        <v>676</v>
      </c>
      <c r="K183" s="1455"/>
      <c r="L183" s="1454" t="s">
        <v>677</v>
      </c>
      <c r="M183" s="1455"/>
      <c r="N183" s="1486" t="s">
        <v>850</v>
      </c>
      <c r="O183" s="1487"/>
      <c r="P183" s="1488"/>
      <c r="Q183" s="1486" t="s">
        <v>965</v>
      </c>
      <c r="R183" s="1487"/>
      <c r="S183" s="1488"/>
      <c r="T183" s="1466" t="s">
        <v>966</v>
      </c>
      <c r="U183" s="1489" t="s">
        <v>669</v>
      </c>
      <c r="V183" s="1490"/>
      <c r="W183" s="1490"/>
      <c r="X183" s="1490"/>
      <c r="Y183" s="1490"/>
      <c r="Z183" s="1490"/>
      <c r="AA183" s="1490"/>
      <c r="AB183" s="1490"/>
      <c r="AC183" s="1490"/>
      <c r="AD183" s="1490"/>
      <c r="AE183" s="1491"/>
    </row>
    <row r="184" spans="1:31" ht="16.5" thickBot="1">
      <c r="A184" s="1456"/>
      <c r="B184" s="1465"/>
      <c r="C184" s="1457"/>
      <c r="D184" s="1456"/>
      <c r="E184" s="1465"/>
      <c r="F184" s="1457"/>
      <c r="G184" s="1467"/>
      <c r="H184" s="1467"/>
      <c r="I184" s="1467"/>
      <c r="J184" s="1456"/>
      <c r="K184" s="1457"/>
      <c r="L184" s="1456"/>
      <c r="M184" s="1457"/>
      <c r="N184" s="1466" t="s">
        <v>853</v>
      </c>
      <c r="O184" s="1466" t="s">
        <v>854</v>
      </c>
      <c r="P184" s="1466" t="s">
        <v>855</v>
      </c>
      <c r="Q184" s="1466" t="s">
        <v>967</v>
      </c>
      <c r="R184" s="1466" t="s">
        <v>857</v>
      </c>
      <c r="S184" s="1466" t="s">
        <v>968</v>
      </c>
      <c r="T184" s="1467"/>
      <c r="U184" s="1466" t="s">
        <v>670</v>
      </c>
      <c r="V184" s="1489" t="s">
        <v>678</v>
      </c>
      <c r="W184" s="1492"/>
      <c r="X184" s="1489" t="s">
        <v>679</v>
      </c>
      <c r="Y184" s="1492"/>
      <c r="Z184" s="1489" t="s">
        <v>680</v>
      </c>
      <c r="AA184" s="1491"/>
      <c r="AB184" s="1489" t="s">
        <v>681</v>
      </c>
      <c r="AC184" s="1491"/>
      <c r="AD184" s="1489" t="s">
        <v>671</v>
      </c>
      <c r="AE184" s="1491"/>
    </row>
    <row r="185" spans="1:31" ht="63.75" thickBot="1">
      <c r="A185" s="934" t="s">
        <v>853</v>
      </c>
      <c r="B185" s="934" t="s">
        <v>854</v>
      </c>
      <c r="C185" s="934" t="s">
        <v>855</v>
      </c>
      <c r="D185" s="934" t="s">
        <v>856</v>
      </c>
      <c r="E185" s="934" t="s">
        <v>857</v>
      </c>
      <c r="F185" s="934" t="s">
        <v>388</v>
      </c>
      <c r="G185" s="1468"/>
      <c r="H185" s="1468"/>
      <c r="I185" s="1468"/>
      <c r="J185" s="935" t="s">
        <v>672</v>
      </c>
      <c r="K185" s="935" t="s">
        <v>673</v>
      </c>
      <c r="L185" s="935" t="s">
        <v>672</v>
      </c>
      <c r="M185" s="935" t="s">
        <v>673</v>
      </c>
      <c r="N185" s="1468"/>
      <c r="O185" s="1468"/>
      <c r="P185" s="1468"/>
      <c r="Q185" s="1468"/>
      <c r="R185" s="1468"/>
      <c r="S185" s="1468"/>
      <c r="T185" s="1468"/>
      <c r="U185" s="1468"/>
      <c r="V185" s="1036" t="s">
        <v>672</v>
      </c>
      <c r="W185" s="1037" t="s">
        <v>673</v>
      </c>
      <c r="X185" s="1036" t="s">
        <v>672</v>
      </c>
      <c r="Y185" s="1037" t="s">
        <v>673</v>
      </c>
      <c r="Z185" s="1038" t="s">
        <v>674</v>
      </c>
      <c r="AA185" s="1038" t="s">
        <v>675</v>
      </c>
      <c r="AB185" s="1038" t="s">
        <v>674</v>
      </c>
      <c r="AC185" s="1038" t="s">
        <v>675</v>
      </c>
      <c r="AD185" s="1038" t="s">
        <v>674</v>
      </c>
      <c r="AE185" s="1038" t="s">
        <v>675</v>
      </c>
    </row>
    <row r="186" spans="1:31" ht="29.25" thickBot="1">
      <c r="A186" s="937" t="s">
        <v>493</v>
      </c>
      <c r="B186" s="937" t="s">
        <v>494</v>
      </c>
      <c r="C186" s="937" t="s">
        <v>527</v>
      </c>
      <c r="D186" s="937" t="s">
        <v>549</v>
      </c>
      <c r="E186" s="937" t="s">
        <v>551</v>
      </c>
      <c r="F186" s="937" t="s">
        <v>563</v>
      </c>
      <c r="G186" s="937" t="s">
        <v>858</v>
      </c>
      <c r="H186" s="937" t="s">
        <v>567</v>
      </c>
      <c r="I186" s="937" t="s">
        <v>569</v>
      </c>
      <c r="J186" s="937" t="s">
        <v>571</v>
      </c>
      <c r="K186" s="937" t="s">
        <v>573</v>
      </c>
      <c r="L186" s="937" t="s">
        <v>575</v>
      </c>
      <c r="M186" s="937" t="s">
        <v>579</v>
      </c>
      <c r="N186" s="1039" t="s">
        <v>493</v>
      </c>
      <c r="O186" s="1039" t="s">
        <v>494</v>
      </c>
      <c r="P186" s="1039" t="s">
        <v>527</v>
      </c>
      <c r="Q186" s="1039" t="s">
        <v>549</v>
      </c>
      <c r="R186" s="1039" t="s">
        <v>551</v>
      </c>
      <c r="S186" s="1039" t="s">
        <v>563</v>
      </c>
      <c r="T186" s="1040" t="s">
        <v>969</v>
      </c>
      <c r="U186" s="1039" t="s">
        <v>567</v>
      </c>
      <c r="V186" s="1039" t="s">
        <v>569</v>
      </c>
      <c r="W186" s="1039" t="s">
        <v>571</v>
      </c>
      <c r="X186" s="1039" t="s">
        <v>573</v>
      </c>
      <c r="Y186" s="1039" t="s">
        <v>575</v>
      </c>
      <c r="Z186" s="1039" t="s">
        <v>579</v>
      </c>
      <c r="AA186" s="1039" t="s">
        <v>970</v>
      </c>
      <c r="AB186" s="1039" t="s">
        <v>971</v>
      </c>
      <c r="AC186" s="1039" t="s">
        <v>972</v>
      </c>
      <c r="AD186" s="1039" t="s">
        <v>973</v>
      </c>
      <c r="AE186" s="1039" t="s">
        <v>974</v>
      </c>
    </row>
    <row r="187" spans="1:31" ht="15.75">
      <c r="A187" s="957">
        <v>79</v>
      </c>
      <c r="B187" s="982" t="s">
        <v>915</v>
      </c>
      <c r="C187" s="939">
        <v>41249</v>
      </c>
      <c r="D187" s="938" t="s">
        <v>864</v>
      </c>
      <c r="E187" s="938" t="s">
        <v>861</v>
      </c>
      <c r="F187" s="938"/>
      <c r="G187" s="955">
        <v>240000</v>
      </c>
      <c r="H187" s="940">
        <v>240000</v>
      </c>
      <c r="I187" s="938"/>
      <c r="J187" s="938"/>
      <c r="K187" s="938"/>
      <c r="L187" s="941"/>
      <c r="M187" s="959"/>
      <c r="N187" s="960">
        <v>5</v>
      </c>
      <c r="O187" s="969" t="s">
        <v>1018</v>
      </c>
      <c r="P187" s="1067">
        <v>41005</v>
      </c>
      <c r="Q187" s="960" t="s">
        <v>975</v>
      </c>
      <c r="R187" s="960" t="s">
        <v>976</v>
      </c>
      <c r="S187" s="960" t="s">
        <v>977</v>
      </c>
      <c r="T187" s="1056">
        <v>14070.1</v>
      </c>
      <c r="U187" s="1057">
        <v>14070.1</v>
      </c>
      <c r="V187" s="1057"/>
      <c r="W187" s="1057"/>
      <c r="X187" s="1056"/>
      <c r="Y187" s="1056"/>
      <c r="Z187" s="1068"/>
      <c r="AA187" s="1056"/>
      <c r="AB187" s="1056"/>
      <c r="AC187" s="1056"/>
      <c r="AD187" s="1056"/>
      <c r="AE187" s="1069"/>
    </row>
    <row r="188" spans="1:31" ht="15.75">
      <c r="A188" s="962">
        <v>80</v>
      </c>
      <c r="B188" s="969" t="s">
        <v>916</v>
      </c>
      <c r="C188" s="945" t="s">
        <v>917</v>
      </c>
      <c r="D188" s="938" t="s">
        <v>864</v>
      </c>
      <c r="E188" s="938" t="s">
        <v>861</v>
      </c>
      <c r="F188" s="938"/>
      <c r="G188" s="956">
        <v>184000</v>
      </c>
      <c r="H188" s="943">
        <v>184000</v>
      </c>
      <c r="I188" s="942"/>
      <c r="J188" s="942"/>
      <c r="K188" s="942"/>
      <c r="L188" s="944"/>
      <c r="M188" s="959"/>
      <c r="N188" s="1062">
        <v>86</v>
      </c>
      <c r="O188" s="982" t="s">
        <v>1019</v>
      </c>
      <c r="P188" s="1063">
        <v>41158</v>
      </c>
      <c r="Q188" s="958" t="s">
        <v>1013</v>
      </c>
      <c r="R188" s="958" t="s">
        <v>861</v>
      </c>
      <c r="S188" s="958" t="s">
        <v>996</v>
      </c>
      <c r="T188" s="1051">
        <v>44400</v>
      </c>
      <c r="U188" s="1052">
        <v>44400</v>
      </c>
      <c r="V188" s="1052"/>
      <c r="W188" s="1052"/>
      <c r="X188" s="1051"/>
      <c r="Y188" s="1051"/>
      <c r="Z188" s="1064"/>
      <c r="AA188" s="1051"/>
      <c r="AB188" s="1051"/>
      <c r="AC188" s="1051"/>
      <c r="AD188" s="1051"/>
      <c r="AE188" s="1065"/>
    </row>
    <row r="189" spans="1:31" ht="15.75">
      <c r="A189" s="957">
        <v>81</v>
      </c>
      <c r="B189" s="982" t="s">
        <v>918</v>
      </c>
      <c r="C189" s="981" t="s">
        <v>919</v>
      </c>
      <c r="D189" s="938" t="s">
        <v>864</v>
      </c>
      <c r="E189" s="938" t="s">
        <v>861</v>
      </c>
      <c r="F189" s="983"/>
      <c r="G189" s="974">
        <v>296000</v>
      </c>
      <c r="H189" s="975">
        <v>296000</v>
      </c>
      <c r="I189" s="973"/>
      <c r="J189" s="973"/>
      <c r="K189" s="942"/>
      <c r="L189" s="944"/>
      <c r="M189" s="959"/>
      <c r="N189" s="960">
        <v>6828</v>
      </c>
      <c r="O189" s="969" t="s">
        <v>1020</v>
      </c>
      <c r="P189" s="1067">
        <v>41188</v>
      </c>
      <c r="Q189" s="960" t="s">
        <v>1004</v>
      </c>
      <c r="R189" s="960" t="s">
        <v>861</v>
      </c>
      <c r="S189" s="960" t="s">
        <v>1005</v>
      </c>
      <c r="T189" s="1056">
        <v>53100</v>
      </c>
      <c r="U189" s="1057">
        <v>53100</v>
      </c>
      <c r="V189" s="1057"/>
      <c r="W189" s="1057"/>
      <c r="X189" s="1056"/>
      <c r="Y189" s="1056"/>
      <c r="Z189" s="1068"/>
      <c r="AA189" s="1073"/>
      <c r="AB189" s="1073"/>
      <c r="AC189" s="1073"/>
      <c r="AD189" s="1073"/>
      <c r="AE189" s="1076"/>
    </row>
    <row r="190" spans="1:31" ht="15.75">
      <c r="A190" s="962">
        <v>82</v>
      </c>
      <c r="B190" s="969" t="s">
        <v>920</v>
      </c>
      <c r="C190" s="981" t="s">
        <v>919</v>
      </c>
      <c r="D190" s="938" t="s">
        <v>864</v>
      </c>
      <c r="E190" s="938" t="s">
        <v>861</v>
      </c>
      <c r="F190" s="983"/>
      <c r="G190" s="974">
        <v>24000</v>
      </c>
      <c r="H190" s="975">
        <v>24000</v>
      </c>
      <c r="I190" s="973"/>
      <c r="J190" s="973"/>
      <c r="K190" s="942"/>
      <c r="L190" s="944"/>
      <c r="M190" s="959"/>
      <c r="N190" s="960">
        <v>42</v>
      </c>
      <c r="O190" s="1005" t="s">
        <v>1021</v>
      </c>
      <c r="P190" s="1067" t="s">
        <v>1022</v>
      </c>
      <c r="Q190" s="960" t="s">
        <v>978</v>
      </c>
      <c r="R190" s="960" t="s">
        <v>861</v>
      </c>
      <c r="S190" s="960" t="s">
        <v>979</v>
      </c>
      <c r="T190" s="1056">
        <v>31400</v>
      </c>
      <c r="U190" s="1057">
        <v>31400</v>
      </c>
      <c r="V190" s="1057"/>
      <c r="W190" s="1057"/>
      <c r="X190" s="1056"/>
      <c r="Y190" s="1056"/>
      <c r="Z190" s="1068"/>
      <c r="AA190" s="1073"/>
      <c r="AB190" s="1073"/>
      <c r="AC190" s="1073"/>
      <c r="AD190" s="1073"/>
      <c r="AE190" s="1076"/>
    </row>
    <row r="191" spans="1:31" ht="16.5" thickBot="1">
      <c r="A191" s="957">
        <v>83</v>
      </c>
      <c r="B191" s="982" t="s">
        <v>921</v>
      </c>
      <c r="C191" s="981" t="s">
        <v>922</v>
      </c>
      <c r="D191" s="938" t="s">
        <v>864</v>
      </c>
      <c r="E191" s="938" t="s">
        <v>861</v>
      </c>
      <c r="F191" s="983"/>
      <c r="G191" s="974">
        <v>296000</v>
      </c>
      <c r="H191" s="975">
        <v>296000</v>
      </c>
      <c r="I191" s="973"/>
      <c r="J191" s="973"/>
      <c r="K191" s="942"/>
      <c r="L191" s="944"/>
      <c r="M191" s="959"/>
      <c r="N191" s="1062">
        <v>90</v>
      </c>
      <c r="O191" s="982" t="s">
        <v>1023</v>
      </c>
      <c r="P191" s="1063" t="s">
        <v>1024</v>
      </c>
      <c r="Q191" s="958" t="s">
        <v>1013</v>
      </c>
      <c r="R191" s="958" t="s">
        <v>861</v>
      </c>
      <c r="S191" s="958" t="s">
        <v>996</v>
      </c>
      <c r="T191" s="1051">
        <v>19200</v>
      </c>
      <c r="U191" s="1052">
        <v>19200</v>
      </c>
      <c r="V191" s="1052"/>
      <c r="W191" s="1052"/>
      <c r="X191" s="1051"/>
      <c r="Y191" s="1051"/>
      <c r="Z191" s="1064"/>
      <c r="AA191" s="1056"/>
      <c r="AB191" s="1056"/>
      <c r="AC191" s="1056"/>
      <c r="AD191" s="1056"/>
      <c r="AE191" s="1069"/>
    </row>
    <row r="192" spans="1:31" ht="16.5" thickBot="1">
      <c r="A192" s="962">
        <v>84</v>
      </c>
      <c r="B192" s="969" t="s">
        <v>923</v>
      </c>
      <c r="C192" s="981" t="s">
        <v>922</v>
      </c>
      <c r="D192" s="938" t="s">
        <v>864</v>
      </c>
      <c r="E192" s="938" t="s">
        <v>861</v>
      </c>
      <c r="F192" s="983"/>
      <c r="G192" s="974">
        <v>24000</v>
      </c>
      <c r="H192" s="975">
        <v>24000</v>
      </c>
      <c r="I192" s="973"/>
      <c r="J192" s="973"/>
      <c r="K192" s="942"/>
      <c r="L192" s="944"/>
      <c r="M192" s="959"/>
      <c r="N192" s="1458" t="s">
        <v>866</v>
      </c>
      <c r="O192" s="1459"/>
      <c r="P192" s="1459"/>
      <c r="Q192" s="1459"/>
      <c r="R192" s="1459"/>
      <c r="S192" s="1460"/>
      <c r="T192" s="947">
        <f>SUM(T187:T191)</f>
        <v>162170.1</v>
      </c>
      <c r="U192" s="947">
        <f>SUM(U187:U191)</f>
        <v>162170.1</v>
      </c>
      <c r="V192" s="947"/>
      <c r="W192" s="947"/>
      <c r="X192" s="949"/>
      <c r="Y192" s="949"/>
      <c r="Z192" s="949"/>
      <c r="AA192" s="949"/>
      <c r="AB192" s="949"/>
      <c r="AC192" s="949"/>
      <c r="AD192" s="1077"/>
      <c r="AE192" s="1078"/>
    </row>
    <row r="193" spans="1:31" ht="16.5" thickBot="1">
      <c r="A193" s="971">
        <v>51</v>
      </c>
      <c r="B193" s="969" t="s">
        <v>924</v>
      </c>
      <c r="C193" s="981" t="s">
        <v>919</v>
      </c>
      <c r="D193" s="973" t="s">
        <v>886</v>
      </c>
      <c r="E193" s="973" t="s">
        <v>861</v>
      </c>
      <c r="F193" s="973"/>
      <c r="G193" s="974">
        <v>296000</v>
      </c>
      <c r="H193" s="975">
        <v>296000</v>
      </c>
      <c r="I193" s="973"/>
      <c r="J193" s="973"/>
      <c r="K193" s="942"/>
      <c r="L193" s="944"/>
      <c r="M193" s="959"/>
      <c r="N193" s="1472" t="s">
        <v>867</v>
      </c>
      <c r="O193" s="1473"/>
      <c r="P193" s="1473"/>
      <c r="Q193" s="1473"/>
      <c r="R193" s="1473"/>
      <c r="S193" s="1473"/>
      <c r="T193" s="1474"/>
      <c r="U193" s="980" t="s">
        <v>980</v>
      </c>
      <c r="V193" s="980" t="s">
        <v>981</v>
      </c>
      <c r="W193" s="980" t="s">
        <v>982</v>
      </c>
      <c r="X193" s="980" t="s">
        <v>983</v>
      </c>
      <c r="Y193" s="980" t="s">
        <v>984</v>
      </c>
      <c r="Z193" s="980" t="s">
        <v>985</v>
      </c>
      <c r="AA193" s="980" t="s">
        <v>986</v>
      </c>
      <c r="AB193" s="980" t="s">
        <v>987</v>
      </c>
      <c r="AC193" s="980" t="s">
        <v>988</v>
      </c>
      <c r="AD193" s="980" t="s">
        <v>989</v>
      </c>
      <c r="AE193" s="980" t="s">
        <v>990</v>
      </c>
    </row>
    <row r="194" spans="1:31" ht="15.75">
      <c r="A194" s="942">
        <v>52</v>
      </c>
      <c r="B194" s="969" t="s">
        <v>925</v>
      </c>
      <c r="C194" s="945" t="s">
        <v>922</v>
      </c>
      <c r="D194" s="973" t="s">
        <v>886</v>
      </c>
      <c r="E194" s="973" t="s">
        <v>861</v>
      </c>
      <c r="F194" s="973"/>
      <c r="G194" s="956">
        <v>296000</v>
      </c>
      <c r="H194" s="943">
        <v>296000</v>
      </c>
      <c r="I194" s="942"/>
      <c r="J194" s="942"/>
      <c r="K194" s="942"/>
      <c r="L194" s="944"/>
      <c r="M194" s="959"/>
      <c r="N194" s="561"/>
      <c r="O194" s="561"/>
      <c r="P194" s="561"/>
      <c r="Q194" s="561"/>
      <c r="R194" s="561"/>
      <c r="S194" s="561"/>
      <c r="T194" s="561"/>
      <c r="U194" s="561"/>
      <c r="V194" s="561"/>
      <c r="W194" s="561"/>
      <c r="X194" s="561"/>
      <c r="Y194" s="561"/>
      <c r="Z194" s="561"/>
      <c r="AA194" s="561"/>
      <c r="AB194" s="561"/>
      <c r="AC194" s="561"/>
      <c r="AD194" s="561"/>
      <c r="AE194" s="561"/>
    </row>
    <row r="195" spans="1:31" ht="16.5" thickBot="1">
      <c r="A195" s="942">
        <v>53</v>
      </c>
      <c r="B195" s="969" t="s">
        <v>926</v>
      </c>
      <c r="C195" s="945" t="s">
        <v>922</v>
      </c>
      <c r="D195" s="973" t="s">
        <v>886</v>
      </c>
      <c r="E195" s="973" t="s">
        <v>861</v>
      </c>
      <c r="F195" s="973"/>
      <c r="G195" s="956">
        <v>152000</v>
      </c>
      <c r="H195" s="943">
        <v>152000</v>
      </c>
      <c r="I195" s="942"/>
      <c r="J195" s="942"/>
      <c r="K195" s="942"/>
      <c r="L195" s="944"/>
      <c r="M195" s="959"/>
      <c r="N195" s="561"/>
      <c r="O195" s="561"/>
      <c r="P195" s="561"/>
      <c r="Q195" s="561"/>
      <c r="R195" s="561"/>
      <c r="S195" s="561"/>
      <c r="T195" s="561"/>
      <c r="U195" s="561"/>
      <c r="V195" s="561"/>
      <c r="W195" s="561"/>
      <c r="X195" s="561"/>
      <c r="Y195" s="561"/>
      <c r="Z195" s="561"/>
      <c r="AA195" s="561"/>
      <c r="AB195" s="561"/>
      <c r="AC195" s="561"/>
      <c r="AD195" s="561"/>
      <c r="AE195" s="561"/>
    </row>
    <row r="196" spans="1:31" ht="16.5" thickBot="1">
      <c r="A196" s="1469" t="s">
        <v>866</v>
      </c>
      <c r="B196" s="1470"/>
      <c r="C196" s="1470"/>
      <c r="D196" s="1470"/>
      <c r="E196" s="1470"/>
      <c r="F196" s="1471"/>
      <c r="G196" s="979">
        <f>SUM(G187:G195)</f>
        <v>1808000</v>
      </c>
      <c r="H196" s="979">
        <f>SUM(H187:H195)</f>
        <v>1808000</v>
      </c>
      <c r="I196" s="947"/>
      <c r="J196" s="947"/>
      <c r="K196" s="948"/>
      <c r="L196" s="949"/>
      <c r="M196" s="950"/>
      <c r="N196" s="561"/>
      <c r="O196" s="561"/>
      <c r="P196" s="561"/>
      <c r="Q196" s="561"/>
      <c r="R196" s="561"/>
      <c r="S196" s="561"/>
      <c r="T196" s="561"/>
      <c r="U196" s="561"/>
      <c r="V196" s="561"/>
      <c r="W196" s="561"/>
      <c r="X196" s="561"/>
      <c r="Y196" s="561"/>
      <c r="Z196" s="561"/>
      <c r="AA196" s="561"/>
      <c r="AB196" s="561"/>
      <c r="AC196" s="561"/>
      <c r="AD196" s="953" t="s">
        <v>991</v>
      </c>
      <c r="AE196" s="561"/>
    </row>
    <row r="197" spans="1:31" ht="16.5" thickBot="1">
      <c r="A197" s="1472" t="s">
        <v>867</v>
      </c>
      <c r="B197" s="1473"/>
      <c r="C197" s="1473"/>
      <c r="D197" s="1473"/>
      <c r="E197" s="1473"/>
      <c r="F197" s="1473"/>
      <c r="G197" s="1474"/>
      <c r="H197" s="980" t="s">
        <v>868</v>
      </c>
      <c r="I197" s="980" t="s">
        <v>869</v>
      </c>
      <c r="J197" s="980" t="s">
        <v>870</v>
      </c>
      <c r="K197" s="980" t="s">
        <v>871</v>
      </c>
      <c r="L197" s="980" t="s">
        <v>872</v>
      </c>
      <c r="M197" s="980" t="s">
        <v>873</v>
      </c>
      <c r="N197" s="561"/>
      <c r="O197" s="561"/>
      <c r="P197" s="561"/>
      <c r="Q197" s="561"/>
      <c r="R197" s="561"/>
      <c r="S197" s="561"/>
      <c r="T197" s="561"/>
      <c r="U197" s="561"/>
      <c r="V197" s="561"/>
      <c r="W197" s="561"/>
      <c r="X197" s="561"/>
      <c r="Y197" s="561"/>
      <c r="Z197" s="561"/>
      <c r="AA197" s="561"/>
      <c r="AB197" s="561"/>
      <c r="AC197" s="561" t="s">
        <v>992</v>
      </c>
      <c r="AD197" s="953"/>
      <c r="AE197" s="561"/>
    </row>
    <row r="198" spans="1:31" ht="15.75">
      <c r="A198" s="561"/>
      <c r="B198" s="561"/>
      <c r="C198" s="561"/>
      <c r="D198" s="561"/>
      <c r="E198" s="561"/>
      <c r="F198" s="561"/>
      <c r="G198" s="561"/>
      <c r="H198" s="561"/>
      <c r="I198" s="561"/>
      <c r="J198" s="561"/>
      <c r="K198" s="561"/>
      <c r="L198" s="561"/>
      <c r="M198" s="561"/>
      <c r="N198" s="561" t="s">
        <v>876</v>
      </c>
      <c r="O198" s="561"/>
      <c r="P198" s="561"/>
      <c r="Q198" s="561"/>
      <c r="R198" s="561"/>
      <c r="S198" s="561"/>
      <c r="T198" s="561"/>
      <c r="U198" s="561"/>
      <c r="V198" s="561"/>
      <c r="W198" s="561"/>
      <c r="X198" s="561"/>
      <c r="Y198" s="561"/>
      <c r="Z198" s="561"/>
      <c r="AA198" s="561"/>
      <c r="AB198" s="561"/>
      <c r="AC198" s="561"/>
      <c r="AD198" s="561"/>
      <c r="AE198" s="561"/>
    </row>
    <row r="199" spans="1:31" ht="15.75">
      <c r="A199" s="561"/>
      <c r="B199" s="561"/>
      <c r="C199" s="561"/>
      <c r="D199" s="561"/>
      <c r="E199" s="561"/>
      <c r="F199" s="561"/>
      <c r="G199" s="952"/>
      <c r="H199" s="561"/>
      <c r="I199" s="561"/>
      <c r="J199" s="561"/>
      <c r="K199" s="952"/>
      <c r="L199" s="561"/>
      <c r="M199" s="561"/>
      <c r="N199" s="561" t="s">
        <v>877</v>
      </c>
      <c r="O199" s="561"/>
      <c r="P199" s="561"/>
      <c r="Q199" s="561"/>
      <c r="R199" s="561"/>
      <c r="S199" s="561"/>
      <c r="T199" s="561"/>
      <c r="U199" s="561"/>
      <c r="V199" s="561"/>
      <c r="W199" s="561"/>
      <c r="X199" s="561"/>
      <c r="Y199" s="561"/>
      <c r="Z199" s="561"/>
      <c r="AA199" s="561"/>
      <c r="AB199" s="561"/>
      <c r="AC199" s="561"/>
      <c r="AD199" s="561"/>
      <c r="AE199" s="561"/>
    </row>
    <row r="200" spans="1:31" ht="15.75">
      <c r="A200" s="561"/>
      <c r="B200" s="561"/>
      <c r="C200" s="561"/>
      <c r="D200" s="561" t="s">
        <v>134</v>
      </c>
      <c r="E200" s="561"/>
      <c r="F200" s="561"/>
      <c r="G200" s="561"/>
      <c r="H200" s="561"/>
      <c r="I200" s="561"/>
      <c r="J200" s="953" t="s">
        <v>874</v>
      </c>
      <c r="K200" s="561"/>
      <c r="L200" s="561"/>
      <c r="M200" s="561"/>
      <c r="N200" s="561" t="s">
        <v>878</v>
      </c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</row>
    <row r="201" spans="1:31" ht="15.75">
      <c r="A201" s="561"/>
      <c r="B201" s="561"/>
      <c r="C201" s="561"/>
      <c r="D201" s="561"/>
      <c r="E201" s="561"/>
      <c r="F201" s="561"/>
      <c r="G201" s="561"/>
      <c r="H201" s="561"/>
      <c r="I201" s="561"/>
      <c r="J201" s="561" t="s">
        <v>875</v>
      </c>
      <c r="K201" s="561"/>
      <c r="L201" s="561"/>
      <c r="M201" s="56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</row>
    <row r="202" spans="1:31" ht="15.75">
      <c r="A202" s="561" t="s">
        <v>876</v>
      </c>
      <c r="B202" s="561"/>
      <c r="C202" s="561"/>
      <c r="D202" s="561"/>
      <c r="E202" s="561"/>
      <c r="F202" s="561"/>
      <c r="G202" s="561"/>
      <c r="H202" s="561"/>
      <c r="I202" s="561"/>
      <c r="J202" s="561"/>
      <c r="K202" s="954"/>
      <c r="L202" s="561"/>
      <c r="M202" s="561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</row>
    <row r="203" spans="1:31" ht="15.75">
      <c r="A203" s="561" t="s">
        <v>877</v>
      </c>
      <c r="B203" s="561"/>
      <c r="C203" s="561"/>
      <c r="D203" s="561"/>
      <c r="E203" s="561"/>
      <c r="F203" s="561"/>
      <c r="G203" s="561"/>
      <c r="H203" s="561"/>
      <c r="I203" s="561"/>
      <c r="J203" s="561"/>
      <c r="K203" s="561"/>
      <c r="L203" s="561"/>
      <c r="M203" s="561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</row>
    <row r="204" spans="1:31" ht="15.75">
      <c r="A204" s="561"/>
      <c r="B204" s="561"/>
      <c r="C204" s="561"/>
      <c r="D204" s="561"/>
      <c r="E204" s="561"/>
      <c r="F204" s="561"/>
      <c r="G204" s="561"/>
      <c r="H204" s="561"/>
      <c r="I204" s="561"/>
      <c r="J204" s="561"/>
      <c r="K204" s="561"/>
      <c r="L204" s="561"/>
      <c r="M204" s="561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</row>
    <row r="205" spans="1:31" ht="15.75">
      <c r="A205" s="561"/>
      <c r="B205" s="561"/>
      <c r="C205" s="561"/>
      <c r="D205" s="561"/>
      <c r="E205" s="561"/>
      <c r="F205" s="561"/>
      <c r="G205" s="561"/>
      <c r="H205" s="561"/>
      <c r="I205" s="561"/>
      <c r="J205" s="561"/>
      <c r="K205" s="561"/>
      <c r="L205" s="561"/>
      <c r="M205" s="561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</row>
    <row r="206" spans="1:31" ht="15.75">
      <c r="A206" s="561"/>
      <c r="B206" s="561"/>
      <c r="C206" s="561"/>
      <c r="D206" s="561"/>
      <c r="E206" s="561"/>
      <c r="F206" s="561"/>
      <c r="G206" s="561"/>
      <c r="H206" s="561"/>
      <c r="I206" s="561"/>
      <c r="J206" s="561"/>
      <c r="K206" s="561"/>
      <c r="L206" s="561"/>
      <c r="M206" s="561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</row>
    <row r="207" spans="1:31" ht="15.75">
      <c r="A207" s="561"/>
      <c r="B207" s="561"/>
      <c r="C207" s="561"/>
      <c r="D207" s="561"/>
      <c r="E207" s="561"/>
      <c r="F207" s="561"/>
      <c r="G207" s="561"/>
      <c r="H207" s="561"/>
      <c r="I207" s="561"/>
      <c r="J207" s="561"/>
      <c r="K207" s="561"/>
      <c r="L207" s="561"/>
      <c r="M207" s="561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1:31" ht="15.75">
      <c r="A208" s="561"/>
      <c r="B208" s="561"/>
      <c r="C208" s="561"/>
      <c r="D208" s="561"/>
      <c r="E208" s="561"/>
      <c r="F208" s="561"/>
      <c r="G208" s="561"/>
      <c r="H208" s="561"/>
      <c r="I208" s="561"/>
      <c r="J208" s="561"/>
      <c r="K208" s="561"/>
      <c r="L208" s="561"/>
      <c r="M208" s="561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</row>
    <row r="209" spans="1:31">
      <c r="A209" s="925" t="s">
        <v>841</v>
      </c>
      <c r="B209" s="561"/>
      <c r="C209" s="561"/>
      <c r="D209" s="561"/>
      <c r="E209" s="561"/>
      <c r="F209" s="561"/>
      <c r="G209" s="561"/>
      <c r="H209" s="561"/>
      <c r="I209" s="561"/>
      <c r="J209" s="561"/>
      <c r="K209" s="561"/>
      <c r="L209" s="561"/>
      <c r="M209" s="561"/>
      <c r="N209" s="925" t="s">
        <v>964</v>
      </c>
      <c r="O209" s="561"/>
      <c r="P209" s="561"/>
      <c r="Q209" s="561"/>
      <c r="R209" s="561"/>
      <c r="S209" s="561"/>
      <c r="T209" s="561"/>
      <c r="U209" s="561"/>
      <c r="V209" s="561"/>
      <c r="W209" s="561"/>
      <c r="X209" s="561"/>
      <c r="Y209" s="561"/>
      <c r="Z209" s="561"/>
      <c r="AA209" s="561"/>
      <c r="AB209" s="561"/>
      <c r="AC209" s="561"/>
      <c r="AD209" s="561"/>
      <c r="AE209" s="561"/>
    </row>
    <row r="210" spans="1:31" ht="15.75">
      <c r="A210" s="926" t="s">
        <v>842</v>
      </c>
      <c r="B210" s="926"/>
      <c r="C210" s="927" t="s">
        <v>843</v>
      </c>
      <c r="D210" s="561"/>
      <c r="E210" s="561"/>
      <c r="F210" s="561"/>
      <c r="G210" s="561"/>
      <c r="H210" s="561"/>
      <c r="I210" s="561"/>
      <c r="J210" s="561"/>
      <c r="K210" s="561"/>
      <c r="L210" s="561"/>
      <c r="M210" s="561"/>
      <c r="N210" s="926" t="s">
        <v>842</v>
      </c>
      <c r="O210" s="926"/>
      <c r="P210" s="927" t="s">
        <v>843</v>
      </c>
      <c r="Q210" s="561"/>
      <c r="R210" s="561"/>
      <c r="S210" s="561"/>
      <c r="T210" s="561"/>
      <c r="U210" s="561"/>
      <c r="V210" s="561"/>
      <c r="W210" s="561"/>
      <c r="X210" s="561"/>
      <c r="Y210" s="561"/>
      <c r="Z210" s="561"/>
      <c r="AA210" s="561"/>
      <c r="AB210" s="561"/>
      <c r="AC210" s="561"/>
      <c r="AD210" s="561"/>
      <c r="AE210" s="561"/>
    </row>
    <row r="211" spans="1:31" ht="15.75">
      <c r="A211" s="926" t="s">
        <v>395</v>
      </c>
      <c r="B211" s="926"/>
      <c r="C211" s="927" t="s">
        <v>844</v>
      </c>
      <c r="D211" s="561"/>
      <c r="E211" s="561"/>
      <c r="F211" s="561"/>
      <c r="G211" s="561"/>
      <c r="H211" s="561"/>
      <c r="I211" s="561"/>
      <c r="J211" s="561"/>
      <c r="K211" s="561"/>
      <c r="L211" s="561"/>
      <c r="M211" s="561"/>
      <c r="N211" s="926" t="s">
        <v>395</v>
      </c>
      <c r="O211" s="926"/>
      <c r="P211" s="927" t="s">
        <v>844</v>
      </c>
      <c r="Q211" s="561"/>
      <c r="R211" s="561"/>
      <c r="S211" s="561"/>
      <c r="T211" s="561"/>
      <c r="U211" s="561"/>
      <c r="V211" s="561"/>
      <c r="W211" s="561"/>
      <c r="X211" s="561"/>
      <c r="Y211" s="561"/>
      <c r="Z211" s="561"/>
      <c r="AA211" s="561"/>
      <c r="AB211" s="561"/>
      <c r="AC211" s="561"/>
      <c r="AD211" s="561"/>
      <c r="AE211" s="561"/>
    </row>
    <row r="212" spans="1:31" ht="15.75">
      <c r="A212" s="926" t="s">
        <v>845</v>
      </c>
      <c r="B212" s="926"/>
      <c r="C212" s="927" t="s">
        <v>846</v>
      </c>
      <c r="D212" s="561"/>
      <c r="E212" s="561"/>
      <c r="F212" s="561"/>
      <c r="G212" s="561"/>
      <c r="H212" s="561"/>
      <c r="I212" s="561"/>
      <c r="J212" s="561"/>
      <c r="K212" s="561"/>
      <c r="L212" s="561"/>
      <c r="M212" s="561"/>
      <c r="N212" s="926" t="s">
        <v>845</v>
      </c>
      <c r="O212" s="926"/>
      <c r="P212" s="927" t="s">
        <v>846</v>
      </c>
      <c r="Q212" s="561"/>
      <c r="R212" s="561"/>
      <c r="S212" s="561"/>
      <c r="T212" s="561"/>
      <c r="U212" s="561"/>
      <c r="V212" s="561"/>
      <c r="W212" s="561"/>
      <c r="X212" s="561"/>
      <c r="Y212" s="561"/>
      <c r="Z212" s="561"/>
      <c r="AA212" s="561"/>
      <c r="AB212" s="561"/>
      <c r="AC212" s="561"/>
      <c r="AD212" s="561"/>
      <c r="AE212" s="561"/>
    </row>
    <row r="213" spans="1:31" ht="15.75">
      <c r="A213" s="926" t="s">
        <v>167</v>
      </c>
      <c r="B213" s="926"/>
      <c r="C213" s="927" t="s">
        <v>927</v>
      </c>
      <c r="D213" s="561"/>
      <c r="E213" s="561"/>
      <c r="F213" s="561"/>
      <c r="G213" s="561"/>
      <c r="H213" s="561"/>
      <c r="I213" s="561"/>
      <c r="J213" s="561"/>
      <c r="K213" s="561"/>
      <c r="L213" s="561"/>
      <c r="M213" s="561"/>
      <c r="N213" s="926" t="s">
        <v>167</v>
      </c>
      <c r="O213" s="926"/>
      <c r="P213" s="927" t="s">
        <v>927</v>
      </c>
      <c r="Q213" s="561"/>
      <c r="R213" s="561"/>
      <c r="S213" s="561"/>
      <c r="T213" s="561"/>
      <c r="U213" s="561"/>
      <c r="V213" s="561" t="s">
        <v>134</v>
      </c>
      <c r="W213" s="561" t="s">
        <v>134</v>
      </c>
      <c r="X213" s="561"/>
      <c r="Y213" s="561"/>
      <c r="Z213" s="561"/>
      <c r="AA213" s="561"/>
      <c r="AB213" s="561"/>
      <c r="AC213" s="561"/>
      <c r="AD213" s="561"/>
      <c r="AE213" s="561"/>
    </row>
    <row r="214" spans="1:31" ht="16.5" thickBot="1">
      <c r="A214" s="926"/>
      <c r="B214" s="926"/>
      <c r="C214" s="561"/>
      <c r="D214" s="561"/>
      <c r="E214" s="561"/>
      <c r="F214" s="561"/>
      <c r="G214" s="561"/>
      <c r="H214" s="561"/>
      <c r="I214" s="561"/>
      <c r="J214" s="561"/>
      <c r="K214" s="561"/>
      <c r="L214" s="561"/>
      <c r="M214" s="561"/>
      <c r="N214" s="926"/>
      <c r="O214" s="926"/>
      <c r="P214" s="561"/>
      <c r="Q214" s="561"/>
      <c r="R214" s="561"/>
      <c r="S214" s="561"/>
      <c r="T214" s="561"/>
      <c r="U214" s="561"/>
      <c r="V214" s="561"/>
      <c r="W214" s="561"/>
      <c r="X214" s="561"/>
      <c r="Y214" s="561"/>
      <c r="Z214" s="561"/>
      <c r="AA214" s="561"/>
      <c r="AB214" s="561"/>
      <c r="AC214" s="561"/>
      <c r="AD214" s="561"/>
      <c r="AE214" s="561"/>
    </row>
    <row r="215" spans="1:31" ht="16.5" thickBot="1">
      <c r="A215" s="561" t="s">
        <v>848</v>
      </c>
      <c r="B215" s="928"/>
      <c r="C215" s="561" t="s">
        <v>849</v>
      </c>
      <c r="D215" s="561"/>
      <c r="E215" s="561"/>
      <c r="F215" s="561"/>
      <c r="G215" s="561"/>
      <c r="H215" s="561"/>
      <c r="I215" s="561"/>
      <c r="J215" s="561"/>
      <c r="K215" s="561"/>
      <c r="L215" s="561"/>
      <c r="M215" s="561"/>
      <c r="N215" s="561" t="s">
        <v>848</v>
      </c>
      <c r="O215" s="928"/>
      <c r="P215" s="561" t="s">
        <v>849</v>
      </c>
      <c r="Q215" s="561"/>
      <c r="R215" s="561"/>
      <c r="S215" s="561"/>
      <c r="T215" s="561"/>
      <c r="U215" s="561"/>
      <c r="V215" s="561"/>
      <c r="W215" s="561"/>
      <c r="X215" s="561"/>
      <c r="Y215" s="561"/>
      <c r="Z215" s="561"/>
      <c r="AA215" s="561"/>
      <c r="AB215" s="561"/>
      <c r="AC215" s="561"/>
      <c r="AD215" s="561"/>
      <c r="AE215" s="561"/>
    </row>
    <row r="216" spans="1:31" ht="16.5" thickBot="1">
      <c r="A216" s="561"/>
      <c r="B216" s="561"/>
      <c r="C216" s="561"/>
      <c r="D216" s="561"/>
      <c r="E216" s="561"/>
      <c r="F216" s="561"/>
      <c r="G216" s="561"/>
      <c r="H216" s="561"/>
      <c r="I216" s="561"/>
      <c r="J216" s="561"/>
      <c r="K216" s="561"/>
      <c r="L216" s="561"/>
      <c r="M216" s="561"/>
      <c r="N216" s="561"/>
      <c r="O216" s="561"/>
      <c r="P216" s="926"/>
      <c r="Q216" s="561"/>
      <c r="R216" s="561"/>
      <c r="S216" s="561"/>
      <c r="T216" s="561"/>
      <c r="U216" s="561"/>
      <c r="V216" s="561"/>
      <c r="W216" s="561"/>
      <c r="X216" s="561"/>
      <c r="Y216" s="561"/>
      <c r="Z216" s="561"/>
      <c r="AA216" s="561"/>
      <c r="AB216" s="561"/>
      <c r="AC216" s="561"/>
      <c r="AD216" s="561"/>
      <c r="AE216" s="561"/>
    </row>
    <row r="217" spans="1:31" ht="16.5" thickBot="1">
      <c r="A217" s="1454" t="s">
        <v>850</v>
      </c>
      <c r="B217" s="1464"/>
      <c r="C217" s="1455"/>
      <c r="D217" s="1454" t="s">
        <v>851</v>
      </c>
      <c r="E217" s="1464"/>
      <c r="F217" s="1455"/>
      <c r="G217" s="1466" t="s">
        <v>852</v>
      </c>
      <c r="H217" s="1466" t="s">
        <v>667</v>
      </c>
      <c r="I217" s="1466" t="s">
        <v>668</v>
      </c>
      <c r="J217" s="1454" t="s">
        <v>676</v>
      </c>
      <c r="K217" s="1455"/>
      <c r="L217" s="1454" t="s">
        <v>677</v>
      </c>
      <c r="M217" s="1455"/>
      <c r="N217" s="1486" t="s">
        <v>850</v>
      </c>
      <c r="O217" s="1487"/>
      <c r="P217" s="1488"/>
      <c r="Q217" s="1486" t="s">
        <v>965</v>
      </c>
      <c r="R217" s="1487"/>
      <c r="S217" s="1488"/>
      <c r="T217" s="1466" t="s">
        <v>966</v>
      </c>
      <c r="U217" s="1489" t="s">
        <v>669</v>
      </c>
      <c r="V217" s="1490"/>
      <c r="W217" s="1490"/>
      <c r="X217" s="1490"/>
      <c r="Y217" s="1490"/>
      <c r="Z217" s="1490"/>
      <c r="AA217" s="1490"/>
      <c r="AB217" s="1490"/>
      <c r="AC217" s="1490"/>
      <c r="AD217" s="1490"/>
      <c r="AE217" s="1491"/>
    </row>
    <row r="218" spans="1:31" ht="16.5" thickBot="1">
      <c r="A218" s="1456"/>
      <c r="B218" s="1465"/>
      <c r="C218" s="1457"/>
      <c r="D218" s="1456"/>
      <c r="E218" s="1465"/>
      <c r="F218" s="1457"/>
      <c r="G218" s="1467"/>
      <c r="H218" s="1467"/>
      <c r="I218" s="1467"/>
      <c r="J218" s="1456"/>
      <c r="K218" s="1457"/>
      <c r="L218" s="1456"/>
      <c r="M218" s="1457"/>
      <c r="N218" s="1466" t="s">
        <v>853</v>
      </c>
      <c r="O218" s="1466" t="s">
        <v>854</v>
      </c>
      <c r="P218" s="1466" t="s">
        <v>855</v>
      </c>
      <c r="Q218" s="1466" t="s">
        <v>967</v>
      </c>
      <c r="R218" s="1466" t="s">
        <v>857</v>
      </c>
      <c r="S218" s="1466" t="s">
        <v>968</v>
      </c>
      <c r="T218" s="1467"/>
      <c r="U218" s="1466" t="s">
        <v>670</v>
      </c>
      <c r="V218" s="1489" t="s">
        <v>678</v>
      </c>
      <c r="W218" s="1492"/>
      <c r="X218" s="1489" t="s">
        <v>679</v>
      </c>
      <c r="Y218" s="1492"/>
      <c r="Z218" s="1489" t="s">
        <v>680</v>
      </c>
      <c r="AA218" s="1491"/>
      <c r="AB218" s="1489" t="s">
        <v>681</v>
      </c>
      <c r="AC218" s="1491"/>
      <c r="AD218" s="1489" t="s">
        <v>671</v>
      </c>
      <c r="AE218" s="1491"/>
    </row>
    <row r="219" spans="1:31" ht="63.75" thickBot="1">
      <c r="A219" s="934" t="s">
        <v>853</v>
      </c>
      <c r="B219" s="934" t="s">
        <v>854</v>
      </c>
      <c r="C219" s="934" t="s">
        <v>855</v>
      </c>
      <c r="D219" s="934" t="s">
        <v>856</v>
      </c>
      <c r="E219" s="934" t="s">
        <v>857</v>
      </c>
      <c r="F219" s="934" t="s">
        <v>388</v>
      </c>
      <c r="G219" s="1468"/>
      <c r="H219" s="1468"/>
      <c r="I219" s="1468"/>
      <c r="J219" s="935" t="s">
        <v>672</v>
      </c>
      <c r="K219" s="935" t="s">
        <v>673</v>
      </c>
      <c r="L219" s="935" t="s">
        <v>672</v>
      </c>
      <c r="M219" s="935" t="s">
        <v>673</v>
      </c>
      <c r="N219" s="1468"/>
      <c r="O219" s="1468"/>
      <c r="P219" s="1468"/>
      <c r="Q219" s="1468"/>
      <c r="R219" s="1468"/>
      <c r="S219" s="1468"/>
      <c r="T219" s="1468"/>
      <c r="U219" s="1468"/>
      <c r="V219" s="1036" t="s">
        <v>672</v>
      </c>
      <c r="W219" s="1037" t="s">
        <v>673</v>
      </c>
      <c r="X219" s="1036" t="s">
        <v>672</v>
      </c>
      <c r="Y219" s="1037" t="s">
        <v>673</v>
      </c>
      <c r="Z219" s="1038" t="s">
        <v>674</v>
      </c>
      <c r="AA219" s="1038" t="s">
        <v>675</v>
      </c>
      <c r="AB219" s="1038" t="s">
        <v>674</v>
      </c>
      <c r="AC219" s="1038" t="s">
        <v>675</v>
      </c>
      <c r="AD219" s="1038" t="s">
        <v>674</v>
      </c>
      <c r="AE219" s="1038" t="s">
        <v>675</v>
      </c>
    </row>
    <row r="220" spans="1:31" ht="29.25" thickBot="1">
      <c r="A220" s="937" t="s">
        <v>493</v>
      </c>
      <c r="B220" s="937" t="s">
        <v>494</v>
      </c>
      <c r="C220" s="937" t="s">
        <v>527</v>
      </c>
      <c r="D220" s="937" t="s">
        <v>549</v>
      </c>
      <c r="E220" s="937" t="s">
        <v>551</v>
      </c>
      <c r="F220" s="937" t="s">
        <v>563</v>
      </c>
      <c r="G220" s="937" t="s">
        <v>858</v>
      </c>
      <c r="H220" s="937" t="s">
        <v>567</v>
      </c>
      <c r="I220" s="937" t="s">
        <v>569</v>
      </c>
      <c r="J220" s="937" t="s">
        <v>571</v>
      </c>
      <c r="K220" s="937" t="s">
        <v>573</v>
      </c>
      <c r="L220" s="937" t="s">
        <v>575</v>
      </c>
      <c r="M220" s="937" t="s">
        <v>579</v>
      </c>
      <c r="N220" s="1039" t="s">
        <v>493</v>
      </c>
      <c r="O220" s="1039" t="s">
        <v>494</v>
      </c>
      <c r="P220" s="1039" t="s">
        <v>527</v>
      </c>
      <c r="Q220" s="1039" t="s">
        <v>549</v>
      </c>
      <c r="R220" s="1039" t="s">
        <v>551</v>
      </c>
      <c r="S220" s="1039" t="s">
        <v>563</v>
      </c>
      <c r="T220" s="1040" t="s">
        <v>969</v>
      </c>
      <c r="U220" s="1039" t="s">
        <v>567</v>
      </c>
      <c r="V220" s="1039" t="s">
        <v>569</v>
      </c>
      <c r="W220" s="1039" t="s">
        <v>571</v>
      </c>
      <c r="X220" s="1039" t="s">
        <v>573</v>
      </c>
      <c r="Y220" s="1039" t="s">
        <v>575</v>
      </c>
      <c r="Z220" s="1039" t="s">
        <v>579</v>
      </c>
      <c r="AA220" s="1039" t="s">
        <v>970</v>
      </c>
      <c r="AB220" s="1039" t="s">
        <v>971</v>
      </c>
      <c r="AC220" s="1039" t="s">
        <v>972</v>
      </c>
      <c r="AD220" s="1039" t="s">
        <v>973</v>
      </c>
      <c r="AE220" s="1039" t="s">
        <v>974</v>
      </c>
    </row>
    <row r="221" spans="1:31" ht="16.5" thickBot="1">
      <c r="A221" s="1469" t="s">
        <v>866</v>
      </c>
      <c r="B221" s="1470"/>
      <c r="C221" s="1470"/>
      <c r="D221" s="1470"/>
      <c r="E221" s="1470"/>
      <c r="F221" s="1471"/>
      <c r="G221" s="979"/>
      <c r="H221" s="979"/>
      <c r="I221" s="947"/>
      <c r="J221" s="947"/>
      <c r="K221" s="948"/>
      <c r="L221" s="949"/>
      <c r="M221" s="950"/>
      <c r="N221" s="960">
        <v>6</v>
      </c>
      <c r="O221" s="969" t="s">
        <v>1025</v>
      </c>
      <c r="P221" s="1067">
        <v>40975</v>
      </c>
      <c r="Q221" s="960" t="s">
        <v>975</v>
      </c>
      <c r="R221" s="960" t="s">
        <v>976</v>
      </c>
      <c r="S221" s="960" t="s">
        <v>977</v>
      </c>
      <c r="T221" s="1056">
        <v>13709.37</v>
      </c>
      <c r="U221" s="1057">
        <v>13709.37</v>
      </c>
      <c r="V221" s="1057"/>
      <c r="W221" s="1057"/>
      <c r="X221" s="1056"/>
      <c r="Y221" s="1056"/>
      <c r="Z221" s="1068"/>
      <c r="AA221" s="1056"/>
      <c r="AB221" s="1056"/>
      <c r="AC221" s="1056"/>
      <c r="AD221" s="1056"/>
      <c r="AE221" s="1069"/>
    </row>
    <row r="222" spans="1:31" ht="16.5" thickBot="1">
      <c r="A222" s="1472" t="s">
        <v>867</v>
      </c>
      <c r="B222" s="1473"/>
      <c r="C222" s="1473"/>
      <c r="D222" s="1473"/>
      <c r="E222" s="1473"/>
      <c r="F222" s="1473"/>
      <c r="G222" s="1474"/>
      <c r="H222" s="980" t="s">
        <v>868</v>
      </c>
      <c r="I222" s="980" t="s">
        <v>869</v>
      </c>
      <c r="J222" s="980" t="s">
        <v>870</v>
      </c>
      <c r="K222" s="980" t="s">
        <v>871</v>
      </c>
      <c r="L222" s="980" t="s">
        <v>872</v>
      </c>
      <c r="M222" s="980" t="s">
        <v>873</v>
      </c>
      <c r="N222" s="1458" t="s">
        <v>866</v>
      </c>
      <c r="O222" s="1459"/>
      <c r="P222" s="1459"/>
      <c r="Q222" s="1459"/>
      <c r="R222" s="1459"/>
      <c r="S222" s="1460"/>
      <c r="T222" s="947">
        <f>SUM(T221:T221)</f>
        <v>13709.37</v>
      </c>
      <c r="U222" s="947">
        <f>SUM(U221:U221)</f>
        <v>13709.37</v>
      </c>
      <c r="V222" s="947"/>
      <c r="W222" s="947"/>
      <c r="X222" s="949"/>
      <c r="Y222" s="949"/>
      <c r="Z222" s="949"/>
      <c r="AA222" s="949"/>
      <c r="AB222" s="949"/>
      <c r="AC222" s="949"/>
      <c r="AD222" s="1077"/>
      <c r="AE222" s="1078"/>
    </row>
    <row r="223" spans="1:31" ht="16.5" thickBot="1">
      <c r="A223" s="561"/>
      <c r="B223" s="561"/>
      <c r="C223" s="561"/>
      <c r="D223" s="561"/>
      <c r="E223" s="561"/>
      <c r="F223" s="561"/>
      <c r="G223" s="561"/>
      <c r="H223" s="561"/>
      <c r="I223" s="561"/>
      <c r="J223" s="561"/>
      <c r="K223" s="561"/>
      <c r="L223" s="561"/>
      <c r="M223" s="561"/>
      <c r="N223" s="1472" t="s">
        <v>867</v>
      </c>
      <c r="O223" s="1473"/>
      <c r="P223" s="1473"/>
      <c r="Q223" s="1473"/>
      <c r="R223" s="1473"/>
      <c r="S223" s="1473"/>
      <c r="T223" s="1474"/>
      <c r="U223" s="980" t="s">
        <v>980</v>
      </c>
      <c r="V223" s="980" t="s">
        <v>981</v>
      </c>
      <c r="W223" s="980" t="s">
        <v>982</v>
      </c>
      <c r="X223" s="980" t="s">
        <v>983</v>
      </c>
      <c r="Y223" s="980" t="s">
        <v>984</v>
      </c>
      <c r="Z223" s="980" t="s">
        <v>985</v>
      </c>
      <c r="AA223" s="980" t="s">
        <v>986</v>
      </c>
      <c r="AB223" s="980" t="s">
        <v>987</v>
      </c>
      <c r="AC223" s="980" t="s">
        <v>988</v>
      </c>
      <c r="AD223" s="980" t="s">
        <v>989</v>
      </c>
      <c r="AE223" s="980" t="s">
        <v>990</v>
      </c>
    </row>
    <row r="224" spans="1:31" ht="15.75">
      <c r="A224" s="561"/>
      <c r="B224" s="561"/>
      <c r="C224" s="561"/>
      <c r="D224" s="561"/>
      <c r="E224" s="561"/>
      <c r="F224" s="561"/>
      <c r="G224" s="952"/>
      <c r="H224" s="561"/>
      <c r="I224" s="561"/>
      <c r="J224" s="561"/>
      <c r="K224" s="952"/>
      <c r="L224" s="561"/>
      <c r="M224" s="561"/>
      <c r="N224" s="561"/>
      <c r="O224" s="561"/>
      <c r="P224" s="561"/>
      <c r="Q224" s="561"/>
      <c r="R224" s="561"/>
      <c r="S224" s="561"/>
      <c r="T224" s="561"/>
      <c r="U224" s="561"/>
      <c r="V224" s="561"/>
      <c r="W224" s="561"/>
      <c r="X224" s="561"/>
      <c r="Y224" s="561"/>
      <c r="Z224" s="561"/>
      <c r="AA224" s="561"/>
      <c r="AB224" s="561"/>
      <c r="AC224" s="561"/>
      <c r="AD224" s="561"/>
      <c r="AE224" s="561"/>
    </row>
    <row r="225" spans="1:31" ht="15.75">
      <c r="A225" s="561"/>
      <c r="B225" s="561"/>
      <c r="C225" s="561"/>
      <c r="D225" s="561" t="s">
        <v>134</v>
      </c>
      <c r="E225" s="561"/>
      <c r="F225" s="561"/>
      <c r="G225" s="561"/>
      <c r="H225" s="561"/>
      <c r="I225" s="561"/>
      <c r="J225" s="953" t="s">
        <v>874</v>
      </c>
      <c r="K225" s="561"/>
      <c r="L225" s="561"/>
      <c r="M225" s="561"/>
      <c r="N225" s="561"/>
      <c r="O225" s="561"/>
      <c r="P225" s="561"/>
      <c r="Q225" s="561"/>
      <c r="R225" s="561"/>
      <c r="S225" s="561"/>
      <c r="T225" s="561"/>
      <c r="U225" s="561"/>
      <c r="V225" s="561"/>
      <c r="W225" s="561"/>
      <c r="X225" s="561"/>
      <c r="Y225" s="561"/>
      <c r="Z225" s="561"/>
      <c r="AA225" s="561"/>
      <c r="AB225" s="561"/>
      <c r="AC225" s="561"/>
      <c r="AD225" s="561"/>
      <c r="AE225" s="561"/>
    </row>
    <row r="226" spans="1:31" ht="15.75">
      <c r="A226" s="561"/>
      <c r="B226" s="561"/>
      <c r="C226" s="561"/>
      <c r="D226" s="561"/>
      <c r="E226" s="561"/>
      <c r="F226" s="561"/>
      <c r="G226" s="561"/>
      <c r="H226" s="561"/>
      <c r="I226" s="561"/>
      <c r="J226" s="561" t="s">
        <v>875</v>
      </c>
      <c r="K226" s="561"/>
      <c r="L226" s="561"/>
      <c r="M226" s="561"/>
      <c r="N226" s="561"/>
      <c r="O226" s="561"/>
      <c r="P226" s="561"/>
      <c r="Q226" s="561"/>
      <c r="R226" s="561"/>
      <c r="S226" s="561"/>
      <c r="T226" s="561"/>
      <c r="U226" s="561"/>
      <c r="V226" s="561"/>
      <c r="W226" s="561"/>
      <c r="X226" s="561"/>
      <c r="Y226" s="561"/>
      <c r="Z226" s="561"/>
      <c r="AA226" s="561"/>
      <c r="AB226" s="561"/>
      <c r="AC226" s="561"/>
      <c r="AD226" s="953" t="s">
        <v>991</v>
      </c>
      <c r="AE226" s="561"/>
    </row>
    <row r="227" spans="1:31" ht="15.75">
      <c r="A227" s="561" t="s">
        <v>876</v>
      </c>
      <c r="B227" s="561"/>
      <c r="C227" s="561"/>
      <c r="D227" s="561"/>
      <c r="E227" s="561"/>
      <c r="F227" s="561"/>
      <c r="G227" s="561"/>
      <c r="H227" s="561"/>
      <c r="I227" s="561"/>
      <c r="J227" s="561"/>
      <c r="K227" s="954"/>
      <c r="L227" s="561"/>
      <c r="M227" s="561"/>
      <c r="N227" s="561"/>
      <c r="O227" s="561"/>
      <c r="P227" s="561"/>
      <c r="Q227" s="561"/>
      <c r="R227" s="561"/>
      <c r="S227" s="561"/>
      <c r="T227" s="561"/>
      <c r="U227" s="561"/>
      <c r="V227" s="561"/>
      <c r="W227" s="561"/>
      <c r="X227" s="561"/>
      <c r="Y227" s="561"/>
      <c r="Z227" s="561"/>
      <c r="AA227" s="561"/>
      <c r="AB227" s="561"/>
      <c r="AC227" s="561" t="s">
        <v>992</v>
      </c>
      <c r="AD227" s="953"/>
      <c r="AE227" s="561"/>
    </row>
    <row r="228" spans="1:31" ht="15.75">
      <c r="A228" s="561" t="s">
        <v>877</v>
      </c>
      <c r="B228" s="561"/>
      <c r="C228" s="561"/>
      <c r="D228" s="561"/>
      <c r="E228" s="561"/>
      <c r="F228" s="561"/>
      <c r="G228" s="561"/>
      <c r="H228" s="561"/>
      <c r="I228" s="561"/>
      <c r="J228" s="561"/>
      <c r="K228" s="561"/>
      <c r="L228" s="561"/>
      <c r="M228" s="561"/>
      <c r="N228" s="561" t="s">
        <v>876</v>
      </c>
      <c r="O228" s="561"/>
      <c r="P228" s="561"/>
      <c r="Q228" s="561"/>
      <c r="R228" s="561"/>
      <c r="S228" s="561"/>
      <c r="T228" s="561"/>
      <c r="U228" s="561"/>
      <c r="V228" s="561"/>
      <c r="W228" s="561"/>
      <c r="X228" s="561"/>
      <c r="Y228" s="561"/>
      <c r="Z228" s="561"/>
      <c r="AA228" s="561"/>
      <c r="AB228" s="561"/>
      <c r="AC228" s="561"/>
      <c r="AD228" s="561"/>
      <c r="AE228" s="561"/>
    </row>
    <row r="229" spans="1:31" ht="15.75">
      <c r="A229" s="561" t="s">
        <v>878</v>
      </c>
      <c r="B229"/>
      <c r="C229"/>
      <c r="D229"/>
      <c r="E229"/>
      <c r="F229"/>
      <c r="G229"/>
      <c r="H229"/>
      <c r="I229"/>
      <c r="J229"/>
      <c r="K229" s="561"/>
      <c r="L229" s="561"/>
      <c r="M229" s="561"/>
      <c r="N229" s="561" t="s">
        <v>877</v>
      </c>
      <c r="O229" s="561"/>
      <c r="P229" s="561"/>
      <c r="Q229" s="561"/>
      <c r="R229" s="561"/>
      <c r="S229" s="561"/>
      <c r="T229" s="561"/>
      <c r="U229" s="561"/>
      <c r="V229" s="561"/>
      <c r="W229" s="561"/>
      <c r="X229" s="561"/>
      <c r="Y229" s="561"/>
      <c r="Z229" s="561"/>
      <c r="AA229" s="561"/>
      <c r="AB229" s="561"/>
      <c r="AC229" s="561"/>
      <c r="AD229" s="561"/>
      <c r="AE229" s="561"/>
    </row>
    <row r="230" spans="1:31" ht="15.75">
      <c r="A230" s="561"/>
      <c r="B230" s="561"/>
      <c r="C230" s="561"/>
      <c r="D230" s="561"/>
      <c r="E230" s="561"/>
      <c r="F230" s="561"/>
      <c r="G230" s="561"/>
      <c r="H230" s="561"/>
      <c r="I230" s="561"/>
      <c r="J230" s="561"/>
      <c r="K230" s="561"/>
      <c r="L230" s="561"/>
      <c r="M230" s="561"/>
      <c r="N230" s="561" t="s">
        <v>878</v>
      </c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</row>
    <row r="231" spans="1:31" ht="15.75">
      <c r="A231" s="561"/>
      <c r="B231" s="561"/>
      <c r="C231" s="561"/>
      <c r="D231" s="561"/>
      <c r="E231" s="561"/>
      <c r="F231" s="561"/>
      <c r="G231" s="561"/>
      <c r="H231" s="561"/>
      <c r="I231" s="561"/>
      <c r="J231" s="561"/>
      <c r="K231" s="561"/>
      <c r="L231" s="561"/>
      <c r="M231" s="56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</row>
    <row r="232" spans="1:31" ht="15.75">
      <c r="A232" s="561"/>
      <c r="B232" s="561"/>
      <c r="C232" s="561"/>
      <c r="D232" s="561"/>
      <c r="E232" s="561"/>
      <c r="F232" s="561"/>
      <c r="G232" s="561"/>
      <c r="H232" s="561"/>
      <c r="I232" s="561"/>
      <c r="J232" s="561"/>
      <c r="K232" s="561"/>
      <c r="L232" s="561"/>
      <c r="M232" s="561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</row>
    <row r="233" spans="1:31" ht="15.75">
      <c r="A233" s="561"/>
      <c r="B233" s="561"/>
      <c r="C233" s="561"/>
      <c r="D233" s="561"/>
      <c r="E233" s="561"/>
      <c r="F233" s="561"/>
      <c r="G233" s="561"/>
      <c r="H233" s="561"/>
      <c r="I233" s="561"/>
      <c r="J233" s="561"/>
      <c r="K233" s="561"/>
      <c r="L233" s="561"/>
      <c r="M233" s="561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</row>
    <row r="234" spans="1:31" ht="15.75">
      <c r="A234" s="561"/>
      <c r="B234" s="561"/>
      <c r="C234" s="561"/>
      <c r="D234" s="561"/>
      <c r="E234" s="561"/>
      <c r="F234" s="561"/>
      <c r="G234" s="561"/>
      <c r="H234" s="561"/>
      <c r="I234" s="561"/>
      <c r="J234" s="561"/>
      <c r="K234" s="561"/>
      <c r="L234" s="561"/>
      <c r="M234" s="561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</row>
    <row r="235" spans="1:31" ht="15.75">
      <c r="A235" s="561"/>
      <c r="B235" s="561"/>
      <c r="C235" s="561"/>
      <c r="D235" s="561"/>
      <c r="E235" s="561"/>
      <c r="F235" s="561"/>
      <c r="G235" s="561"/>
      <c r="H235" s="561"/>
      <c r="I235" s="561"/>
      <c r="J235" s="561"/>
      <c r="K235" s="561"/>
      <c r="L235" s="561"/>
      <c r="M235" s="561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</row>
    <row r="236" spans="1:31" ht="15.75">
      <c r="A236" s="561"/>
      <c r="B236" s="561"/>
      <c r="C236" s="561"/>
      <c r="D236" s="561"/>
      <c r="E236" s="561"/>
      <c r="F236" s="561"/>
      <c r="G236" s="561"/>
      <c r="H236" s="561"/>
      <c r="I236" s="561"/>
      <c r="J236" s="561"/>
      <c r="K236" s="561"/>
      <c r="L236" s="561"/>
      <c r="M236" s="561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</row>
    <row r="237" spans="1:31" ht="15.75">
      <c r="A237" s="561"/>
      <c r="B237" s="561"/>
      <c r="C237" s="561"/>
      <c r="D237" s="561"/>
      <c r="E237" s="561"/>
      <c r="F237" s="561"/>
      <c r="G237" s="561"/>
      <c r="H237" s="561"/>
      <c r="I237" s="561"/>
      <c r="J237" s="561"/>
      <c r="K237" s="561"/>
      <c r="L237" s="561"/>
      <c r="M237" s="561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</row>
    <row r="238" spans="1:31" ht="15.75">
      <c r="A238" s="561"/>
      <c r="B238" s="561"/>
      <c r="C238" s="561"/>
      <c r="D238" s="561"/>
      <c r="E238" s="561"/>
      <c r="F238" s="561"/>
      <c r="G238" s="561"/>
      <c r="H238" s="561"/>
      <c r="I238" s="561"/>
      <c r="J238" s="561"/>
      <c r="K238" s="561"/>
      <c r="L238" s="561"/>
      <c r="M238" s="561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</row>
    <row r="239" spans="1:31" ht="15.75">
      <c r="A239" s="561"/>
      <c r="B239" s="561"/>
      <c r="C239" s="561"/>
      <c r="D239" s="561"/>
      <c r="E239" s="561"/>
      <c r="F239" s="561"/>
      <c r="G239" s="561"/>
      <c r="H239" s="561"/>
      <c r="I239" s="561"/>
      <c r="J239" s="561"/>
      <c r="K239" s="561"/>
      <c r="L239" s="561"/>
      <c r="M239" s="561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</row>
    <row r="240" spans="1:31" ht="15.75">
      <c r="A240" s="561"/>
      <c r="B240" s="561"/>
      <c r="C240" s="561"/>
      <c r="D240" s="561"/>
      <c r="E240" s="561"/>
      <c r="F240" s="561"/>
      <c r="G240" s="561"/>
      <c r="H240" s="561"/>
      <c r="I240" s="561"/>
      <c r="J240" s="561"/>
      <c r="K240" s="561"/>
      <c r="L240" s="561"/>
      <c r="M240" s="561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</row>
    <row r="241" spans="1:31" ht="15.75">
      <c r="A241" s="561"/>
      <c r="B241" s="561"/>
      <c r="C241" s="561"/>
      <c r="D241" s="561"/>
      <c r="E241" s="561"/>
      <c r="F241" s="561"/>
      <c r="G241" s="561"/>
      <c r="H241" s="561"/>
      <c r="I241" s="561"/>
      <c r="J241" s="561"/>
      <c r="K241" s="561"/>
      <c r="L241" s="561"/>
      <c r="M241" s="56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</row>
    <row r="243" spans="1:31">
      <c r="A243" s="925" t="s">
        <v>841</v>
      </c>
      <c r="B243" s="561"/>
      <c r="C243" s="561"/>
      <c r="D243" s="561"/>
      <c r="E243" s="561"/>
      <c r="F243" s="561"/>
      <c r="G243" s="561"/>
      <c r="H243" s="561"/>
      <c r="I243" s="561"/>
      <c r="J243" s="561"/>
      <c r="K243" s="561"/>
      <c r="L243" s="561"/>
      <c r="M243" s="561"/>
      <c r="N243" s="925" t="s">
        <v>964</v>
      </c>
      <c r="O243" s="561"/>
      <c r="P243" s="561"/>
      <c r="Q243" s="561"/>
      <c r="R243" s="561"/>
      <c r="S243" s="561"/>
      <c r="T243" s="561"/>
      <c r="U243" s="561"/>
      <c r="V243" s="561"/>
      <c r="W243" s="561"/>
      <c r="X243" s="561"/>
      <c r="Y243" s="561"/>
      <c r="Z243" s="561"/>
      <c r="AA243" s="561"/>
      <c r="AB243" s="561"/>
      <c r="AC243" s="561"/>
      <c r="AD243" s="561"/>
      <c r="AE243" s="561"/>
    </row>
    <row r="244" spans="1:31" ht="15.75">
      <c r="A244" s="926" t="s">
        <v>842</v>
      </c>
      <c r="B244" s="926"/>
      <c r="C244" s="927" t="s">
        <v>843</v>
      </c>
      <c r="D244" s="561"/>
      <c r="E244" s="561"/>
      <c r="F244" s="561"/>
      <c r="G244" s="561"/>
      <c r="H244" s="561"/>
      <c r="I244" s="561"/>
      <c r="J244" s="561"/>
      <c r="K244" s="561"/>
      <c r="L244" s="561"/>
      <c r="M244" s="561"/>
      <c r="N244" s="926" t="s">
        <v>842</v>
      </c>
      <c r="O244" s="926"/>
      <c r="P244" s="927" t="s">
        <v>843</v>
      </c>
      <c r="Q244" s="561"/>
      <c r="R244" s="561"/>
      <c r="S244" s="561"/>
      <c r="T244" s="561"/>
      <c r="U244" s="561"/>
      <c r="V244" s="561"/>
      <c r="W244" s="561"/>
      <c r="X244" s="561"/>
      <c r="Y244" s="561"/>
      <c r="Z244" s="561"/>
      <c r="AA244" s="561"/>
      <c r="AB244" s="561"/>
      <c r="AC244" s="561"/>
      <c r="AD244" s="561"/>
      <c r="AE244" s="561"/>
    </row>
    <row r="245" spans="1:31" ht="15.75">
      <c r="A245" s="926" t="s">
        <v>395</v>
      </c>
      <c r="B245" s="926"/>
      <c r="C245" s="927" t="s">
        <v>844</v>
      </c>
      <c r="D245" s="561"/>
      <c r="E245" s="561"/>
      <c r="F245" s="561"/>
      <c r="G245" s="561"/>
      <c r="H245" s="561"/>
      <c r="I245" s="561"/>
      <c r="J245" s="561"/>
      <c r="K245" s="561"/>
      <c r="L245" s="561"/>
      <c r="M245" s="561"/>
      <c r="N245" s="926" t="s">
        <v>395</v>
      </c>
      <c r="O245" s="926"/>
      <c r="P245" s="927" t="s">
        <v>844</v>
      </c>
      <c r="Q245" s="561"/>
      <c r="R245" s="561"/>
      <c r="S245" s="561"/>
      <c r="T245" s="561"/>
      <c r="U245" s="561"/>
      <c r="V245" s="561"/>
      <c r="W245" s="561"/>
      <c r="X245" s="561"/>
      <c r="Y245" s="561"/>
      <c r="Z245" s="561"/>
      <c r="AA245" s="561"/>
      <c r="AB245" s="561"/>
      <c r="AC245" s="561"/>
      <c r="AD245" s="561"/>
      <c r="AE245" s="561"/>
    </row>
    <row r="246" spans="1:31" ht="15.75">
      <c r="A246" s="926" t="s">
        <v>845</v>
      </c>
      <c r="B246" s="926"/>
      <c r="C246" s="927" t="s">
        <v>846</v>
      </c>
      <c r="D246" s="561"/>
      <c r="E246" s="561"/>
      <c r="F246" s="561"/>
      <c r="G246" s="561"/>
      <c r="H246" s="561"/>
      <c r="I246" s="561"/>
      <c r="J246" s="561"/>
      <c r="K246" s="561"/>
      <c r="L246" s="561"/>
      <c r="M246" s="561"/>
      <c r="N246" s="926" t="s">
        <v>845</v>
      </c>
      <c r="O246" s="926"/>
      <c r="P246" s="927" t="s">
        <v>846</v>
      </c>
      <c r="Q246" s="561"/>
      <c r="R246" s="561"/>
      <c r="S246" s="561"/>
      <c r="T246" s="561"/>
      <c r="U246" s="561"/>
      <c r="V246" s="561"/>
      <c r="W246" s="561"/>
      <c r="X246" s="561"/>
      <c r="Y246" s="561"/>
      <c r="Z246" s="561"/>
      <c r="AA246" s="561"/>
      <c r="AB246" s="561"/>
      <c r="AC246" s="561"/>
      <c r="AD246" s="561"/>
      <c r="AE246" s="561"/>
    </row>
    <row r="247" spans="1:31" ht="15.75">
      <c r="A247" s="926" t="s">
        <v>167</v>
      </c>
      <c r="B247" s="926"/>
      <c r="C247" s="927" t="s">
        <v>928</v>
      </c>
      <c r="D247" s="561"/>
      <c r="E247" s="561"/>
      <c r="F247" s="561"/>
      <c r="G247" s="561"/>
      <c r="H247" s="561"/>
      <c r="I247" s="561"/>
      <c r="J247" s="561"/>
      <c r="K247" s="561"/>
      <c r="L247" s="561"/>
      <c r="M247" s="561"/>
      <c r="N247" s="926" t="s">
        <v>167</v>
      </c>
      <c r="O247" s="926"/>
      <c r="P247" s="927" t="s">
        <v>928</v>
      </c>
      <c r="Q247" s="561"/>
      <c r="R247" s="561"/>
      <c r="S247" s="561"/>
      <c r="T247" s="561"/>
      <c r="U247" s="561"/>
      <c r="V247" s="561" t="s">
        <v>134</v>
      </c>
      <c r="W247" s="561" t="s">
        <v>134</v>
      </c>
      <c r="X247" s="561"/>
      <c r="Y247" s="561"/>
      <c r="Z247" s="561"/>
      <c r="AA247" s="561"/>
      <c r="AB247" s="561"/>
      <c r="AC247" s="561"/>
      <c r="AD247" s="561"/>
      <c r="AE247" s="561"/>
    </row>
    <row r="248" spans="1:31" ht="16.5" thickBot="1">
      <c r="A248" s="926"/>
      <c r="B248" s="926"/>
      <c r="C248" s="561"/>
      <c r="D248" s="561"/>
      <c r="E248" s="561"/>
      <c r="F248" s="561"/>
      <c r="G248" s="561"/>
      <c r="H248" s="561"/>
      <c r="I248" s="561"/>
      <c r="J248" s="561"/>
      <c r="K248" s="561"/>
      <c r="L248" s="561"/>
      <c r="M248" s="561"/>
      <c r="N248" s="926"/>
      <c r="O248" s="926"/>
      <c r="P248" s="561"/>
      <c r="Q248" s="561"/>
      <c r="R248" s="561"/>
      <c r="S248" s="561"/>
      <c r="T248" s="561"/>
      <c r="U248" s="561"/>
      <c r="V248" s="561"/>
      <c r="W248" s="561"/>
      <c r="X248" s="561"/>
      <c r="Y248" s="561"/>
      <c r="Z248" s="561"/>
      <c r="AA248" s="561"/>
      <c r="AB248" s="561"/>
      <c r="AC248" s="561"/>
      <c r="AD248" s="561"/>
      <c r="AE248" s="561"/>
    </row>
    <row r="249" spans="1:31" ht="16.5" thickBot="1">
      <c r="A249" s="561" t="s">
        <v>848</v>
      </c>
      <c r="B249" s="928" t="s">
        <v>929</v>
      </c>
      <c r="C249" s="561" t="s">
        <v>849</v>
      </c>
      <c r="D249" s="561"/>
      <c r="E249" s="561"/>
      <c r="F249" s="561"/>
      <c r="G249" s="561"/>
      <c r="H249" s="561"/>
      <c r="I249" s="561"/>
      <c r="J249" s="561"/>
      <c r="K249" s="561"/>
      <c r="L249" s="561"/>
      <c r="M249" s="561"/>
      <c r="N249" s="561" t="s">
        <v>848</v>
      </c>
      <c r="O249" s="928"/>
      <c r="P249" s="561" t="s">
        <v>849</v>
      </c>
      <c r="Q249" s="561"/>
      <c r="R249" s="561"/>
      <c r="S249" s="561"/>
      <c r="T249" s="561"/>
      <c r="U249" s="561"/>
      <c r="V249" s="561"/>
      <c r="W249" s="561"/>
      <c r="X249" s="561"/>
      <c r="Y249" s="561"/>
      <c r="Z249" s="561"/>
      <c r="AA249" s="561"/>
      <c r="AB249" s="561"/>
      <c r="AC249" s="561"/>
      <c r="AD249" s="561"/>
      <c r="AE249" s="561"/>
    </row>
    <row r="250" spans="1:31" ht="16.5" thickBot="1">
      <c r="A250" s="561"/>
      <c r="B250" s="561"/>
      <c r="C250" s="561"/>
      <c r="D250" s="561"/>
      <c r="E250" s="561"/>
      <c r="F250" s="561"/>
      <c r="G250" s="561"/>
      <c r="H250" s="561"/>
      <c r="I250" s="561"/>
      <c r="J250" s="561"/>
      <c r="K250" s="561"/>
      <c r="L250" s="561"/>
      <c r="M250" s="561"/>
      <c r="N250" s="561"/>
      <c r="O250" s="561"/>
      <c r="P250" s="926"/>
      <c r="Q250" s="561"/>
      <c r="R250" s="561"/>
      <c r="S250" s="561"/>
      <c r="T250" s="561"/>
      <c r="U250" s="561"/>
      <c r="V250" s="561"/>
      <c r="W250" s="561"/>
      <c r="X250" s="561"/>
      <c r="Y250" s="561"/>
      <c r="Z250" s="561"/>
      <c r="AA250" s="561"/>
      <c r="AB250" s="561"/>
      <c r="AC250" s="561"/>
      <c r="AD250" s="561"/>
      <c r="AE250" s="561"/>
    </row>
    <row r="251" spans="1:31" ht="16.5" thickBot="1">
      <c r="A251" s="1454" t="s">
        <v>850</v>
      </c>
      <c r="B251" s="1464"/>
      <c r="C251" s="1455"/>
      <c r="D251" s="1454" t="s">
        <v>851</v>
      </c>
      <c r="E251" s="1464"/>
      <c r="F251" s="1455"/>
      <c r="G251" s="1466" t="s">
        <v>852</v>
      </c>
      <c r="H251" s="1466" t="s">
        <v>667</v>
      </c>
      <c r="I251" s="1466" t="s">
        <v>668</v>
      </c>
      <c r="J251" s="1454" t="s">
        <v>676</v>
      </c>
      <c r="K251" s="1455"/>
      <c r="L251" s="1454" t="s">
        <v>677</v>
      </c>
      <c r="M251" s="1455"/>
      <c r="N251" s="1486" t="s">
        <v>850</v>
      </c>
      <c r="O251" s="1487"/>
      <c r="P251" s="1488"/>
      <c r="Q251" s="1486" t="s">
        <v>965</v>
      </c>
      <c r="R251" s="1487"/>
      <c r="S251" s="1488"/>
      <c r="T251" s="1466" t="s">
        <v>966</v>
      </c>
      <c r="U251" s="1489" t="s">
        <v>669</v>
      </c>
      <c r="V251" s="1490"/>
      <c r="W251" s="1490"/>
      <c r="X251" s="1490"/>
      <c r="Y251" s="1490"/>
      <c r="Z251" s="1490"/>
      <c r="AA251" s="1490"/>
      <c r="AB251" s="1490"/>
      <c r="AC251" s="1490"/>
      <c r="AD251" s="1490"/>
      <c r="AE251" s="1491"/>
    </row>
    <row r="252" spans="1:31" ht="16.5" thickBot="1">
      <c r="A252" s="1456"/>
      <c r="B252" s="1465"/>
      <c r="C252" s="1457"/>
      <c r="D252" s="1456"/>
      <c r="E252" s="1465"/>
      <c r="F252" s="1457"/>
      <c r="G252" s="1467"/>
      <c r="H252" s="1467"/>
      <c r="I252" s="1467"/>
      <c r="J252" s="1456"/>
      <c r="K252" s="1457"/>
      <c r="L252" s="1456"/>
      <c r="M252" s="1457"/>
      <c r="N252" s="1466" t="s">
        <v>853</v>
      </c>
      <c r="O252" s="1466" t="s">
        <v>854</v>
      </c>
      <c r="P252" s="1466" t="s">
        <v>855</v>
      </c>
      <c r="Q252" s="1466" t="s">
        <v>967</v>
      </c>
      <c r="R252" s="1466" t="s">
        <v>857</v>
      </c>
      <c r="S252" s="1466" t="s">
        <v>968</v>
      </c>
      <c r="T252" s="1467"/>
      <c r="U252" s="1466" t="s">
        <v>670</v>
      </c>
      <c r="V252" s="1489" t="s">
        <v>678</v>
      </c>
      <c r="W252" s="1492"/>
      <c r="X252" s="1489" t="s">
        <v>679</v>
      </c>
      <c r="Y252" s="1492"/>
      <c r="Z252" s="1489" t="s">
        <v>680</v>
      </c>
      <c r="AA252" s="1491"/>
      <c r="AB252" s="1489" t="s">
        <v>681</v>
      </c>
      <c r="AC252" s="1491"/>
      <c r="AD252" s="1489" t="s">
        <v>671</v>
      </c>
      <c r="AE252" s="1491"/>
    </row>
    <row r="253" spans="1:31" ht="63.75" thickBot="1">
      <c r="A253" s="934" t="s">
        <v>853</v>
      </c>
      <c r="B253" s="934" t="s">
        <v>854</v>
      </c>
      <c r="C253" s="934" t="s">
        <v>855</v>
      </c>
      <c r="D253" s="934" t="s">
        <v>856</v>
      </c>
      <c r="E253" s="934" t="s">
        <v>857</v>
      </c>
      <c r="F253" s="934" t="s">
        <v>388</v>
      </c>
      <c r="G253" s="1468"/>
      <c r="H253" s="1468"/>
      <c r="I253" s="1468"/>
      <c r="J253" s="935" t="s">
        <v>672</v>
      </c>
      <c r="K253" s="935" t="s">
        <v>673</v>
      </c>
      <c r="L253" s="935" t="s">
        <v>672</v>
      </c>
      <c r="M253" s="935" t="s">
        <v>673</v>
      </c>
      <c r="N253" s="1468"/>
      <c r="O253" s="1468"/>
      <c r="P253" s="1468"/>
      <c r="Q253" s="1468"/>
      <c r="R253" s="1468"/>
      <c r="S253" s="1468"/>
      <c r="T253" s="1468"/>
      <c r="U253" s="1468"/>
      <c r="V253" s="1036" t="s">
        <v>672</v>
      </c>
      <c r="W253" s="1037" t="s">
        <v>673</v>
      </c>
      <c r="X253" s="1036" t="s">
        <v>672</v>
      </c>
      <c r="Y253" s="1037" t="s">
        <v>673</v>
      </c>
      <c r="Z253" s="1038" t="s">
        <v>674</v>
      </c>
      <c r="AA253" s="1038" t="s">
        <v>675</v>
      </c>
      <c r="AB253" s="1038" t="s">
        <v>674</v>
      </c>
      <c r="AC253" s="1038" t="s">
        <v>675</v>
      </c>
      <c r="AD253" s="1038" t="s">
        <v>674</v>
      </c>
      <c r="AE253" s="1038" t="s">
        <v>675</v>
      </c>
    </row>
    <row r="254" spans="1:31" ht="29.25" thickBot="1">
      <c r="A254" s="937" t="s">
        <v>493</v>
      </c>
      <c r="B254" s="937" t="s">
        <v>494</v>
      </c>
      <c r="C254" s="937" t="s">
        <v>527</v>
      </c>
      <c r="D254" s="937" t="s">
        <v>549</v>
      </c>
      <c r="E254" s="937" t="s">
        <v>551</v>
      </c>
      <c r="F254" s="937" t="s">
        <v>563</v>
      </c>
      <c r="G254" s="937" t="s">
        <v>858</v>
      </c>
      <c r="H254" s="937" t="s">
        <v>567</v>
      </c>
      <c r="I254" s="937" t="s">
        <v>569</v>
      </c>
      <c r="J254" s="937" t="s">
        <v>571</v>
      </c>
      <c r="K254" s="937" t="s">
        <v>573</v>
      </c>
      <c r="L254" s="937" t="s">
        <v>575</v>
      </c>
      <c r="M254" s="937" t="s">
        <v>579</v>
      </c>
      <c r="N254" s="1039" t="s">
        <v>493</v>
      </c>
      <c r="O254" s="1039" t="s">
        <v>494</v>
      </c>
      <c r="P254" s="1039" t="s">
        <v>527</v>
      </c>
      <c r="Q254" s="1039" t="s">
        <v>549</v>
      </c>
      <c r="R254" s="1039" t="s">
        <v>551</v>
      </c>
      <c r="S254" s="1039" t="s">
        <v>563</v>
      </c>
      <c r="T254" s="1040" t="s">
        <v>969</v>
      </c>
      <c r="U254" s="1039" t="s">
        <v>567</v>
      </c>
      <c r="V254" s="1039" t="s">
        <v>569</v>
      </c>
      <c r="W254" s="1039" t="s">
        <v>571</v>
      </c>
      <c r="X254" s="1039" t="s">
        <v>573</v>
      </c>
      <c r="Y254" s="1039" t="s">
        <v>575</v>
      </c>
      <c r="Z254" s="1039" t="s">
        <v>579</v>
      </c>
      <c r="AA254" s="1039" t="s">
        <v>970</v>
      </c>
      <c r="AB254" s="1039" t="s">
        <v>971</v>
      </c>
      <c r="AC254" s="1039" t="s">
        <v>972</v>
      </c>
      <c r="AD254" s="1039" t="s">
        <v>973</v>
      </c>
      <c r="AE254" s="1039" t="s">
        <v>974</v>
      </c>
    </row>
    <row r="255" spans="1:31" ht="16.5" thickBot="1">
      <c r="A255" s="984" t="s">
        <v>862</v>
      </c>
      <c r="B255" s="985" t="s">
        <v>862</v>
      </c>
      <c r="C255" s="985" t="s">
        <v>862</v>
      </c>
      <c r="D255" s="985" t="s">
        <v>862</v>
      </c>
      <c r="E255" s="985" t="s">
        <v>862</v>
      </c>
      <c r="F255" s="985" t="s">
        <v>862</v>
      </c>
      <c r="G255" s="986">
        <v>0</v>
      </c>
      <c r="H255" s="986">
        <v>0</v>
      </c>
      <c r="I255" s="986">
        <v>0</v>
      </c>
      <c r="J255" s="986">
        <v>0</v>
      </c>
      <c r="K255" s="986">
        <v>0</v>
      </c>
      <c r="L255" s="986">
        <v>0</v>
      </c>
      <c r="M255" s="987">
        <v>0</v>
      </c>
      <c r="N255" s="960">
        <v>7</v>
      </c>
      <c r="O255" s="969" t="s">
        <v>1026</v>
      </c>
      <c r="P255" s="1067">
        <v>40976</v>
      </c>
      <c r="Q255" s="960" t="s">
        <v>1027</v>
      </c>
      <c r="R255" s="960" t="s">
        <v>976</v>
      </c>
      <c r="S255" s="960" t="s">
        <v>977</v>
      </c>
      <c r="T255" s="1056">
        <v>13596.47</v>
      </c>
      <c r="U255" s="1057">
        <v>13596.47</v>
      </c>
      <c r="V255" s="1057"/>
      <c r="W255" s="1057"/>
      <c r="X255" s="1056"/>
      <c r="Y255" s="1056"/>
      <c r="Z255" s="1068"/>
      <c r="AA255" s="1056"/>
      <c r="AB255" s="1056"/>
      <c r="AC255" s="1056"/>
      <c r="AD255" s="1056"/>
      <c r="AE255" s="1069"/>
    </row>
    <row r="256" spans="1:31" ht="16.5" thickBot="1">
      <c r="A256" s="1469" t="s">
        <v>866</v>
      </c>
      <c r="B256" s="1470"/>
      <c r="C256" s="1470"/>
      <c r="D256" s="1470"/>
      <c r="E256" s="1470"/>
      <c r="F256" s="1471"/>
      <c r="G256" s="979">
        <f t="shared" ref="G256:M256" si="29">SUM(G255)</f>
        <v>0</v>
      </c>
      <c r="H256" s="979">
        <f t="shared" si="29"/>
        <v>0</v>
      </c>
      <c r="I256" s="947">
        <f t="shared" si="29"/>
        <v>0</v>
      </c>
      <c r="J256" s="947">
        <f t="shared" si="29"/>
        <v>0</v>
      </c>
      <c r="K256" s="948">
        <f t="shared" si="29"/>
        <v>0</v>
      </c>
      <c r="L256" s="949">
        <f t="shared" si="29"/>
        <v>0</v>
      </c>
      <c r="M256" s="950">
        <f t="shared" si="29"/>
        <v>0</v>
      </c>
      <c r="N256" s="1458" t="s">
        <v>866</v>
      </c>
      <c r="O256" s="1459"/>
      <c r="P256" s="1459"/>
      <c r="Q256" s="1459"/>
      <c r="R256" s="1459"/>
      <c r="S256" s="1460"/>
      <c r="T256" s="947">
        <f>SUM(T255:T255)</f>
        <v>13596.47</v>
      </c>
      <c r="U256" s="947">
        <f>SUM(U255:U255)</f>
        <v>13596.47</v>
      </c>
      <c r="V256" s="947"/>
      <c r="W256" s="947"/>
      <c r="X256" s="949"/>
      <c r="Y256" s="949"/>
      <c r="Z256" s="949"/>
      <c r="AA256" s="949"/>
      <c r="AB256" s="949"/>
      <c r="AC256" s="949"/>
      <c r="AD256" s="1077"/>
      <c r="AE256" s="1078"/>
    </row>
    <row r="257" spans="1:31" ht="16.5" thickBot="1">
      <c r="A257" s="1472" t="s">
        <v>867</v>
      </c>
      <c r="B257" s="1473"/>
      <c r="C257" s="1473"/>
      <c r="D257" s="1473"/>
      <c r="E257" s="1473"/>
      <c r="F257" s="1473"/>
      <c r="G257" s="1474"/>
      <c r="H257" s="980" t="s">
        <v>868</v>
      </c>
      <c r="I257" s="980" t="s">
        <v>869</v>
      </c>
      <c r="J257" s="980" t="s">
        <v>870</v>
      </c>
      <c r="K257" s="980" t="s">
        <v>871</v>
      </c>
      <c r="L257" s="980" t="s">
        <v>872</v>
      </c>
      <c r="M257" s="980" t="s">
        <v>873</v>
      </c>
      <c r="N257" s="1472" t="s">
        <v>867</v>
      </c>
      <c r="O257" s="1473"/>
      <c r="P257" s="1473"/>
      <c r="Q257" s="1473"/>
      <c r="R257" s="1473"/>
      <c r="S257" s="1473"/>
      <c r="T257" s="1474"/>
      <c r="U257" s="980" t="s">
        <v>980</v>
      </c>
      <c r="V257" s="980" t="s">
        <v>981</v>
      </c>
      <c r="W257" s="980" t="s">
        <v>982</v>
      </c>
      <c r="X257" s="980" t="s">
        <v>983</v>
      </c>
      <c r="Y257" s="980" t="s">
        <v>984</v>
      </c>
      <c r="Z257" s="980" t="s">
        <v>985</v>
      </c>
      <c r="AA257" s="980" t="s">
        <v>986</v>
      </c>
      <c r="AB257" s="980" t="s">
        <v>987</v>
      </c>
      <c r="AC257" s="980" t="s">
        <v>988</v>
      </c>
      <c r="AD257" s="980" t="s">
        <v>989</v>
      </c>
      <c r="AE257" s="980" t="s">
        <v>990</v>
      </c>
    </row>
    <row r="258" spans="1:31" ht="15.75">
      <c r="A258" s="561"/>
      <c r="B258" s="561"/>
      <c r="C258" s="561"/>
      <c r="D258" s="561"/>
      <c r="E258" s="561"/>
      <c r="F258" s="561"/>
      <c r="G258" s="561"/>
      <c r="H258" s="561"/>
      <c r="I258" s="561"/>
      <c r="J258" s="561"/>
      <c r="K258" s="561"/>
      <c r="L258" s="561"/>
      <c r="M258" s="561"/>
      <c r="N258" s="561"/>
      <c r="O258" s="561"/>
      <c r="P258" s="561"/>
      <c r="Q258" s="561"/>
      <c r="R258" s="561"/>
      <c r="S258" s="561"/>
      <c r="T258" s="561"/>
      <c r="U258" s="561"/>
      <c r="V258" s="561"/>
      <c r="W258" s="561"/>
      <c r="X258" s="561"/>
      <c r="Y258" s="561"/>
      <c r="Z258" s="561"/>
      <c r="AA258" s="561"/>
      <c r="AB258" s="561"/>
      <c r="AC258" s="561"/>
      <c r="AD258" s="561"/>
      <c r="AE258" s="561"/>
    </row>
    <row r="259" spans="1:31" ht="15.75">
      <c r="A259" s="561"/>
      <c r="B259" s="561"/>
      <c r="C259" s="561"/>
      <c r="D259" s="561"/>
      <c r="E259" s="561"/>
      <c r="F259" s="561"/>
      <c r="G259" s="952"/>
      <c r="H259" s="561"/>
      <c r="I259" s="561"/>
      <c r="J259" s="561"/>
      <c r="K259" s="952"/>
      <c r="L259" s="561"/>
      <c r="M259" s="561"/>
      <c r="N259" s="561"/>
      <c r="O259" s="561"/>
      <c r="P259" s="561"/>
      <c r="Q259" s="561"/>
      <c r="R259" s="561"/>
      <c r="S259" s="561"/>
      <c r="T259" s="561"/>
      <c r="U259" s="561"/>
      <c r="V259" s="561"/>
      <c r="W259" s="561"/>
      <c r="X259" s="561"/>
      <c r="Y259" s="561"/>
      <c r="Z259" s="561"/>
      <c r="AA259" s="561"/>
      <c r="AB259" s="561"/>
      <c r="AC259" s="561"/>
      <c r="AD259" s="561"/>
      <c r="AE259" s="561"/>
    </row>
    <row r="260" spans="1:31" ht="15.75">
      <c r="A260" s="561"/>
      <c r="B260" s="561"/>
      <c r="C260" s="561"/>
      <c r="D260" s="561" t="s">
        <v>134</v>
      </c>
      <c r="E260" s="561"/>
      <c r="F260" s="561"/>
      <c r="G260" s="561"/>
      <c r="H260" s="561"/>
      <c r="I260" s="561"/>
      <c r="J260" s="953" t="s">
        <v>874</v>
      </c>
      <c r="K260" s="561"/>
      <c r="L260" s="561"/>
      <c r="M260" s="561"/>
      <c r="N260" s="561"/>
      <c r="O260" s="561"/>
      <c r="P260" s="561"/>
      <c r="Q260" s="561"/>
      <c r="R260" s="561"/>
      <c r="S260" s="561"/>
      <c r="T260" s="561"/>
      <c r="U260" s="561"/>
      <c r="V260" s="561"/>
      <c r="W260" s="561"/>
      <c r="X260" s="561"/>
      <c r="Y260" s="561"/>
      <c r="Z260" s="561"/>
      <c r="AA260" s="561"/>
      <c r="AB260" s="561"/>
      <c r="AC260" s="561"/>
      <c r="AD260" s="953" t="s">
        <v>991</v>
      </c>
      <c r="AE260" s="561"/>
    </row>
    <row r="261" spans="1:31" ht="15.75">
      <c r="A261" s="561"/>
      <c r="B261" s="561"/>
      <c r="C261" s="561"/>
      <c r="D261" s="561"/>
      <c r="E261" s="561"/>
      <c r="F261" s="561"/>
      <c r="G261" s="561"/>
      <c r="H261" s="561"/>
      <c r="I261" s="561"/>
      <c r="J261" s="561" t="s">
        <v>875</v>
      </c>
      <c r="K261" s="561"/>
      <c r="L261" s="561"/>
      <c r="M261" s="561"/>
      <c r="N261" s="561"/>
      <c r="O261" s="561"/>
      <c r="P261" s="561"/>
      <c r="Q261" s="561"/>
      <c r="R261" s="561"/>
      <c r="S261" s="561"/>
      <c r="T261" s="561"/>
      <c r="U261" s="561"/>
      <c r="V261" s="561"/>
      <c r="W261" s="561"/>
      <c r="X261" s="561"/>
      <c r="Y261" s="561"/>
      <c r="Z261" s="561"/>
      <c r="AA261" s="561"/>
      <c r="AB261" s="561"/>
      <c r="AC261" s="561" t="s">
        <v>992</v>
      </c>
      <c r="AD261" s="953"/>
      <c r="AE261" s="561"/>
    </row>
    <row r="262" spans="1:31" ht="15.75">
      <c r="A262" s="561" t="s">
        <v>876</v>
      </c>
      <c r="B262" s="561"/>
      <c r="C262" s="561"/>
      <c r="D262" s="561"/>
      <c r="E262" s="561"/>
      <c r="F262" s="561"/>
      <c r="G262" s="561"/>
      <c r="H262" s="561"/>
      <c r="I262" s="561"/>
      <c r="J262" s="561"/>
      <c r="K262" s="954"/>
      <c r="L262" s="561"/>
      <c r="M262" s="561"/>
      <c r="N262" s="561" t="s">
        <v>876</v>
      </c>
      <c r="O262" s="561"/>
      <c r="P262" s="561"/>
      <c r="Q262" s="561"/>
      <c r="R262" s="561"/>
      <c r="S262" s="561"/>
      <c r="T262" s="561"/>
      <c r="U262" s="561"/>
      <c r="V262" s="561"/>
      <c r="W262" s="561"/>
      <c r="X262" s="561"/>
      <c r="Y262" s="561"/>
      <c r="Z262" s="561"/>
      <c r="AA262" s="561"/>
      <c r="AB262" s="561"/>
      <c r="AC262" s="561"/>
      <c r="AD262" s="561"/>
      <c r="AE262" s="561"/>
    </row>
    <row r="263" spans="1:31" ht="15.75">
      <c r="A263" s="561" t="s">
        <v>877</v>
      </c>
      <c r="B263" s="561"/>
      <c r="C263" s="561"/>
      <c r="D263" s="561"/>
      <c r="E263" s="561"/>
      <c r="F263" s="561"/>
      <c r="G263" s="561"/>
      <c r="H263" s="561"/>
      <c r="I263" s="561"/>
      <c r="J263" s="561"/>
      <c r="K263" s="561"/>
      <c r="L263" s="561"/>
      <c r="M263" s="561"/>
      <c r="N263" s="561" t="s">
        <v>877</v>
      </c>
      <c r="O263" s="561"/>
      <c r="P263" s="561"/>
      <c r="Q263" s="561"/>
      <c r="R263" s="561"/>
      <c r="S263" s="561"/>
      <c r="T263" s="561"/>
      <c r="U263" s="561"/>
      <c r="V263" s="561"/>
      <c r="W263" s="561"/>
      <c r="X263" s="561"/>
      <c r="Y263" s="561"/>
      <c r="Z263" s="561"/>
      <c r="AA263" s="561"/>
      <c r="AB263" s="561"/>
      <c r="AC263" s="561"/>
      <c r="AD263" s="561"/>
      <c r="AE263" s="561"/>
    </row>
    <row r="264" spans="1:31" ht="15.75">
      <c r="A264" s="561" t="s">
        <v>878</v>
      </c>
      <c r="B264"/>
      <c r="C264"/>
      <c r="D264"/>
      <c r="E264"/>
      <c r="F264"/>
      <c r="G264"/>
      <c r="H264"/>
      <c r="I264"/>
      <c r="J264"/>
      <c r="K264" s="561"/>
      <c r="L264" s="561"/>
      <c r="M264" s="561"/>
      <c r="N264" s="561" t="s">
        <v>878</v>
      </c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</row>
    <row r="265" spans="1:31" ht="15.75">
      <c r="A265" s="561"/>
      <c r="B265" s="561"/>
      <c r="C265" s="561"/>
      <c r="D265" s="561"/>
      <c r="E265" s="561"/>
      <c r="F265" s="561"/>
      <c r="G265" s="561"/>
      <c r="H265" s="561"/>
      <c r="I265" s="561"/>
      <c r="J265" s="561"/>
      <c r="K265" s="561"/>
      <c r="L265" s="561"/>
      <c r="M265" s="561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</row>
    <row r="266" spans="1:31" ht="15.75">
      <c r="A266" s="561"/>
      <c r="B266" s="561"/>
      <c r="C266" s="561"/>
      <c r="D266" s="561"/>
      <c r="E266" s="561"/>
      <c r="F266" s="561"/>
      <c r="G266" s="561"/>
      <c r="H266" s="561"/>
      <c r="I266" s="561"/>
      <c r="J266" s="561"/>
      <c r="K266" s="561"/>
      <c r="L266" s="561"/>
      <c r="M266" s="561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</row>
    <row r="267" spans="1:31" ht="15.75">
      <c r="A267" s="561"/>
      <c r="B267" s="561"/>
      <c r="C267" s="561"/>
      <c r="D267" s="561"/>
      <c r="E267" s="561"/>
      <c r="F267" s="561"/>
      <c r="G267" s="561"/>
      <c r="H267" s="561"/>
      <c r="I267" s="561"/>
      <c r="J267" s="561"/>
      <c r="K267" s="561"/>
      <c r="L267" s="561"/>
      <c r="M267" s="561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</row>
    <row r="268" spans="1:31" ht="15.75">
      <c r="A268" s="561"/>
      <c r="B268" s="561"/>
      <c r="C268" s="561"/>
      <c r="D268" s="561"/>
      <c r="E268" s="561"/>
      <c r="F268" s="561"/>
      <c r="G268" s="561"/>
      <c r="H268" s="561"/>
      <c r="I268" s="561"/>
      <c r="J268" s="561"/>
      <c r="K268" s="561"/>
      <c r="L268" s="561"/>
      <c r="M268" s="561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</row>
    <row r="269" spans="1:31" ht="15.75">
      <c r="A269" s="561"/>
      <c r="B269" s="561"/>
      <c r="C269" s="561"/>
      <c r="D269" s="561"/>
      <c r="E269" s="561"/>
      <c r="F269" s="561"/>
      <c r="G269" s="561"/>
      <c r="H269" s="561"/>
      <c r="I269" s="561"/>
      <c r="J269" s="561"/>
      <c r="K269" s="561"/>
      <c r="L269" s="561"/>
      <c r="M269" s="561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</row>
    <row r="270" spans="1:31" ht="15.75">
      <c r="A270" s="561"/>
      <c r="B270" s="561"/>
      <c r="C270" s="561"/>
      <c r="D270" s="561"/>
      <c r="E270" s="561"/>
      <c r="F270" s="561"/>
      <c r="G270" s="561"/>
      <c r="H270" s="561"/>
      <c r="I270" s="561"/>
      <c r="J270" s="561"/>
      <c r="K270" s="561"/>
      <c r="L270" s="561"/>
      <c r="M270" s="561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</row>
    <row r="271" spans="1:31" ht="15.75">
      <c r="A271" s="561"/>
      <c r="B271" s="561"/>
      <c r="C271" s="561"/>
      <c r="D271" s="561"/>
      <c r="E271" s="561"/>
      <c r="F271" s="561"/>
      <c r="G271" s="561"/>
      <c r="H271" s="561"/>
      <c r="I271" s="561"/>
      <c r="J271" s="561"/>
      <c r="K271" s="561"/>
      <c r="L271" s="561"/>
      <c r="M271" s="56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</row>
    <row r="272" spans="1:31" ht="15.75">
      <c r="A272" s="561"/>
      <c r="B272" s="561"/>
      <c r="C272" s="561"/>
      <c r="D272" s="561"/>
      <c r="E272" s="561"/>
      <c r="F272" s="561"/>
      <c r="G272" s="561"/>
      <c r="H272" s="561"/>
      <c r="I272" s="561"/>
      <c r="J272" s="561"/>
      <c r="K272" s="561"/>
      <c r="L272" s="561"/>
      <c r="M272" s="561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</row>
    <row r="273" spans="1:31" ht="15.75">
      <c r="A273" s="561"/>
      <c r="B273" s="561"/>
      <c r="C273" s="561"/>
      <c r="D273" s="561"/>
      <c r="E273" s="561"/>
      <c r="F273" s="561"/>
      <c r="G273" s="561"/>
      <c r="H273" s="561"/>
      <c r="I273" s="561"/>
      <c r="J273" s="561"/>
      <c r="K273" s="561"/>
      <c r="L273" s="561"/>
      <c r="M273" s="561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</row>
    <row r="274" spans="1:31" ht="15.75">
      <c r="A274" s="561"/>
      <c r="B274" s="561"/>
      <c r="C274" s="561"/>
      <c r="D274" s="561"/>
      <c r="E274" s="561"/>
      <c r="F274" s="561"/>
      <c r="G274" s="561"/>
      <c r="H274" s="561"/>
      <c r="I274" s="561"/>
      <c r="J274" s="561"/>
      <c r="K274" s="561"/>
      <c r="L274" s="561"/>
      <c r="M274" s="561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</row>
    <row r="275" spans="1:31" ht="15.75">
      <c r="A275" s="561"/>
      <c r="B275" s="561"/>
      <c r="C275" s="561"/>
      <c r="D275" s="561"/>
      <c r="E275" s="561"/>
      <c r="F275" s="561"/>
      <c r="G275" s="561"/>
      <c r="H275" s="561"/>
      <c r="I275" s="561"/>
      <c r="J275" s="561"/>
      <c r="K275" s="561"/>
      <c r="L275" s="561"/>
      <c r="M275" s="561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</row>
    <row r="276" spans="1:31">
      <c r="A276" s="561"/>
      <c r="B276" s="561"/>
      <c r="C276" s="561"/>
      <c r="D276" s="561"/>
      <c r="E276" s="561"/>
      <c r="F276" s="561"/>
      <c r="G276" s="561"/>
      <c r="H276" s="561"/>
      <c r="I276" s="561"/>
      <c r="J276" s="561"/>
      <c r="K276" s="561"/>
      <c r="L276" s="561"/>
      <c r="M276" s="561"/>
    </row>
    <row r="277" spans="1:31">
      <c r="A277" s="925" t="s">
        <v>841</v>
      </c>
      <c r="B277" s="561"/>
      <c r="C277" s="561"/>
      <c r="D277" s="561"/>
      <c r="E277" s="561"/>
      <c r="F277" s="561"/>
      <c r="G277" s="561"/>
      <c r="H277" s="561"/>
      <c r="I277" s="561"/>
      <c r="J277" s="561"/>
      <c r="K277" s="561"/>
      <c r="L277" s="561"/>
      <c r="M277" s="561"/>
      <c r="N277" s="925" t="s">
        <v>964</v>
      </c>
      <c r="O277" s="561"/>
      <c r="P277" s="561"/>
      <c r="Q277" s="561"/>
      <c r="R277" s="561"/>
      <c r="S277" s="561"/>
      <c r="T277" s="561"/>
      <c r="U277" s="561"/>
      <c r="V277" s="561"/>
      <c r="W277" s="561"/>
      <c r="X277" s="561"/>
      <c r="Y277" s="561"/>
      <c r="Z277" s="561"/>
      <c r="AA277" s="561"/>
      <c r="AB277" s="561"/>
      <c r="AC277" s="561"/>
      <c r="AD277" s="561"/>
      <c r="AE277" s="561"/>
    </row>
    <row r="278" spans="1:31" ht="15.75">
      <c r="A278" s="926" t="s">
        <v>842</v>
      </c>
      <c r="B278" s="926"/>
      <c r="C278" s="927" t="s">
        <v>843</v>
      </c>
      <c r="D278" s="561"/>
      <c r="E278" s="561"/>
      <c r="F278" s="561"/>
      <c r="G278" s="561"/>
      <c r="H278" s="561"/>
      <c r="I278" s="561"/>
      <c r="J278" s="561"/>
      <c r="K278" s="561"/>
      <c r="L278" s="561"/>
      <c r="M278" s="561"/>
      <c r="N278" s="926" t="s">
        <v>842</v>
      </c>
      <c r="O278" s="926"/>
      <c r="P278" s="927" t="s">
        <v>843</v>
      </c>
      <c r="Q278" s="561"/>
      <c r="R278" s="561"/>
      <c r="S278" s="561"/>
      <c r="T278" s="561"/>
      <c r="U278" s="561"/>
      <c r="V278" s="561"/>
      <c r="W278" s="561"/>
      <c r="X278" s="561"/>
      <c r="Y278" s="561"/>
      <c r="Z278" s="561"/>
      <c r="AA278" s="561"/>
      <c r="AB278" s="561"/>
      <c r="AC278" s="561"/>
      <c r="AD278" s="561"/>
      <c r="AE278" s="561"/>
    </row>
    <row r="279" spans="1:31" ht="15.75">
      <c r="A279" s="926" t="s">
        <v>395</v>
      </c>
      <c r="B279" s="926"/>
      <c r="C279" s="927" t="s">
        <v>844</v>
      </c>
      <c r="D279" s="561"/>
      <c r="E279" s="561"/>
      <c r="F279" s="561"/>
      <c r="G279" s="561"/>
      <c r="H279" s="561"/>
      <c r="I279" s="561"/>
      <c r="J279" s="561"/>
      <c r="K279" s="561"/>
      <c r="L279" s="561"/>
      <c r="M279" s="561"/>
      <c r="N279" s="926" t="s">
        <v>395</v>
      </c>
      <c r="O279" s="926"/>
      <c r="P279" s="927" t="s">
        <v>844</v>
      </c>
      <c r="Q279" s="561"/>
      <c r="R279" s="561"/>
      <c r="S279" s="561"/>
      <c r="T279" s="561"/>
      <c r="U279" s="561"/>
      <c r="V279" s="561"/>
      <c r="W279" s="561"/>
      <c r="X279" s="561"/>
      <c r="Y279" s="561"/>
      <c r="Z279" s="561"/>
      <c r="AA279" s="561"/>
      <c r="AB279" s="561"/>
      <c r="AC279" s="561"/>
      <c r="AD279" s="561"/>
      <c r="AE279" s="561"/>
    </row>
    <row r="280" spans="1:31" ht="15.75">
      <c r="A280" s="926" t="s">
        <v>845</v>
      </c>
      <c r="B280" s="926"/>
      <c r="C280" s="927" t="s">
        <v>846</v>
      </c>
      <c r="D280" s="561"/>
      <c r="E280" s="561"/>
      <c r="F280" s="561"/>
      <c r="G280" s="561"/>
      <c r="H280" s="561"/>
      <c r="I280" s="561"/>
      <c r="J280" s="561"/>
      <c r="K280" s="561"/>
      <c r="L280" s="561"/>
      <c r="M280" s="561"/>
      <c r="N280" s="926" t="s">
        <v>845</v>
      </c>
      <c r="O280" s="926"/>
      <c r="P280" s="927" t="s">
        <v>846</v>
      </c>
      <c r="Q280" s="561"/>
      <c r="R280" s="561"/>
      <c r="S280" s="561"/>
      <c r="T280" s="561"/>
      <c r="U280" s="561"/>
      <c r="V280" s="561"/>
      <c r="W280" s="561"/>
      <c r="X280" s="561"/>
      <c r="Y280" s="561"/>
      <c r="Z280" s="561"/>
      <c r="AA280" s="561"/>
      <c r="AB280" s="561"/>
      <c r="AC280" s="561"/>
      <c r="AD280" s="561"/>
      <c r="AE280" s="561"/>
    </row>
    <row r="281" spans="1:31" ht="15.75">
      <c r="A281" s="926" t="s">
        <v>167</v>
      </c>
      <c r="B281" s="926"/>
      <c r="C281" s="927" t="s">
        <v>930</v>
      </c>
      <c r="D281" s="561"/>
      <c r="E281" s="561"/>
      <c r="F281" s="561"/>
      <c r="G281" s="561"/>
      <c r="H281" s="561"/>
      <c r="I281" s="561"/>
      <c r="J281" s="561"/>
      <c r="K281" s="561"/>
      <c r="L281" s="561"/>
      <c r="M281" s="561"/>
      <c r="N281" s="926" t="s">
        <v>167</v>
      </c>
      <c r="O281" s="926"/>
      <c r="P281" s="927" t="s">
        <v>930</v>
      </c>
      <c r="Q281" s="561"/>
      <c r="R281" s="561"/>
      <c r="S281" s="561"/>
      <c r="T281" s="561"/>
      <c r="U281" s="561"/>
      <c r="V281" s="561" t="s">
        <v>134</v>
      </c>
      <c r="W281" s="561" t="s">
        <v>134</v>
      </c>
      <c r="X281" s="561"/>
      <c r="Y281" s="561"/>
      <c r="Z281" s="561"/>
      <c r="AA281" s="561"/>
      <c r="AB281" s="561"/>
      <c r="AC281" s="561"/>
      <c r="AD281" s="561"/>
      <c r="AE281" s="561"/>
    </row>
    <row r="282" spans="1:31" ht="16.5" thickBot="1">
      <c r="A282" s="926"/>
      <c r="B282" s="926"/>
      <c r="C282" s="561"/>
      <c r="D282" s="561"/>
      <c r="E282" s="561"/>
      <c r="F282" s="561"/>
      <c r="G282" s="561"/>
      <c r="H282" s="561"/>
      <c r="I282" s="561"/>
      <c r="J282" s="561"/>
      <c r="K282" s="561"/>
      <c r="L282" s="561"/>
      <c r="M282" s="561"/>
      <c r="N282" s="926"/>
      <c r="O282" s="926"/>
      <c r="P282" s="561"/>
      <c r="Q282" s="561"/>
      <c r="R282" s="561"/>
      <c r="S282" s="561"/>
      <c r="T282" s="561"/>
      <c r="U282" s="561"/>
      <c r="V282" s="561"/>
      <c r="W282" s="561"/>
      <c r="X282" s="561"/>
      <c r="Y282" s="561"/>
      <c r="Z282" s="561"/>
      <c r="AA282" s="561"/>
      <c r="AB282" s="561"/>
      <c r="AC282" s="561"/>
      <c r="AD282" s="561"/>
      <c r="AE282" s="561"/>
    </row>
    <row r="283" spans="1:31" ht="16.5" thickBot="1">
      <c r="A283" s="561" t="s">
        <v>848</v>
      </c>
      <c r="B283" s="928"/>
      <c r="C283" s="561" t="s">
        <v>849</v>
      </c>
      <c r="D283" s="561"/>
      <c r="E283" s="561"/>
      <c r="F283" s="561"/>
      <c r="G283" s="561"/>
      <c r="H283" s="561"/>
      <c r="I283" s="561"/>
      <c r="J283" s="561"/>
      <c r="K283" s="561"/>
      <c r="L283" s="561"/>
      <c r="M283" s="561"/>
      <c r="N283" s="561" t="s">
        <v>848</v>
      </c>
      <c r="O283" s="928"/>
      <c r="P283" s="561" t="s">
        <v>849</v>
      </c>
      <c r="Q283" s="561"/>
      <c r="R283" s="561"/>
      <c r="S283" s="561"/>
      <c r="T283" s="561"/>
      <c r="U283" s="561"/>
      <c r="V283" s="561"/>
      <c r="W283" s="561"/>
      <c r="X283" s="561"/>
      <c r="Y283" s="561"/>
      <c r="Z283" s="561"/>
      <c r="AA283" s="561"/>
      <c r="AB283" s="561"/>
      <c r="AC283" s="561"/>
      <c r="AD283" s="561"/>
      <c r="AE283" s="561"/>
    </row>
    <row r="284" spans="1:31" ht="16.5" thickBot="1">
      <c r="A284" s="561"/>
      <c r="B284" s="561"/>
      <c r="C284" s="561"/>
      <c r="D284" s="561"/>
      <c r="E284" s="561"/>
      <c r="F284" s="561"/>
      <c r="G284" s="561"/>
      <c r="H284" s="561"/>
      <c r="I284" s="561"/>
      <c r="J284" s="561"/>
      <c r="K284" s="561"/>
      <c r="L284" s="561"/>
      <c r="M284" s="561"/>
      <c r="N284" s="561"/>
      <c r="O284" s="561"/>
      <c r="P284" s="926"/>
      <c r="Q284" s="561"/>
      <c r="R284" s="561"/>
      <c r="S284" s="561"/>
      <c r="T284" s="561"/>
      <c r="U284" s="561"/>
      <c r="V284" s="561"/>
      <c r="W284" s="561"/>
      <c r="X284" s="561"/>
      <c r="Y284" s="561"/>
      <c r="Z284" s="561"/>
      <c r="AA284" s="561"/>
      <c r="AB284" s="561"/>
      <c r="AC284" s="561"/>
      <c r="AD284" s="561"/>
      <c r="AE284" s="561"/>
    </row>
    <row r="285" spans="1:31" ht="16.5" customHeight="1" thickBot="1">
      <c r="A285" s="1454" t="s">
        <v>850</v>
      </c>
      <c r="B285" s="1464"/>
      <c r="C285" s="1455"/>
      <c r="D285" s="1454" t="s">
        <v>851</v>
      </c>
      <c r="E285" s="1464"/>
      <c r="F285" s="1455"/>
      <c r="G285" s="1466" t="s">
        <v>852</v>
      </c>
      <c r="H285" s="1466" t="s">
        <v>667</v>
      </c>
      <c r="I285" s="1466" t="s">
        <v>668</v>
      </c>
      <c r="J285" s="1454" t="s">
        <v>676</v>
      </c>
      <c r="K285" s="1455"/>
      <c r="L285" s="1454" t="s">
        <v>677</v>
      </c>
      <c r="M285" s="1455"/>
      <c r="N285" s="1486" t="s">
        <v>850</v>
      </c>
      <c r="O285" s="1487"/>
      <c r="P285" s="1488"/>
      <c r="Q285" s="1486" t="s">
        <v>965</v>
      </c>
      <c r="R285" s="1487"/>
      <c r="S285" s="1488"/>
      <c r="T285" s="1466" t="s">
        <v>966</v>
      </c>
      <c r="U285" s="1489" t="s">
        <v>669</v>
      </c>
      <c r="V285" s="1490"/>
      <c r="W285" s="1490"/>
      <c r="X285" s="1490"/>
      <c r="Y285" s="1490"/>
      <c r="Z285" s="1490"/>
      <c r="AA285" s="1490"/>
      <c r="AB285" s="1490"/>
      <c r="AC285" s="1490"/>
      <c r="AD285" s="1490"/>
      <c r="AE285" s="1491"/>
    </row>
    <row r="286" spans="1:31" ht="16.5" customHeight="1" thickBot="1">
      <c r="A286" s="1456"/>
      <c r="B286" s="1465"/>
      <c r="C286" s="1457"/>
      <c r="D286" s="1456"/>
      <c r="E286" s="1465"/>
      <c r="F286" s="1457"/>
      <c r="G286" s="1467"/>
      <c r="H286" s="1467"/>
      <c r="I286" s="1467"/>
      <c r="J286" s="1456"/>
      <c r="K286" s="1457"/>
      <c r="L286" s="1456"/>
      <c r="M286" s="1457"/>
      <c r="N286" s="1466" t="s">
        <v>853</v>
      </c>
      <c r="O286" s="1466" t="s">
        <v>854</v>
      </c>
      <c r="P286" s="1466" t="s">
        <v>855</v>
      </c>
      <c r="Q286" s="1466" t="s">
        <v>967</v>
      </c>
      <c r="R286" s="1466" t="s">
        <v>857</v>
      </c>
      <c r="S286" s="1466" t="s">
        <v>968</v>
      </c>
      <c r="T286" s="1467"/>
      <c r="U286" s="1466" t="s">
        <v>670</v>
      </c>
      <c r="V286" s="1489" t="s">
        <v>678</v>
      </c>
      <c r="W286" s="1492"/>
      <c r="X286" s="1489" t="s">
        <v>679</v>
      </c>
      <c r="Y286" s="1492"/>
      <c r="Z286" s="1489" t="s">
        <v>680</v>
      </c>
      <c r="AA286" s="1491"/>
      <c r="AB286" s="1489" t="s">
        <v>681</v>
      </c>
      <c r="AC286" s="1491"/>
      <c r="AD286" s="1489" t="s">
        <v>671</v>
      </c>
      <c r="AE286" s="1491"/>
    </row>
    <row r="287" spans="1:31" ht="63.75" thickBot="1">
      <c r="A287" s="988" t="s">
        <v>853</v>
      </c>
      <c r="B287" s="988" t="s">
        <v>854</v>
      </c>
      <c r="C287" s="988" t="s">
        <v>855</v>
      </c>
      <c r="D287" s="988" t="s">
        <v>856</v>
      </c>
      <c r="E287" s="988" t="s">
        <v>857</v>
      </c>
      <c r="F287" s="988" t="s">
        <v>388</v>
      </c>
      <c r="G287" s="1467"/>
      <c r="H287" s="1467"/>
      <c r="I287" s="1467"/>
      <c r="J287" s="989" t="s">
        <v>672</v>
      </c>
      <c r="K287" s="989" t="s">
        <v>673</v>
      </c>
      <c r="L287" s="989" t="s">
        <v>672</v>
      </c>
      <c r="M287" s="989" t="s">
        <v>673</v>
      </c>
      <c r="N287" s="1468"/>
      <c r="O287" s="1468"/>
      <c r="P287" s="1468"/>
      <c r="Q287" s="1468"/>
      <c r="R287" s="1468"/>
      <c r="S287" s="1468"/>
      <c r="T287" s="1468"/>
      <c r="U287" s="1468"/>
      <c r="V287" s="1036" t="s">
        <v>672</v>
      </c>
      <c r="W287" s="1037" t="s">
        <v>673</v>
      </c>
      <c r="X287" s="1036" t="s">
        <v>672</v>
      </c>
      <c r="Y287" s="1037" t="s">
        <v>673</v>
      </c>
      <c r="Z287" s="1038" t="s">
        <v>674</v>
      </c>
      <c r="AA287" s="1038" t="s">
        <v>675</v>
      </c>
      <c r="AB287" s="1038" t="s">
        <v>674</v>
      </c>
      <c r="AC287" s="1038" t="s">
        <v>675</v>
      </c>
      <c r="AD287" s="1038" t="s">
        <v>674</v>
      </c>
      <c r="AE287" s="1038" t="s">
        <v>675</v>
      </c>
    </row>
    <row r="288" spans="1:31" ht="29.25" thickBot="1">
      <c r="A288" s="937" t="s">
        <v>493</v>
      </c>
      <c r="B288" s="937" t="s">
        <v>494</v>
      </c>
      <c r="C288" s="937" t="s">
        <v>527</v>
      </c>
      <c r="D288" s="937" t="s">
        <v>549</v>
      </c>
      <c r="E288" s="937" t="s">
        <v>551</v>
      </c>
      <c r="F288" s="937" t="s">
        <v>563</v>
      </c>
      <c r="G288" s="937" t="s">
        <v>858</v>
      </c>
      <c r="H288" s="937" t="s">
        <v>567</v>
      </c>
      <c r="I288" s="937" t="s">
        <v>569</v>
      </c>
      <c r="J288" s="937" t="s">
        <v>571</v>
      </c>
      <c r="K288" s="937" t="s">
        <v>573</v>
      </c>
      <c r="L288" s="937" t="s">
        <v>575</v>
      </c>
      <c r="M288" s="937" t="s">
        <v>579</v>
      </c>
      <c r="N288" s="1039" t="s">
        <v>493</v>
      </c>
      <c r="O288" s="1039" t="s">
        <v>494</v>
      </c>
      <c r="P288" s="1039" t="s">
        <v>527</v>
      </c>
      <c r="Q288" s="1039" t="s">
        <v>549</v>
      </c>
      <c r="R288" s="1039" t="s">
        <v>551</v>
      </c>
      <c r="S288" s="1039" t="s">
        <v>563</v>
      </c>
      <c r="T288" s="1040" t="s">
        <v>969</v>
      </c>
      <c r="U288" s="1039" t="s">
        <v>567</v>
      </c>
      <c r="V288" s="1039" t="s">
        <v>569</v>
      </c>
      <c r="W288" s="1039" t="s">
        <v>571</v>
      </c>
      <c r="X288" s="1039" t="s">
        <v>573</v>
      </c>
      <c r="Y288" s="1039" t="s">
        <v>575</v>
      </c>
      <c r="Z288" s="1039" t="s">
        <v>579</v>
      </c>
      <c r="AA288" s="1039" t="s">
        <v>970</v>
      </c>
      <c r="AB288" s="1039" t="s">
        <v>971</v>
      </c>
      <c r="AC288" s="1039" t="s">
        <v>972</v>
      </c>
      <c r="AD288" s="1039" t="s">
        <v>973</v>
      </c>
      <c r="AE288" s="1039" t="s">
        <v>974</v>
      </c>
    </row>
    <row r="289" spans="1:31" ht="15.75">
      <c r="A289" s="990">
        <v>54</v>
      </c>
      <c r="B289" s="991">
        <v>72646134</v>
      </c>
      <c r="C289" s="991" t="s">
        <v>931</v>
      </c>
      <c r="D289" s="991" t="s">
        <v>860</v>
      </c>
      <c r="E289" s="991" t="s">
        <v>861</v>
      </c>
      <c r="F289" s="991" t="s">
        <v>862</v>
      </c>
      <c r="G289" s="992">
        <v>296000</v>
      </c>
      <c r="H289" s="992">
        <v>296000</v>
      </c>
      <c r="I289" s="991"/>
      <c r="J289" s="991"/>
      <c r="K289" s="991"/>
      <c r="L289" s="991"/>
      <c r="M289" s="993"/>
      <c r="N289" s="1062">
        <v>8</v>
      </c>
      <c r="O289" s="1080" t="s">
        <v>1038</v>
      </c>
      <c r="P289" s="1063">
        <v>41008</v>
      </c>
      <c r="Q289" s="958" t="s">
        <v>975</v>
      </c>
      <c r="R289" s="958" t="s">
        <v>976</v>
      </c>
      <c r="S289" s="958" t="s">
        <v>977</v>
      </c>
      <c r="T289" s="1051">
        <v>13237.67</v>
      </c>
      <c r="U289" s="1052">
        <v>13237.67</v>
      </c>
      <c r="V289" s="1052"/>
      <c r="W289" s="1052"/>
      <c r="X289" s="1051"/>
      <c r="Y289" s="1051"/>
      <c r="Z289" s="1064"/>
      <c r="AA289" s="1051"/>
      <c r="AB289" s="1051"/>
      <c r="AC289" s="1051"/>
      <c r="AD289" s="1051"/>
      <c r="AE289" s="1065"/>
    </row>
    <row r="290" spans="1:31" ht="15.75">
      <c r="A290" s="994">
        <v>55</v>
      </c>
      <c r="B290" s="995">
        <v>72646135</v>
      </c>
      <c r="C290" s="995" t="s">
        <v>931</v>
      </c>
      <c r="D290" s="991" t="s">
        <v>860</v>
      </c>
      <c r="E290" s="991" t="s">
        <v>861</v>
      </c>
      <c r="F290" s="991" t="s">
        <v>862</v>
      </c>
      <c r="G290" s="996">
        <v>280000</v>
      </c>
      <c r="H290" s="996">
        <v>280000</v>
      </c>
      <c r="I290" s="995"/>
      <c r="J290" s="995"/>
      <c r="K290" s="995"/>
      <c r="L290" s="995"/>
      <c r="M290" s="997"/>
      <c r="N290" s="960">
        <v>5636</v>
      </c>
      <c r="O290" s="1005" t="s">
        <v>1039</v>
      </c>
      <c r="P290" s="1067" t="s">
        <v>1040</v>
      </c>
      <c r="Q290" s="960" t="s">
        <v>1004</v>
      </c>
      <c r="R290" s="960" t="s">
        <v>861</v>
      </c>
      <c r="S290" s="960" t="s">
        <v>1005</v>
      </c>
      <c r="T290" s="1056">
        <v>61940</v>
      </c>
      <c r="U290" s="1057">
        <v>61940</v>
      </c>
      <c r="V290" s="1057"/>
      <c r="W290" s="1057"/>
      <c r="X290" s="1056"/>
      <c r="Y290" s="1056"/>
      <c r="Z290" s="1068"/>
      <c r="AA290" s="1056"/>
      <c r="AB290" s="1056"/>
      <c r="AC290" s="1056"/>
      <c r="AD290" s="1056"/>
      <c r="AE290" s="1069"/>
    </row>
    <row r="291" spans="1:31" ht="15.75">
      <c r="A291" s="994">
        <v>85</v>
      </c>
      <c r="B291" s="982" t="s">
        <v>932</v>
      </c>
      <c r="C291" s="995" t="s">
        <v>931</v>
      </c>
      <c r="D291" s="995" t="s">
        <v>864</v>
      </c>
      <c r="E291" s="991" t="s">
        <v>861</v>
      </c>
      <c r="F291" s="991" t="s">
        <v>862</v>
      </c>
      <c r="G291" s="996">
        <v>296000</v>
      </c>
      <c r="H291" s="996">
        <v>296000</v>
      </c>
      <c r="I291" s="995"/>
      <c r="J291" s="995"/>
      <c r="K291" s="995"/>
      <c r="L291" s="995"/>
      <c r="M291" s="997"/>
      <c r="N291" s="960">
        <v>5649</v>
      </c>
      <c r="O291" s="1005" t="s">
        <v>1041</v>
      </c>
      <c r="P291" s="1067" t="s">
        <v>1042</v>
      </c>
      <c r="Q291" s="960" t="s">
        <v>1004</v>
      </c>
      <c r="R291" s="960" t="s">
        <v>861</v>
      </c>
      <c r="S291" s="960" t="s">
        <v>1005</v>
      </c>
      <c r="T291" s="1056">
        <v>19570</v>
      </c>
      <c r="U291" s="1057">
        <v>19570</v>
      </c>
      <c r="V291" s="1057"/>
      <c r="W291" s="1057"/>
      <c r="X291" s="1056"/>
      <c r="Y291" s="1056"/>
      <c r="Z291" s="1068"/>
      <c r="AA291" s="1056"/>
      <c r="AB291" s="1056"/>
      <c r="AC291" s="1056"/>
      <c r="AD291" s="1056"/>
      <c r="AE291" s="1069"/>
    </row>
    <row r="292" spans="1:31" ht="16.5" thickBot="1">
      <c r="A292" s="998">
        <v>86</v>
      </c>
      <c r="B292" s="982" t="s">
        <v>933</v>
      </c>
      <c r="C292" s="999" t="s">
        <v>931</v>
      </c>
      <c r="D292" s="995" t="s">
        <v>864</v>
      </c>
      <c r="E292" s="991" t="s">
        <v>861</v>
      </c>
      <c r="F292" s="991" t="s">
        <v>862</v>
      </c>
      <c r="G292" s="1000">
        <v>280000</v>
      </c>
      <c r="H292" s="1000">
        <v>280000</v>
      </c>
      <c r="I292" s="1001"/>
      <c r="J292" s="1001"/>
      <c r="K292" s="1001"/>
      <c r="L292" s="1001"/>
      <c r="M292" s="1002"/>
      <c r="N292" s="1081">
        <v>5668</v>
      </c>
      <c r="O292" s="982" t="s">
        <v>1043</v>
      </c>
      <c r="P292" s="1072" t="s">
        <v>931</v>
      </c>
      <c r="Q292" s="960" t="s">
        <v>1004</v>
      </c>
      <c r="R292" s="960" t="s">
        <v>861</v>
      </c>
      <c r="S292" s="960" t="s">
        <v>1005</v>
      </c>
      <c r="T292" s="1073">
        <v>18620</v>
      </c>
      <c r="U292" s="1074">
        <v>18620</v>
      </c>
      <c r="V292" s="1074"/>
      <c r="W292" s="1074"/>
      <c r="X292" s="1073"/>
      <c r="Y292" s="1073"/>
      <c r="Z292" s="1075"/>
      <c r="AA292" s="1073"/>
      <c r="AB292" s="1073"/>
      <c r="AC292" s="1073"/>
      <c r="AD292" s="1073"/>
      <c r="AE292" s="1076"/>
    </row>
    <row r="293" spans="1:31" ht="16.5" thickBot="1">
      <c r="A293" s="1469" t="s">
        <v>866</v>
      </c>
      <c r="B293" s="1470"/>
      <c r="C293" s="1470"/>
      <c r="D293" s="1470"/>
      <c r="E293" s="1470"/>
      <c r="F293" s="1471"/>
      <c r="G293" s="979">
        <f>SUM(G289:G292)</f>
        <v>1152000</v>
      </c>
      <c r="H293" s="979">
        <f>SUM(H289:H292)</f>
        <v>1152000</v>
      </c>
      <c r="I293" s="947"/>
      <c r="J293" s="947"/>
      <c r="K293" s="948"/>
      <c r="L293" s="949"/>
      <c r="M293" s="950"/>
      <c r="N293" s="1458" t="s">
        <v>866</v>
      </c>
      <c r="O293" s="1459"/>
      <c r="P293" s="1459"/>
      <c r="Q293" s="1459"/>
      <c r="R293" s="1459"/>
      <c r="S293" s="1460"/>
      <c r="T293" s="947">
        <f>SUM(T289:T292)</f>
        <v>113367.67</v>
      </c>
      <c r="U293" s="947">
        <f>SUM(U289:U292)</f>
        <v>113367.67</v>
      </c>
      <c r="V293" s="947"/>
      <c r="W293" s="947"/>
      <c r="X293" s="949"/>
      <c r="Y293" s="949"/>
      <c r="Z293" s="949"/>
      <c r="AA293" s="949"/>
      <c r="AB293" s="949"/>
      <c r="AC293" s="949"/>
      <c r="AD293" s="949"/>
      <c r="AE293" s="950"/>
    </row>
    <row r="294" spans="1:31" ht="16.5" thickBot="1">
      <c r="A294" s="1472" t="s">
        <v>867</v>
      </c>
      <c r="B294" s="1473"/>
      <c r="C294" s="1473"/>
      <c r="D294" s="1473"/>
      <c r="E294" s="1473"/>
      <c r="F294" s="1473"/>
      <c r="G294" s="1474"/>
      <c r="H294" s="980" t="s">
        <v>868</v>
      </c>
      <c r="I294" s="980" t="s">
        <v>869</v>
      </c>
      <c r="J294" s="980" t="s">
        <v>870</v>
      </c>
      <c r="K294" s="980" t="s">
        <v>871</v>
      </c>
      <c r="L294" s="980" t="s">
        <v>872</v>
      </c>
      <c r="M294" s="980" t="s">
        <v>873</v>
      </c>
      <c r="N294" s="1472" t="s">
        <v>867</v>
      </c>
      <c r="O294" s="1473"/>
      <c r="P294" s="1473"/>
      <c r="Q294" s="1473"/>
      <c r="R294" s="1473"/>
      <c r="S294" s="1473"/>
      <c r="T294" s="1474"/>
      <c r="U294" s="980" t="s">
        <v>980</v>
      </c>
      <c r="V294" s="980" t="s">
        <v>981</v>
      </c>
      <c r="W294" s="980" t="s">
        <v>982</v>
      </c>
      <c r="X294" s="980" t="s">
        <v>983</v>
      </c>
      <c r="Y294" s="980" t="s">
        <v>984</v>
      </c>
      <c r="Z294" s="980" t="s">
        <v>985</v>
      </c>
      <c r="AA294" s="980" t="s">
        <v>986</v>
      </c>
      <c r="AB294" s="980" t="s">
        <v>987</v>
      </c>
      <c r="AC294" s="980" t="s">
        <v>988</v>
      </c>
      <c r="AD294" s="980" t="s">
        <v>989</v>
      </c>
      <c r="AE294" s="980" t="s">
        <v>990</v>
      </c>
    </row>
    <row r="295" spans="1:31" ht="15.75">
      <c r="A295" s="561"/>
      <c r="B295" s="561"/>
      <c r="C295" s="561"/>
      <c r="D295" s="561"/>
      <c r="E295" s="561"/>
      <c r="F295" s="561"/>
      <c r="G295" s="561"/>
      <c r="H295" s="561"/>
      <c r="I295" s="561"/>
      <c r="J295" s="561"/>
      <c r="K295" s="561"/>
      <c r="L295" s="561"/>
      <c r="M295" s="561"/>
      <c r="N295" s="561"/>
      <c r="O295" s="561"/>
      <c r="P295" s="561"/>
      <c r="Q295" s="561"/>
      <c r="R295" s="561"/>
      <c r="S295" s="561"/>
      <c r="T295" s="561"/>
      <c r="U295" s="561"/>
      <c r="V295" s="561"/>
      <c r="W295" s="561"/>
      <c r="X295" s="561"/>
      <c r="Y295" s="561"/>
      <c r="Z295" s="561"/>
      <c r="AA295" s="561"/>
      <c r="AB295" s="561"/>
      <c r="AC295" s="561"/>
      <c r="AD295" s="561"/>
      <c r="AE295" s="561"/>
    </row>
    <row r="296" spans="1:31" ht="15.75">
      <c r="A296" s="561"/>
      <c r="B296" s="561"/>
      <c r="C296" s="561"/>
      <c r="D296" s="561"/>
      <c r="E296" s="561"/>
      <c r="F296" s="561"/>
      <c r="G296" s="952"/>
      <c r="H296" s="561"/>
      <c r="I296" s="561"/>
      <c r="J296" s="561"/>
      <c r="K296" s="952"/>
      <c r="L296" s="561"/>
      <c r="M296" s="561"/>
      <c r="N296" s="561"/>
      <c r="O296" s="561"/>
      <c r="P296" s="561"/>
      <c r="Q296" s="561"/>
      <c r="R296" s="561"/>
      <c r="S296" s="561"/>
      <c r="T296" s="561"/>
      <c r="U296" s="561"/>
      <c r="V296" s="561"/>
      <c r="W296" s="561"/>
      <c r="X296" s="561"/>
      <c r="Y296" s="561"/>
      <c r="Z296" s="561"/>
      <c r="AA296" s="561"/>
      <c r="AB296" s="561"/>
      <c r="AC296" s="561"/>
      <c r="AD296" s="561"/>
      <c r="AE296" s="561"/>
    </row>
    <row r="297" spans="1:31" ht="15.75">
      <c r="A297" s="561"/>
      <c r="B297" s="561"/>
      <c r="C297" s="561"/>
      <c r="D297" s="561" t="s">
        <v>134</v>
      </c>
      <c r="E297" s="561"/>
      <c r="F297" s="561"/>
      <c r="G297" s="561"/>
      <c r="H297" s="561"/>
      <c r="I297" s="561"/>
      <c r="J297" s="953" t="s">
        <v>874</v>
      </c>
      <c r="K297" s="561"/>
      <c r="L297" s="561"/>
      <c r="M297" s="561"/>
      <c r="N297" s="561"/>
      <c r="O297" s="561"/>
      <c r="P297" s="561"/>
      <c r="Q297" s="561"/>
      <c r="R297" s="561"/>
      <c r="S297" s="561"/>
      <c r="T297" s="561"/>
      <c r="U297" s="561"/>
      <c r="V297" s="561"/>
      <c r="W297" s="561"/>
      <c r="X297" s="561"/>
      <c r="Y297" s="561"/>
      <c r="Z297" s="561"/>
      <c r="AA297" s="561"/>
      <c r="AB297" s="561"/>
      <c r="AC297" s="561"/>
      <c r="AD297" s="953" t="s">
        <v>991</v>
      </c>
      <c r="AE297" s="561"/>
    </row>
    <row r="298" spans="1:31" ht="15.75">
      <c r="A298" s="561"/>
      <c r="B298" s="561"/>
      <c r="C298" s="561"/>
      <c r="D298" s="561"/>
      <c r="E298" s="561"/>
      <c r="F298" s="561"/>
      <c r="G298" s="561"/>
      <c r="H298" s="561"/>
      <c r="I298" s="561"/>
      <c r="J298" s="561" t="s">
        <v>875</v>
      </c>
      <c r="K298" s="561"/>
      <c r="L298" s="561"/>
      <c r="M298" s="561"/>
      <c r="N298" s="561"/>
      <c r="O298" s="561"/>
      <c r="P298" s="561"/>
      <c r="Q298" s="561"/>
      <c r="R298" s="561"/>
      <c r="S298" s="561"/>
      <c r="T298" s="561"/>
      <c r="U298" s="561"/>
      <c r="V298" s="561"/>
      <c r="W298" s="561"/>
      <c r="X298" s="561"/>
      <c r="Y298" s="561"/>
      <c r="Z298" s="561"/>
      <c r="AA298" s="561"/>
      <c r="AB298" s="561"/>
      <c r="AC298" s="561" t="s">
        <v>992</v>
      </c>
      <c r="AD298" s="953"/>
      <c r="AE298" s="561"/>
    </row>
    <row r="299" spans="1:31" ht="15.75">
      <c r="A299" s="561" t="s">
        <v>876</v>
      </c>
      <c r="B299" s="561"/>
      <c r="C299" s="561"/>
      <c r="D299" s="561"/>
      <c r="E299" s="561"/>
      <c r="F299" s="561"/>
      <c r="G299" s="561"/>
      <c r="H299" s="561"/>
      <c r="I299" s="561"/>
      <c r="J299" s="561"/>
      <c r="K299" s="954"/>
      <c r="L299" s="561"/>
      <c r="M299" s="561"/>
      <c r="N299" s="561" t="s">
        <v>876</v>
      </c>
      <c r="O299" s="561"/>
      <c r="P299" s="561"/>
      <c r="Q299" s="561"/>
      <c r="R299" s="561"/>
      <c r="S299" s="561"/>
      <c r="T299" s="561"/>
      <c r="U299" s="561"/>
      <c r="V299" s="561"/>
      <c r="W299" s="561"/>
      <c r="X299" s="561"/>
      <c r="Y299" s="561"/>
      <c r="Z299" s="561"/>
      <c r="AA299" s="561"/>
      <c r="AB299" s="561"/>
      <c r="AC299" s="561"/>
      <c r="AD299" s="561"/>
      <c r="AE299" s="561"/>
    </row>
    <row r="300" spans="1:31" ht="15.75">
      <c r="A300" s="561" t="s">
        <v>877</v>
      </c>
      <c r="B300" s="561"/>
      <c r="C300" s="561"/>
      <c r="D300" s="561"/>
      <c r="E300" s="561"/>
      <c r="F300" s="561"/>
      <c r="G300" s="561"/>
      <c r="H300" s="561"/>
      <c r="I300" s="561"/>
      <c r="J300" s="561"/>
      <c r="K300" s="561"/>
      <c r="L300" s="561"/>
      <c r="M300" s="561"/>
      <c r="N300" s="561" t="s">
        <v>877</v>
      </c>
      <c r="O300" s="561"/>
      <c r="P300" s="561"/>
      <c r="Q300" s="561"/>
      <c r="R300" s="561"/>
      <c r="S300" s="561"/>
      <c r="T300" s="561"/>
      <c r="U300" s="561"/>
      <c r="V300" s="561"/>
      <c r="W300" s="561"/>
      <c r="X300" s="561"/>
      <c r="Y300" s="561"/>
      <c r="Z300" s="561"/>
      <c r="AA300" s="561"/>
      <c r="AB300" s="561"/>
      <c r="AC300" s="561"/>
      <c r="AD300" s="561"/>
      <c r="AE300" s="561"/>
    </row>
    <row r="301" spans="1:31" ht="15.75">
      <c r="A301" s="561" t="s">
        <v>878</v>
      </c>
      <c r="B301"/>
      <c r="C301"/>
      <c r="D301"/>
      <c r="E301"/>
      <c r="F301"/>
      <c r="G301"/>
      <c r="H301"/>
      <c r="I301"/>
      <c r="J301"/>
      <c r="K301" s="561"/>
      <c r="L301" s="561"/>
      <c r="M301" s="561"/>
      <c r="N301" s="561" t="s">
        <v>878</v>
      </c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</row>
    <row r="302" spans="1:31" ht="15.75">
      <c r="A302" s="561"/>
      <c r="B302" s="561"/>
      <c r="C302" s="561"/>
      <c r="D302" s="561"/>
      <c r="E302" s="561"/>
      <c r="F302" s="561"/>
      <c r="G302" s="561"/>
      <c r="H302" s="561"/>
      <c r="I302" s="561"/>
      <c r="J302" s="561"/>
      <c r="K302" s="561"/>
      <c r="L302" s="561"/>
      <c r="M302" s="561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</row>
    <row r="303" spans="1:31" ht="15.75">
      <c r="A303" s="561"/>
      <c r="B303" s="561"/>
      <c r="C303" s="561"/>
      <c r="D303" s="561"/>
      <c r="E303" s="561"/>
      <c r="F303" s="561"/>
      <c r="G303" s="561"/>
      <c r="H303" s="561"/>
      <c r="I303" s="561"/>
      <c r="J303" s="561"/>
      <c r="K303" s="561"/>
      <c r="L303" s="561"/>
      <c r="M303" s="561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</row>
    <row r="304" spans="1:31" ht="15.75">
      <c r="A304" s="561"/>
      <c r="B304" s="561"/>
      <c r="C304" s="561"/>
      <c r="D304" s="561"/>
      <c r="E304" s="561"/>
      <c r="F304" s="561"/>
      <c r="G304" s="561"/>
      <c r="H304" s="561"/>
      <c r="I304" s="561"/>
      <c r="J304" s="561"/>
      <c r="K304" s="561"/>
      <c r="L304" s="561"/>
      <c r="M304" s="561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</row>
    <row r="305" spans="1:31" ht="15.75">
      <c r="A305" s="561"/>
      <c r="B305" s="561"/>
      <c r="C305" s="561"/>
      <c r="D305" s="561"/>
      <c r="E305" s="561"/>
      <c r="F305" s="561"/>
      <c r="G305" s="561"/>
      <c r="H305" s="561"/>
      <c r="I305" s="561"/>
      <c r="J305" s="561"/>
      <c r="K305" s="561"/>
      <c r="L305" s="561"/>
      <c r="M305" s="561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</row>
    <row r="306" spans="1:31" ht="15.75">
      <c r="A306" s="561"/>
      <c r="B306" s="561"/>
      <c r="C306" s="561"/>
      <c r="D306" s="561"/>
      <c r="E306" s="561"/>
      <c r="F306" s="561"/>
      <c r="G306" s="561"/>
      <c r="H306" s="561"/>
      <c r="I306" s="561"/>
      <c r="J306" s="561"/>
      <c r="K306" s="561"/>
      <c r="L306" s="561"/>
      <c r="M306" s="561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</row>
    <row r="307" spans="1:31" ht="15.75">
      <c r="A307" s="561"/>
      <c r="B307" s="561"/>
      <c r="C307" s="561"/>
      <c r="D307" s="561"/>
      <c r="E307" s="561"/>
      <c r="F307" s="561"/>
      <c r="G307" s="561"/>
      <c r="H307" s="561"/>
      <c r="I307" s="561"/>
      <c r="J307" s="561"/>
      <c r="K307" s="561"/>
      <c r="L307" s="561"/>
      <c r="M307" s="561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</row>
    <row r="308" spans="1:31" ht="15.75">
      <c r="A308" s="561"/>
      <c r="B308" s="561"/>
      <c r="C308" s="561"/>
      <c r="D308" s="561"/>
      <c r="E308" s="561"/>
      <c r="F308" s="561"/>
      <c r="G308" s="561"/>
      <c r="H308" s="561"/>
      <c r="I308" s="561"/>
      <c r="J308" s="561"/>
      <c r="K308" s="561"/>
      <c r="L308" s="561"/>
      <c r="M308" s="561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</row>
    <row r="309" spans="1:31" ht="15.75">
      <c r="A309" s="561"/>
      <c r="B309" s="561"/>
      <c r="C309" s="561"/>
      <c r="D309" s="561"/>
      <c r="E309" s="561"/>
      <c r="F309" s="561"/>
      <c r="G309" s="561"/>
      <c r="H309" s="561"/>
      <c r="I309" s="561"/>
      <c r="J309" s="561"/>
      <c r="K309" s="561"/>
      <c r="L309" s="561"/>
      <c r="M309" s="561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</row>
    <row r="310" spans="1:31" ht="15.75">
      <c r="A310" s="561"/>
      <c r="B310" s="561"/>
      <c r="C310" s="561"/>
      <c r="D310" s="561"/>
      <c r="E310" s="561"/>
      <c r="F310" s="561"/>
      <c r="G310" s="561"/>
      <c r="H310" s="561"/>
      <c r="I310" s="561"/>
      <c r="J310" s="561"/>
      <c r="K310" s="561"/>
      <c r="L310" s="561"/>
      <c r="M310" s="561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</row>
    <row r="311" spans="1:31">
      <c r="A311" s="925" t="s">
        <v>841</v>
      </c>
      <c r="B311" s="561"/>
      <c r="C311" s="561"/>
      <c r="D311" s="561"/>
      <c r="E311" s="561"/>
      <c r="F311" s="561"/>
      <c r="G311" s="561"/>
      <c r="H311" s="561"/>
      <c r="I311" s="561"/>
      <c r="J311" s="561"/>
      <c r="K311" s="561"/>
      <c r="L311" s="561"/>
      <c r="M311" s="561"/>
      <c r="N311" s="925" t="s">
        <v>964</v>
      </c>
      <c r="O311" s="561"/>
      <c r="P311" s="561"/>
      <c r="Q311" s="561"/>
      <c r="R311" s="561"/>
      <c r="S311" s="561"/>
      <c r="T311" s="561"/>
      <c r="U311" s="561"/>
      <c r="V311" s="561"/>
      <c r="W311" s="561"/>
      <c r="X311" s="561"/>
      <c r="Y311" s="561"/>
      <c r="Z311" s="561"/>
      <c r="AA311" s="561"/>
      <c r="AB311" s="561"/>
      <c r="AC311" s="561"/>
      <c r="AD311" s="561"/>
      <c r="AE311" s="561"/>
    </row>
    <row r="312" spans="1:31" ht="15.75">
      <c r="A312" s="926" t="s">
        <v>842</v>
      </c>
      <c r="B312" s="926"/>
      <c r="C312" s="927" t="s">
        <v>843</v>
      </c>
      <c r="D312" s="561"/>
      <c r="E312" s="561"/>
      <c r="F312" s="561"/>
      <c r="G312" s="561"/>
      <c r="H312" s="561"/>
      <c r="I312" s="561"/>
      <c r="J312" s="561"/>
      <c r="K312" s="561"/>
      <c r="L312" s="561"/>
      <c r="M312" s="561"/>
      <c r="N312" s="926" t="s">
        <v>842</v>
      </c>
      <c r="O312" s="926"/>
      <c r="P312" s="927" t="s">
        <v>843</v>
      </c>
      <c r="Q312" s="561"/>
      <c r="R312" s="561"/>
      <c r="S312" s="561"/>
      <c r="T312" s="561"/>
      <c r="U312" s="561"/>
      <c r="V312" s="561"/>
      <c r="W312" s="561"/>
      <c r="X312" s="561"/>
      <c r="Y312" s="561"/>
      <c r="Z312" s="561"/>
      <c r="AA312" s="561"/>
      <c r="AB312" s="561"/>
      <c r="AC312" s="561"/>
      <c r="AD312" s="561"/>
      <c r="AE312" s="561"/>
    </row>
    <row r="313" spans="1:31" ht="15.75">
      <c r="A313" s="926" t="s">
        <v>395</v>
      </c>
      <c r="B313" s="926"/>
      <c r="C313" s="927" t="s">
        <v>844</v>
      </c>
      <c r="D313" s="561"/>
      <c r="E313" s="561"/>
      <c r="F313" s="561"/>
      <c r="G313" s="561"/>
      <c r="H313" s="561"/>
      <c r="I313" s="561"/>
      <c r="J313" s="561"/>
      <c r="K313" s="561"/>
      <c r="L313" s="561"/>
      <c r="M313" s="561"/>
      <c r="N313" s="926" t="s">
        <v>395</v>
      </c>
      <c r="O313" s="926"/>
      <c r="P313" s="927" t="s">
        <v>844</v>
      </c>
      <c r="Q313" s="561"/>
      <c r="R313" s="561"/>
      <c r="S313" s="561"/>
      <c r="T313" s="561"/>
      <c r="U313" s="561"/>
      <c r="V313" s="561"/>
      <c r="W313" s="561"/>
      <c r="X313" s="561"/>
      <c r="Y313" s="561"/>
      <c r="Z313" s="561"/>
      <c r="AA313" s="561"/>
      <c r="AB313" s="561"/>
      <c r="AC313" s="561"/>
      <c r="AD313" s="561"/>
      <c r="AE313" s="561"/>
    </row>
    <row r="314" spans="1:31" ht="15.75">
      <c r="A314" s="926" t="s">
        <v>845</v>
      </c>
      <c r="B314" s="926"/>
      <c r="C314" s="927" t="s">
        <v>846</v>
      </c>
      <c r="D314" s="561"/>
      <c r="E314" s="561"/>
      <c r="F314" s="561"/>
      <c r="G314" s="561"/>
      <c r="H314" s="561"/>
      <c r="I314" s="561"/>
      <c r="J314" s="561"/>
      <c r="K314" s="561"/>
      <c r="L314" s="561"/>
      <c r="M314" s="561"/>
      <c r="N314" s="926" t="s">
        <v>845</v>
      </c>
      <c r="O314" s="926"/>
      <c r="P314" s="927" t="s">
        <v>846</v>
      </c>
      <c r="Q314" s="561"/>
      <c r="R314" s="561"/>
      <c r="S314" s="561"/>
      <c r="T314" s="561"/>
      <c r="U314" s="561"/>
      <c r="V314" s="561"/>
      <c r="W314" s="561"/>
      <c r="X314" s="561"/>
      <c r="Y314" s="561"/>
      <c r="Z314" s="561"/>
      <c r="AA314" s="561"/>
      <c r="AB314" s="561"/>
      <c r="AC314" s="561"/>
      <c r="AD314" s="561"/>
      <c r="AE314" s="561"/>
    </row>
    <row r="315" spans="1:31" ht="15.75">
      <c r="A315" s="926" t="s">
        <v>167</v>
      </c>
      <c r="B315" s="926"/>
      <c r="C315" s="927" t="s">
        <v>934</v>
      </c>
      <c r="D315" s="561"/>
      <c r="E315" s="561"/>
      <c r="F315" s="561"/>
      <c r="G315" s="561"/>
      <c r="H315" s="561"/>
      <c r="I315" s="561"/>
      <c r="J315" s="561"/>
      <c r="K315" s="561"/>
      <c r="L315" s="561"/>
      <c r="M315" s="561"/>
      <c r="N315" s="926" t="s">
        <v>167</v>
      </c>
      <c r="O315" s="926"/>
      <c r="P315" s="927" t="s">
        <v>934</v>
      </c>
      <c r="Q315" s="561"/>
      <c r="R315" s="561"/>
      <c r="S315" s="561"/>
      <c r="T315" s="561"/>
      <c r="U315" s="561"/>
      <c r="V315" s="561" t="s">
        <v>134</v>
      </c>
      <c r="W315" s="561" t="s">
        <v>134</v>
      </c>
      <c r="X315" s="561"/>
      <c r="Y315" s="561"/>
      <c r="Z315" s="561"/>
      <c r="AA315" s="561"/>
      <c r="AB315" s="561"/>
      <c r="AC315" s="561"/>
      <c r="AD315" s="561"/>
      <c r="AE315" s="561"/>
    </row>
    <row r="316" spans="1:31" ht="16.5" thickBot="1">
      <c r="A316" s="926"/>
      <c r="B316" s="926"/>
      <c r="C316" s="561"/>
      <c r="D316" s="561"/>
      <c r="E316" s="561"/>
      <c r="F316" s="561"/>
      <c r="G316" s="561"/>
      <c r="H316" s="561"/>
      <c r="I316" s="561"/>
      <c r="J316" s="561"/>
      <c r="K316" s="561"/>
      <c r="L316" s="561"/>
      <c r="M316" s="561"/>
      <c r="N316" s="926"/>
      <c r="O316" s="926"/>
      <c r="P316" s="561"/>
      <c r="Q316" s="561"/>
      <c r="R316" s="561"/>
      <c r="S316" s="561"/>
      <c r="T316" s="561"/>
      <c r="U316" s="561"/>
      <c r="V316" s="561"/>
      <c r="W316" s="561"/>
      <c r="X316" s="561"/>
      <c r="Y316" s="561"/>
      <c r="Z316" s="561"/>
      <c r="AA316" s="561"/>
      <c r="AB316" s="561"/>
      <c r="AC316" s="561"/>
      <c r="AD316" s="561"/>
      <c r="AE316" s="561"/>
    </row>
    <row r="317" spans="1:31" ht="16.5" thickBot="1">
      <c r="A317" s="561" t="s">
        <v>848</v>
      </c>
      <c r="B317" s="928"/>
      <c r="C317" s="561" t="s">
        <v>849</v>
      </c>
      <c r="D317" s="561"/>
      <c r="E317" s="561"/>
      <c r="F317" s="561"/>
      <c r="G317" s="561"/>
      <c r="H317" s="561"/>
      <c r="I317" s="561"/>
      <c r="J317" s="561"/>
      <c r="K317" s="561"/>
      <c r="L317" s="561"/>
      <c r="M317" s="561"/>
      <c r="N317" s="561" t="s">
        <v>848</v>
      </c>
      <c r="O317" s="928"/>
      <c r="P317" s="561" t="s">
        <v>849</v>
      </c>
      <c r="Q317" s="561"/>
      <c r="R317" s="561"/>
      <c r="S317" s="561"/>
      <c r="T317" s="561"/>
      <c r="U317" s="561"/>
      <c r="V317" s="561"/>
      <c r="W317" s="561"/>
      <c r="X317" s="561"/>
      <c r="Y317" s="561"/>
      <c r="Z317" s="561"/>
      <c r="AA317" s="561"/>
      <c r="AB317" s="561"/>
      <c r="AC317" s="561"/>
      <c r="AD317" s="561"/>
      <c r="AE317" s="561"/>
    </row>
    <row r="318" spans="1:31" ht="16.5" thickBot="1">
      <c r="A318" s="561"/>
      <c r="B318" s="561"/>
      <c r="C318" s="561"/>
      <c r="D318" s="561"/>
      <c r="E318" s="561"/>
      <c r="F318" s="561"/>
      <c r="G318" s="561"/>
      <c r="H318" s="561"/>
      <c r="I318" s="561"/>
      <c r="J318" s="561"/>
      <c r="K318" s="561"/>
      <c r="L318" s="561"/>
      <c r="M318" s="561"/>
      <c r="N318" s="561"/>
      <c r="O318" s="561"/>
      <c r="P318" s="926"/>
      <c r="Q318" s="561"/>
      <c r="R318" s="561"/>
      <c r="S318" s="561"/>
      <c r="T318" s="561"/>
      <c r="U318" s="561"/>
      <c r="V318" s="561"/>
      <c r="W318" s="561"/>
      <c r="X318" s="561"/>
      <c r="Y318" s="561"/>
      <c r="Z318" s="561"/>
      <c r="AA318" s="561"/>
      <c r="AB318" s="561"/>
      <c r="AC318" s="561"/>
      <c r="AD318" s="561"/>
      <c r="AE318" s="561"/>
    </row>
    <row r="319" spans="1:31" ht="16.5" thickBot="1">
      <c r="A319" s="1454" t="s">
        <v>850</v>
      </c>
      <c r="B319" s="1464"/>
      <c r="C319" s="1455"/>
      <c r="D319" s="1454" t="s">
        <v>851</v>
      </c>
      <c r="E319" s="1464"/>
      <c r="F319" s="1455"/>
      <c r="G319" s="1466" t="s">
        <v>852</v>
      </c>
      <c r="H319" s="1466" t="s">
        <v>667</v>
      </c>
      <c r="I319" s="1466" t="s">
        <v>668</v>
      </c>
      <c r="J319" s="1454" t="s">
        <v>676</v>
      </c>
      <c r="K319" s="1455"/>
      <c r="L319" s="1454" t="s">
        <v>677</v>
      </c>
      <c r="M319" s="1455"/>
      <c r="N319" s="1486" t="s">
        <v>850</v>
      </c>
      <c r="O319" s="1487"/>
      <c r="P319" s="1488"/>
      <c r="Q319" s="1486" t="s">
        <v>965</v>
      </c>
      <c r="R319" s="1487"/>
      <c r="S319" s="1488"/>
      <c r="T319" s="1466" t="s">
        <v>966</v>
      </c>
      <c r="U319" s="1489" t="s">
        <v>669</v>
      </c>
      <c r="V319" s="1490"/>
      <c r="W319" s="1490"/>
      <c r="X319" s="1490"/>
      <c r="Y319" s="1490"/>
      <c r="Z319" s="1490"/>
      <c r="AA319" s="1490"/>
      <c r="AB319" s="1490"/>
      <c r="AC319" s="1490"/>
      <c r="AD319" s="1490"/>
      <c r="AE319" s="1491"/>
    </row>
    <row r="320" spans="1:31" ht="16.5" thickBot="1">
      <c r="A320" s="1456"/>
      <c r="B320" s="1465"/>
      <c r="C320" s="1457"/>
      <c r="D320" s="1456"/>
      <c r="E320" s="1465"/>
      <c r="F320" s="1457"/>
      <c r="G320" s="1467"/>
      <c r="H320" s="1467"/>
      <c r="I320" s="1467"/>
      <c r="J320" s="1456"/>
      <c r="K320" s="1457"/>
      <c r="L320" s="1456"/>
      <c r="M320" s="1457"/>
      <c r="N320" s="1466" t="s">
        <v>853</v>
      </c>
      <c r="O320" s="1466" t="s">
        <v>854</v>
      </c>
      <c r="P320" s="1466" t="s">
        <v>855</v>
      </c>
      <c r="Q320" s="1466" t="s">
        <v>967</v>
      </c>
      <c r="R320" s="1466" t="s">
        <v>857</v>
      </c>
      <c r="S320" s="1466" t="s">
        <v>968</v>
      </c>
      <c r="T320" s="1467"/>
      <c r="U320" s="1466" t="s">
        <v>670</v>
      </c>
      <c r="V320" s="1489" t="s">
        <v>678</v>
      </c>
      <c r="W320" s="1492"/>
      <c r="X320" s="1489" t="s">
        <v>679</v>
      </c>
      <c r="Y320" s="1492"/>
      <c r="Z320" s="1489" t="s">
        <v>680</v>
      </c>
      <c r="AA320" s="1491"/>
      <c r="AB320" s="1489" t="s">
        <v>681</v>
      </c>
      <c r="AC320" s="1491"/>
      <c r="AD320" s="1489" t="s">
        <v>671</v>
      </c>
      <c r="AE320" s="1491"/>
    </row>
    <row r="321" spans="1:31" ht="63.75" thickBot="1">
      <c r="A321" s="988" t="s">
        <v>853</v>
      </c>
      <c r="B321" s="988" t="s">
        <v>854</v>
      </c>
      <c r="C321" s="988" t="s">
        <v>855</v>
      </c>
      <c r="D321" s="988" t="s">
        <v>856</v>
      </c>
      <c r="E321" s="988" t="s">
        <v>857</v>
      </c>
      <c r="F321" s="988" t="s">
        <v>388</v>
      </c>
      <c r="G321" s="1467"/>
      <c r="H321" s="1467"/>
      <c r="I321" s="1467"/>
      <c r="J321" s="989" t="s">
        <v>672</v>
      </c>
      <c r="K321" s="989" t="s">
        <v>673</v>
      </c>
      <c r="L321" s="989" t="s">
        <v>672</v>
      </c>
      <c r="M321" s="989" t="s">
        <v>673</v>
      </c>
      <c r="N321" s="1468"/>
      <c r="O321" s="1468"/>
      <c r="P321" s="1468"/>
      <c r="Q321" s="1468"/>
      <c r="R321" s="1468"/>
      <c r="S321" s="1468"/>
      <c r="T321" s="1468"/>
      <c r="U321" s="1468"/>
      <c r="V321" s="1036" t="s">
        <v>672</v>
      </c>
      <c r="W321" s="1037" t="s">
        <v>673</v>
      </c>
      <c r="X321" s="1036" t="s">
        <v>672</v>
      </c>
      <c r="Y321" s="1037" t="s">
        <v>673</v>
      </c>
      <c r="Z321" s="1038" t="s">
        <v>674</v>
      </c>
      <c r="AA321" s="1038" t="s">
        <v>675</v>
      </c>
      <c r="AB321" s="1038" t="s">
        <v>674</v>
      </c>
      <c r="AC321" s="1038" t="s">
        <v>675</v>
      </c>
      <c r="AD321" s="1038" t="s">
        <v>674</v>
      </c>
      <c r="AE321" s="1038" t="s">
        <v>675</v>
      </c>
    </row>
    <row r="322" spans="1:31" ht="29.25" thickBot="1">
      <c r="A322" s="937" t="s">
        <v>493</v>
      </c>
      <c r="B322" s="937" t="s">
        <v>494</v>
      </c>
      <c r="C322" s="937" t="s">
        <v>527</v>
      </c>
      <c r="D322" s="937" t="s">
        <v>549</v>
      </c>
      <c r="E322" s="937" t="s">
        <v>551</v>
      </c>
      <c r="F322" s="937" t="s">
        <v>563</v>
      </c>
      <c r="G322" s="937" t="s">
        <v>858</v>
      </c>
      <c r="H322" s="937" t="s">
        <v>567</v>
      </c>
      <c r="I322" s="937" t="s">
        <v>569</v>
      </c>
      <c r="J322" s="937" t="s">
        <v>571</v>
      </c>
      <c r="K322" s="937" t="s">
        <v>573</v>
      </c>
      <c r="L322" s="937" t="s">
        <v>575</v>
      </c>
      <c r="M322" s="937" t="s">
        <v>579</v>
      </c>
      <c r="N322" s="1039" t="s">
        <v>493</v>
      </c>
      <c r="O322" s="1039" t="s">
        <v>494</v>
      </c>
      <c r="P322" s="1039" t="s">
        <v>527</v>
      </c>
      <c r="Q322" s="1039" t="s">
        <v>549</v>
      </c>
      <c r="R322" s="1039" t="s">
        <v>551</v>
      </c>
      <c r="S322" s="1039" t="s">
        <v>563</v>
      </c>
      <c r="T322" s="1040" t="s">
        <v>969</v>
      </c>
      <c r="U322" s="1039" t="s">
        <v>567</v>
      </c>
      <c r="V322" s="1039" t="s">
        <v>569</v>
      </c>
      <c r="W322" s="1039" t="s">
        <v>571</v>
      </c>
      <c r="X322" s="1039" t="s">
        <v>573</v>
      </c>
      <c r="Y322" s="1039" t="s">
        <v>575</v>
      </c>
      <c r="Z322" s="1039" t="s">
        <v>579</v>
      </c>
      <c r="AA322" s="1039" t="s">
        <v>970</v>
      </c>
      <c r="AB322" s="1039" t="s">
        <v>971</v>
      </c>
      <c r="AC322" s="1039" t="s">
        <v>972</v>
      </c>
      <c r="AD322" s="1039" t="s">
        <v>973</v>
      </c>
      <c r="AE322" s="1039" t="s">
        <v>974</v>
      </c>
    </row>
    <row r="323" spans="1:31" ht="15.75">
      <c r="A323" s="990">
        <v>87</v>
      </c>
      <c r="B323" s="1003" t="s">
        <v>935</v>
      </c>
      <c r="C323" s="1004">
        <v>41223</v>
      </c>
      <c r="D323" s="991" t="s">
        <v>864</v>
      </c>
      <c r="E323" s="991" t="s">
        <v>861</v>
      </c>
      <c r="F323" s="991" t="s">
        <v>862</v>
      </c>
      <c r="G323" s="992">
        <v>72000</v>
      </c>
      <c r="H323" s="992">
        <v>72000</v>
      </c>
      <c r="I323" s="991"/>
      <c r="J323" s="991"/>
      <c r="K323" s="991"/>
      <c r="L323" s="991"/>
      <c r="M323" s="993"/>
      <c r="N323" s="1062">
        <v>12</v>
      </c>
      <c r="O323" s="1003" t="s">
        <v>1028</v>
      </c>
      <c r="P323" s="1063">
        <v>40978</v>
      </c>
      <c r="Q323" s="958" t="s">
        <v>1029</v>
      </c>
      <c r="R323" s="958" t="s">
        <v>976</v>
      </c>
      <c r="S323" s="958" t="s">
        <v>1030</v>
      </c>
      <c r="T323" s="1051">
        <v>287000</v>
      </c>
      <c r="U323" s="1052">
        <v>287000</v>
      </c>
      <c r="V323" s="1052"/>
      <c r="W323" s="1052"/>
      <c r="X323" s="1051"/>
      <c r="Y323" s="1051"/>
      <c r="Z323" s="1064"/>
      <c r="AA323" s="1051"/>
      <c r="AB323" s="1051"/>
      <c r="AC323" s="1051"/>
      <c r="AD323" s="1051"/>
      <c r="AE323" s="1065"/>
    </row>
    <row r="324" spans="1:31" ht="15.75">
      <c r="A324" s="994">
        <v>88</v>
      </c>
      <c r="B324" s="1005" t="s">
        <v>936</v>
      </c>
      <c r="C324" s="1006">
        <v>41253</v>
      </c>
      <c r="D324" s="991" t="s">
        <v>864</v>
      </c>
      <c r="E324" s="991" t="s">
        <v>861</v>
      </c>
      <c r="F324" s="991" t="s">
        <v>862</v>
      </c>
      <c r="G324" s="996">
        <v>144000</v>
      </c>
      <c r="H324" s="996">
        <v>144000</v>
      </c>
      <c r="I324" s="995"/>
      <c r="J324" s="995"/>
      <c r="K324" s="995"/>
      <c r="L324" s="995"/>
      <c r="M324" s="997"/>
      <c r="N324" s="1062">
        <v>13</v>
      </c>
      <c r="O324" s="1005" t="s">
        <v>1031</v>
      </c>
      <c r="P324" s="1063">
        <v>40978</v>
      </c>
      <c r="Q324" s="958" t="s">
        <v>1029</v>
      </c>
      <c r="R324" s="958" t="s">
        <v>976</v>
      </c>
      <c r="S324" s="958" t="s">
        <v>1030</v>
      </c>
      <c r="T324" s="1051">
        <v>203000</v>
      </c>
      <c r="U324" s="1052">
        <v>203000</v>
      </c>
      <c r="V324" s="1052"/>
      <c r="W324" s="1052"/>
      <c r="X324" s="1051"/>
      <c r="Y324" s="1051"/>
      <c r="Z324" s="1064"/>
      <c r="AA324" s="1051"/>
      <c r="AB324" s="1051"/>
      <c r="AC324" s="1051"/>
      <c r="AD324" s="1051"/>
      <c r="AE324" s="1065"/>
    </row>
    <row r="325" spans="1:31" ht="15.75">
      <c r="A325" s="994">
        <v>89</v>
      </c>
      <c r="B325" s="1005" t="s">
        <v>937</v>
      </c>
      <c r="C325" s="1006" t="s">
        <v>938</v>
      </c>
      <c r="D325" s="991" t="s">
        <v>864</v>
      </c>
      <c r="E325" s="991" t="s">
        <v>861</v>
      </c>
      <c r="F325" s="991" t="s">
        <v>862</v>
      </c>
      <c r="G325" s="996">
        <v>120000</v>
      </c>
      <c r="H325" s="996">
        <v>120000</v>
      </c>
      <c r="I325" s="995"/>
      <c r="J325" s="995"/>
      <c r="K325" s="995"/>
      <c r="L325" s="995"/>
      <c r="M325" s="997"/>
      <c r="N325" s="1079">
        <v>9</v>
      </c>
      <c r="O325" s="1005" t="s">
        <v>1032</v>
      </c>
      <c r="P325" s="1063">
        <v>40978</v>
      </c>
      <c r="Q325" s="958" t="s">
        <v>975</v>
      </c>
      <c r="R325" s="958" t="s">
        <v>976</v>
      </c>
      <c r="S325" s="958" t="s">
        <v>977</v>
      </c>
      <c r="T325" s="1051">
        <v>13440.37</v>
      </c>
      <c r="U325" s="1052">
        <v>13440.37</v>
      </c>
      <c r="V325" s="1052"/>
      <c r="W325" s="1052"/>
      <c r="X325" s="1051"/>
      <c r="Y325" s="1051"/>
      <c r="Z325" s="1064"/>
      <c r="AA325" s="1051"/>
      <c r="AB325" s="1051"/>
      <c r="AC325" s="1051"/>
      <c r="AD325" s="1051"/>
      <c r="AE325" s="1065"/>
    </row>
    <row r="326" spans="1:31" ht="15.75">
      <c r="A326" s="990">
        <v>90</v>
      </c>
      <c r="B326" s="1003" t="s">
        <v>939</v>
      </c>
      <c r="C326" s="1006" t="s">
        <v>940</v>
      </c>
      <c r="D326" s="991" t="s">
        <v>864</v>
      </c>
      <c r="E326" s="991" t="s">
        <v>861</v>
      </c>
      <c r="F326" s="991" t="s">
        <v>862</v>
      </c>
      <c r="G326" s="996">
        <v>280000</v>
      </c>
      <c r="H326" s="996">
        <v>280000</v>
      </c>
      <c r="I326" s="995"/>
      <c r="J326" s="995"/>
      <c r="K326" s="995"/>
      <c r="L326" s="995"/>
      <c r="M326" s="997"/>
      <c r="N326" s="1079">
        <v>2408</v>
      </c>
      <c r="O326" s="1005" t="s">
        <v>1033</v>
      </c>
      <c r="P326" s="1063">
        <v>41162</v>
      </c>
      <c r="Q326" s="958" t="s">
        <v>1034</v>
      </c>
      <c r="R326" s="958" t="s">
        <v>861</v>
      </c>
      <c r="S326" s="958" t="s">
        <v>1035</v>
      </c>
      <c r="T326" s="1051">
        <v>86380</v>
      </c>
      <c r="U326" s="1052">
        <v>86380</v>
      </c>
      <c r="V326" s="1052"/>
      <c r="W326" s="1052"/>
      <c r="X326" s="1051"/>
      <c r="Y326" s="1051"/>
      <c r="Z326" s="1064"/>
      <c r="AA326" s="1051"/>
      <c r="AB326" s="1051"/>
      <c r="AC326" s="1051"/>
      <c r="AD326" s="1051"/>
      <c r="AE326" s="1065"/>
    </row>
    <row r="327" spans="1:31" ht="16.5" thickBot="1">
      <c r="A327" s="994">
        <v>7</v>
      </c>
      <c r="B327" s="1005" t="s">
        <v>941</v>
      </c>
      <c r="C327" s="1006">
        <v>41223</v>
      </c>
      <c r="D327" s="991" t="s">
        <v>888</v>
      </c>
      <c r="E327" s="991" t="s">
        <v>861</v>
      </c>
      <c r="F327" s="991" t="s">
        <v>862</v>
      </c>
      <c r="G327" s="996">
        <v>28000</v>
      </c>
      <c r="H327" s="996">
        <v>28000</v>
      </c>
      <c r="I327" s="995"/>
      <c r="J327" s="995"/>
      <c r="K327" s="995"/>
      <c r="L327" s="995"/>
      <c r="M327" s="997"/>
      <c r="N327" s="960">
        <v>128</v>
      </c>
      <c r="O327" s="1005" t="s">
        <v>1036</v>
      </c>
      <c r="P327" s="1067" t="s">
        <v>1037</v>
      </c>
      <c r="Q327" s="960" t="s">
        <v>1013</v>
      </c>
      <c r="R327" s="960" t="s">
        <v>861</v>
      </c>
      <c r="S327" s="960" t="s">
        <v>996</v>
      </c>
      <c r="T327" s="1056">
        <v>50400</v>
      </c>
      <c r="U327" s="1057">
        <v>50400</v>
      </c>
      <c r="V327" s="1057"/>
      <c r="W327" s="1057"/>
      <c r="X327" s="1056"/>
      <c r="Y327" s="1056"/>
      <c r="Z327" s="1068"/>
      <c r="AA327" s="1056"/>
      <c r="AB327" s="1056"/>
      <c r="AC327" s="1056"/>
      <c r="AD327" s="1056"/>
      <c r="AE327" s="1069"/>
    </row>
    <row r="328" spans="1:31" ht="16.5" thickBot="1">
      <c r="A328" s="994">
        <v>8</v>
      </c>
      <c r="B328" s="1005" t="s">
        <v>942</v>
      </c>
      <c r="C328" s="1006" t="s">
        <v>938</v>
      </c>
      <c r="D328" s="991" t="s">
        <v>888</v>
      </c>
      <c r="E328" s="991" t="s">
        <v>861</v>
      </c>
      <c r="F328" s="991" t="s">
        <v>862</v>
      </c>
      <c r="G328" s="996">
        <v>68000</v>
      </c>
      <c r="H328" s="996">
        <v>68000</v>
      </c>
      <c r="I328" s="995"/>
      <c r="J328" s="995"/>
      <c r="K328" s="995"/>
      <c r="L328" s="995"/>
      <c r="M328" s="997"/>
      <c r="N328" s="1458" t="s">
        <v>866</v>
      </c>
      <c r="O328" s="1459"/>
      <c r="P328" s="1459"/>
      <c r="Q328" s="1459"/>
      <c r="R328" s="1459"/>
      <c r="S328" s="1460"/>
      <c r="T328" s="947">
        <f>SUM(T323:T327)</f>
        <v>640220.37</v>
      </c>
      <c r="U328" s="947">
        <f>SUM(U323:U327)</f>
        <v>640220.37</v>
      </c>
      <c r="V328" s="947"/>
      <c r="W328" s="947"/>
      <c r="X328" s="949"/>
      <c r="Y328" s="949"/>
      <c r="Z328" s="949"/>
      <c r="AA328" s="949"/>
      <c r="AB328" s="949"/>
      <c r="AC328" s="949"/>
      <c r="AD328" s="949"/>
      <c r="AE328" s="950"/>
    </row>
    <row r="329" spans="1:31" ht="16.5" thickBot="1">
      <c r="A329" s="994">
        <v>11</v>
      </c>
      <c r="B329" s="1005" t="s">
        <v>943</v>
      </c>
      <c r="C329" s="1006" t="s">
        <v>938</v>
      </c>
      <c r="D329" s="991" t="s">
        <v>944</v>
      </c>
      <c r="E329" s="991" t="s">
        <v>861</v>
      </c>
      <c r="F329" s="991" t="s">
        <v>862</v>
      </c>
      <c r="G329" s="996">
        <v>210000</v>
      </c>
      <c r="H329" s="996">
        <v>210000</v>
      </c>
      <c r="I329" s="995"/>
      <c r="J329" s="995"/>
      <c r="K329" s="995"/>
      <c r="L329" s="995"/>
      <c r="M329" s="997"/>
      <c r="N329" s="1472" t="s">
        <v>867</v>
      </c>
      <c r="O329" s="1473"/>
      <c r="P329" s="1473"/>
      <c r="Q329" s="1473"/>
      <c r="R329" s="1473"/>
      <c r="S329" s="1473"/>
      <c r="T329" s="1474"/>
      <c r="U329" s="980" t="s">
        <v>980</v>
      </c>
      <c r="V329" s="980" t="s">
        <v>981</v>
      </c>
      <c r="W329" s="980" t="s">
        <v>982</v>
      </c>
      <c r="X329" s="980" t="s">
        <v>983</v>
      </c>
      <c r="Y329" s="980" t="s">
        <v>984</v>
      </c>
      <c r="Z329" s="980" t="s">
        <v>985</v>
      </c>
      <c r="AA329" s="980" t="s">
        <v>986</v>
      </c>
      <c r="AB329" s="980" t="s">
        <v>987</v>
      </c>
      <c r="AC329" s="980" t="s">
        <v>988</v>
      </c>
      <c r="AD329" s="980" t="s">
        <v>989</v>
      </c>
      <c r="AE329" s="980" t="s">
        <v>990</v>
      </c>
    </row>
    <row r="330" spans="1:31" ht="15.75">
      <c r="A330" s="994">
        <v>56</v>
      </c>
      <c r="B330" s="1005" t="s">
        <v>945</v>
      </c>
      <c r="C330" s="1006" t="s">
        <v>940</v>
      </c>
      <c r="D330" s="991" t="s">
        <v>860</v>
      </c>
      <c r="E330" s="991" t="s">
        <v>861</v>
      </c>
      <c r="F330" s="991" t="s">
        <v>862</v>
      </c>
      <c r="G330" s="996">
        <v>48000</v>
      </c>
      <c r="H330" s="996">
        <v>48000</v>
      </c>
      <c r="I330" s="995"/>
      <c r="J330" s="995"/>
      <c r="K330" s="995"/>
      <c r="L330" s="995"/>
      <c r="M330" s="997"/>
      <c r="N330" s="561"/>
      <c r="O330" s="561"/>
      <c r="P330" s="561"/>
      <c r="Q330" s="561"/>
      <c r="R330" s="561"/>
      <c r="S330" s="561"/>
      <c r="T330" s="561"/>
      <c r="U330" s="561"/>
      <c r="V330" s="561"/>
      <c r="W330" s="561"/>
      <c r="X330" s="561"/>
      <c r="Y330" s="561"/>
      <c r="Z330" s="561"/>
      <c r="AA330" s="561"/>
      <c r="AB330" s="561"/>
      <c r="AC330" s="561"/>
      <c r="AD330" s="561"/>
      <c r="AE330" s="561"/>
    </row>
    <row r="331" spans="1:31" ht="16.5" thickBot="1">
      <c r="A331" s="994">
        <v>57</v>
      </c>
      <c r="B331" s="1005" t="s">
        <v>946</v>
      </c>
      <c r="C331" s="1006" t="s">
        <v>940</v>
      </c>
      <c r="D331" s="991" t="s">
        <v>860</v>
      </c>
      <c r="E331" s="991" t="s">
        <v>861</v>
      </c>
      <c r="F331" s="991" t="s">
        <v>862</v>
      </c>
      <c r="G331" s="996">
        <v>280000</v>
      </c>
      <c r="H331" s="996">
        <v>280000</v>
      </c>
      <c r="I331" s="995"/>
      <c r="J331" s="995"/>
      <c r="K331" s="995"/>
      <c r="L331" s="995"/>
      <c r="M331" s="997"/>
      <c r="N331" s="561"/>
      <c r="O331" s="561"/>
      <c r="P331" s="561"/>
      <c r="Q331" s="561"/>
      <c r="R331" s="561"/>
      <c r="S331" s="561"/>
      <c r="T331" s="561"/>
      <c r="U331" s="561"/>
      <c r="V331" s="561"/>
      <c r="W331" s="561"/>
      <c r="X331" s="561"/>
      <c r="Y331" s="561"/>
      <c r="Z331" s="561"/>
      <c r="AA331" s="561"/>
      <c r="AB331" s="561"/>
      <c r="AC331" s="561"/>
      <c r="AD331" s="561"/>
      <c r="AE331" s="561"/>
    </row>
    <row r="332" spans="1:31" ht="16.5" thickBot="1">
      <c r="A332" s="1469" t="s">
        <v>866</v>
      </c>
      <c r="B332" s="1470"/>
      <c r="C332" s="1470"/>
      <c r="D332" s="1470"/>
      <c r="E332" s="1470"/>
      <c r="F332" s="1471"/>
      <c r="G332" s="979">
        <f>SUM(G323:G331)</f>
        <v>1250000</v>
      </c>
      <c r="H332" s="979">
        <f>SUM(H323:H331)</f>
        <v>1250000</v>
      </c>
      <c r="I332" s="947"/>
      <c r="J332" s="947"/>
      <c r="K332" s="948"/>
      <c r="L332" s="949"/>
      <c r="M332" s="950"/>
      <c r="N332" s="561"/>
      <c r="O332" s="561"/>
      <c r="P332" s="561"/>
      <c r="Q332" s="561"/>
      <c r="R332" s="561"/>
      <c r="S332" s="561"/>
      <c r="T332" s="561"/>
      <c r="U332" s="561"/>
      <c r="V332" s="561"/>
      <c r="W332" s="561"/>
      <c r="X332" s="561"/>
      <c r="Y332" s="561"/>
      <c r="Z332" s="561"/>
      <c r="AA332" s="561"/>
      <c r="AB332" s="561"/>
      <c r="AC332" s="561"/>
      <c r="AD332" s="953" t="s">
        <v>991</v>
      </c>
      <c r="AE332" s="561"/>
    </row>
    <row r="333" spans="1:31" ht="16.5" thickBot="1">
      <c r="A333" s="1472" t="s">
        <v>867</v>
      </c>
      <c r="B333" s="1473"/>
      <c r="C333" s="1473"/>
      <c r="D333" s="1473"/>
      <c r="E333" s="1473"/>
      <c r="F333" s="1473"/>
      <c r="G333" s="1474"/>
      <c r="H333" s="980" t="s">
        <v>868</v>
      </c>
      <c r="I333" s="980" t="s">
        <v>869</v>
      </c>
      <c r="J333" s="980" t="s">
        <v>870</v>
      </c>
      <c r="K333" s="980" t="s">
        <v>871</v>
      </c>
      <c r="L333" s="980" t="s">
        <v>872</v>
      </c>
      <c r="M333" s="980" t="s">
        <v>873</v>
      </c>
      <c r="N333" s="561"/>
      <c r="O333" s="561"/>
      <c r="P333" s="561"/>
      <c r="Q333" s="561"/>
      <c r="R333" s="561"/>
      <c r="S333" s="561"/>
      <c r="T333" s="561"/>
      <c r="U333" s="561"/>
      <c r="V333" s="561"/>
      <c r="W333" s="561"/>
      <c r="X333" s="561"/>
      <c r="Y333" s="561"/>
      <c r="Z333" s="561"/>
      <c r="AA333" s="561"/>
      <c r="AB333" s="561"/>
      <c r="AC333" s="561" t="s">
        <v>992</v>
      </c>
      <c r="AD333" s="953"/>
      <c r="AE333" s="561"/>
    </row>
    <row r="334" spans="1:31" ht="15.75">
      <c r="A334" s="561"/>
      <c r="B334" s="561"/>
      <c r="C334" s="561"/>
      <c r="D334" s="561"/>
      <c r="E334" s="561"/>
      <c r="F334" s="561"/>
      <c r="G334" s="561"/>
      <c r="H334" s="561"/>
      <c r="I334" s="561"/>
      <c r="J334" s="561"/>
      <c r="K334" s="561"/>
      <c r="L334" s="561"/>
      <c r="M334" s="561"/>
      <c r="N334" s="561" t="s">
        <v>876</v>
      </c>
      <c r="O334" s="561"/>
      <c r="P334" s="561"/>
      <c r="Q334" s="561"/>
      <c r="R334" s="561"/>
      <c r="S334" s="561"/>
      <c r="T334" s="561"/>
      <c r="U334" s="561"/>
      <c r="V334" s="561"/>
      <c r="W334" s="561"/>
      <c r="X334" s="561"/>
      <c r="Y334" s="561"/>
      <c r="Z334" s="561"/>
      <c r="AA334" s="561"/>
      <c r="AB334" s="561"/>
      <c r="AC334" s="561"/>
      <c r="AD334" s="561"/>
      <c r="AE334" s="561"/>
    </row>
    <row r="335" spans="1:31" ht="15.75">
      <c r="A335" s="561"/>
      <c r="B335" s="561"/>
      <c r="C335" s="561"/>
      <c r="D335" s="561"/>
      <c r="E335" s="561"/>
      <c r="F335" s="561"/>
      <c r="G335" s="952"/>
      <c r="H335" s="561"/>
      <c r="I335" s="561"/>
      <c r="J335" s="561"/>
      <c r="K335" s="952"/>
      <c r="L335" s="561"/>
      <c r="M335" s="561"/>
      <c r="N335" s="561" t="s">
        <v>877</v>
      </c>
      <c r="O335" s="561"/>
      <c r="P335" s="561"/>
      <c r="Q335" s="561"/>
      <c r="R335" s="561"/>
      <c r="S335" s="561"/>
      <c r="T335" s="561"/>
      <c r="U335" s="561"/>
      <c r="V335" s="561"/>
      <c r="W335" s="561"/>
      <c r="X335" s="561"/>
      <c r="Y335" s="561"/>
      <c r="Z335" s="561"/>
      <c r="AA335" s="561"/>
      <c r="AB335" s="561"/>
      <c r="AC335" s="561"/>
      <c r="AD335" s="561"/>
      <c r="AE335" s="561"/>
    </row>
    <row r="336" spans="1:31" ht="15.75">
      <c r="A336" s="561"/>
      <c r="B336" s="561"/>
      <c r="C336" s="561"/>
      <c r="D336" s="561" t="s">
        <v>134</v>
      </c>
      <c r="E336" s="561"/>
      <c r="F336" s="561"/>
      <c r="G336" s="561"/>
      <c r="H336" s="561"/>
      <c r="I336" s="561"/>
      <c r="J336" s="953" t="s">
        <v>874</v>
      </c>
      <c r="K336" s="561"/>
      <c r="L336" s="561"/>
      <c r="M336" s="561"/>
      <c r="N336" s="561" t="s">
        <v>878</v>
      </c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</row>
    <row r="337" spans="1:31" ht="15.75">
      <c r="A337" s="561"/>
      <c r="B337" s="561"/>
      <c r="C337" s="561"/>
      <c r="D337" s="561"/>
      <c r="E337" s="561"/>
      <c r="F337" s="561"/>
      <c r="G337" s="561"/>
      <c r="H337" s="561"/>
      <c r="I337" s="561"/>
      <c r="J337" s="561" t="s">
        <v>875</v>
      </c>
      <c r="K337" s="561"/>
      <c r="L337" s="561"/>
      <c r="M337" s="561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</row>
    <row r="338" spans="1:31" ht="15.75">
      <c r="A338" s="561" t="s">
        <v>876</v>
      </c>
      <c r="B338" s="561"/>
      <c r="C338" s="561"/>
      <c r="D338" s="561"/>
      <c r="E338" s="561"/>
      <c r="F338" s="561"/>
      <c r="G338" s="561"/>
      <c r="H338" s="561"/>
      <c r="I338" s="561"/>
      <c r="J338" s="561"/>
      <c r="K338" s="954"/>
      <c r="L338" s="561"/>
      <c r="M338" s="561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</row>
    <row r="339" spans="1:31" ht="16.5" customHeight="1">
      <c r="A339" s="561" t="s">
        <v>877</v>
      </c>
      <c r="B339" s="561"/>
      <c r="C339" s="561"/>
      <c r="D339" s="561"/>
      <c r="E339" s="561"/>
      <c r="F339" s="561"/>
      <c r="G339" s="561"/>
      <c r="H339" s="561"/>
      <c r="I339" s="561"/>
      <c r="J339" s="561"/>
      <c r="K339" s="561"/>
      <c r="L339" s="561"/>
      <c r="M339" s="561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</row>
    <row r="340" spans="1:31" ht="16.5" customHeight="1">
      <c r="A340" s="561"/>
      <c r="B340" s="561"/>
      <c r="C340" s="561"/>
      <c r="D340" s="561"/>
      <c r="E340" s="561"/>
      <c r="F340" s="561"/>
      <c r="G340" s="561"/>
      <c r="H340" s="561"/>
      <c r="I340" s="561"/>
      <c r="J340" s="561"/>
      <c r="K340" s="561"/>
      <c r="L340" s="561"/>
      <c r="M340" s="561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</row>
    <row r="341" spans="1:31" ht="16.5" customHeight="1">
      <c r="A341" s="561"/>
      <c r="B341" s="561"/>
      <c r="C341" s="561"/>
      <c r="D341" s="561"/>
      <c r="E341" s="561"/>
      <c r="F341" s="561"/>
      <c r="G341" s="561"/>
      <c r="H341" s="561"/>
      <c r="I341" s="561"/>
      <c r="J341" s="561"/>
      <c r="K341" s="561"/>
      <c r="L341" s="561"/>
      <c r="M341" s="56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</row>
    <row r="342" spans="1:31" ht="16.5" customHeight="1">
      <c r="A342" s="561"/>
      <c r="B342" s="561"/>
      <c r="C342" s="561"/>
      <c r="D342" s="561"/>
      <c r="E342" s="561"/>
      <c r="F342" s="561"/>
      <c r="G342" s="561"/>
      <c r="H342" s="561"/>
      <c r="I342" s="561"/>
      <c r="J342" s="561"/>
      <c r="K342" s="561"/>
      <c r="L342" s="561"/>
      <c r="M342" s="561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1:31" ht="16.5" customHeight="1">
      <c r="A343" s="561"/>
      <c r="B343" s="561"/>
      <c r="C343" s="561"/>
      <c r="D343" s="561"/>
      <c r="E343" s="561"/>
      <c r="F343" s="561"/>
      <c r="G343" s="561"/>
      <c r="H343" s="561"/>
      <c r="I343" s="561"/>
      <c r="J343" s="561"/>
      <c r="K343" s="561"/>
      <c r="L343" s="561"/>
      <c r="M343" s="561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</row>
    <row r="344" spans="1:31" ht="16.5" customHeight="1">
      <c r="A344" s="561"/>
      <c r="B344" s="561"/>
      <c r="C344" s="561"/>
      <c r="D344" s="561"/>
      <c r="E344" s="561"/>
      <c r="F344" s="561"/>
      <c r="G344" s="561"/>
      <c r="H344" s="561"/>
      <c r="I344" s="561"/>
      <c r="J344" s="561"/>
      <c r="K344" s="561"/>
      <c r="L344" s="561"/>
      <c r="M344" s="561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</row>
    <row r="345" spans="1:31">
      <c r="A345" s="925" t="s">
        <v>841</v>
      </c>
      <c r="B345" s="561"/>
      <c r="C345" s="561"/>
      <c r="D345" s="561"/>
      <c r="E345" s="561"/>
      <c r="F345" s="561"/>
      <c r="G345" s="561"/>
      <c r="H345" s="561"/>
      <c r="I345" s="561"/>
      <c r="J345" s="561"/>
      <c r="K345" s="561"/>
      <c r="L345" s="561"/>
      <c r="M345" s="561"/>
      <c r="N345" s="925" t="s">
        <v>964</v>
      </c>
      <c r="O345" s="561"/>
      <c r="P345" s="561"/>
      <c r="Q345" s="561"/>
      <c r="R345" s="561"/>
      <c r="S345" s="561"/>
      <c r="T345" s="561"/>
      <c r="U345" s="561"/>
      <c r="V345" s="561"/>
      <c r="W345" s="561"/>
      <c r="X345" s="561"/>
      <c r="Y345" s="561"/>
      <c r="Z345" s="561"/>
      <c r="AA345" s="561"/>
      <c r="AB345" s="561"/>
      <c r="AC345" s="561"/>
      <c r="AD345" s="561"/>
      <c r="AE345" s="561"/>
    </row>
    <row r="346" spans="1:31" ht="15.75">
      <c r="A346" s="926" t="s">
        <v>842</v>
      </c>
      <c r="B346" s="926"/>
      <c r="C346" s="927" t="s">
        <v>947</v>
      </c>
      <c r="D346" s="561"/>
      <c r="E346" s="561"/>
      <c r="F346" s="561"/>
      <c r="G346" s="561"/>
      <c r="H346" s="561"/>
      <c r="I346" s="561"/>
      <c r="J346" s="561"/>
      <c r="K346" s="561"/>
      <c r="L346" s="561"/>
      <c r="M346" s="561"/>
      <c r="N346" s="926" t="s">
        <v>842</v>
      </c>
      <c r="O346" s="926"/>
      <c r="P346" s="927" t="s">
        <v>840</v>
      </c>
      <c r="Q346" s="561"/>
      <c r="R346" s="561"/>
      <c r="S346" s="561"/>
      <c r="T346" s="561"/>
      <c r="U346" s="561"/>
      <c r="V346" s="561"/>
      <c r="W346" s="561"/>
      <c r="X346" s="561"/>
      <c r="Y346" s="561"/>
      <c r="Z346" s="561"/>
      <c r="AA346" s="561"/>
      <c r="AB346" s="561"/>
      <c r="AC346" s="561"/>
      <c r="AD346" s="561"/>
      <c r="AE346" s="561"/>
    </row>
    <row r="347" spans="1:31" ht="15.75">
      <c r="A347" s="926" t="s">
        <v>395</v>
      </c>
      <c r="B347" s="926"/>
      <c r="C347" s="927" t="s">
        <v>844</v>
      </c>
      <c r="D347" s="561"/>
      <c r="E347" s="561"/>
      <c r="F347" s="561"/>
      <c r="G347" s="561"/>
      <c r="H347" s="561"/>
      <c r="I347" s="561"/>
      <c r="J347" s="561"/>
      <c r="K347" s="561"/>
      <c r="L347" s="561"/>
      <c r="M347" s="561"/>
      <c r="N347" s="926" t="s">
        <v>395</v>
      </c>
      <c r="O347" s="926"/>
      <c r="P347" s="927" t="s">
        <v>844</v>
      </c>
      <c r="Q347" s="561"/>
      <c r="R347" s="561"/>
      <c r="S347" s="561"/>
      <c r="T347" s="561"/>
      <c r="U347" s="561"/>
      <c r="V347" s="561"/>
      <c r="W347" s="561"/>
      <c r="X347" s="561"/>
      <c r="Y347" s="561"/>
      <c r="Z347" s="561"/>
      <c r="AA347" s="561"/>
      <c r="AB347" s="561"/>
      <c r="AC347" s="561"/>
      <c r="AD347" s="561"/>
      <c r="AE347" s="561"/>
    </row>
    <row r="348" spans="1:31" ht="15.75">
      <c r="A348" s="926" t="s">
        <v>845</v>
      </c>
      <c r="B348" s="926"/>
      <c r="C348" s="927" t="s">
        <v>846</v>
      </c>
      <c r="D348" s="561"/>
      <c r="E348" s="561"/>
      <c r="F348" s="561"/>
      <c r="G348" s="561"/>
      <c r="H348" s="561"/>
      <c r="I348" s="561"/>
      <c r="J348" s="561"/>
      <c r="K348" s="561"/>
      <c r="L348" s="561"/>
      <c r="M348" s="561"/>
      <c r="N348" s="926" t="s">
        <v>845</v>
      </c>
      <c r="O348" s="926"/>
      <c r="P348" s="927" t="s">
        <v>846</v>
      </c>
      <c r="Q348" s="561"/>
      <c r="R348" s="561"/>
      <c r="S348" s="561"/>
      <c r="T348" s="561"/>
      <c r="U348" s="561"/>
      <c r="V348" s="561"/>
      <c r="W348" s="561"/>
      <c r="X348" s="561"/>
      <c r="Y348" s="561"/>
      <c r="Z348" s="561"/>
      <c r="AA348" s="561"/>
      <c r="AB348" s="561"/>
      <c r="AC348" s="561"/>
      <c r="AD348" s="561"/>
      <c r="AE348" s="561"/>
    </row>
    <row r="349" spans="1:31" ht="15.75">
      <c r="A349" s="926" t="s">
        <v>167</v>
      </c>
      <c r="B349" s="926"/>
      <c r="C349" s="927" t="s">
        <v>948</v>
      </c>
      <c r="D349" s="561"/>
      <c r="E349" s="561"/>
      <c r="F349" s="561"/>
      <c r="G349" s="561"/>
      <c r="H349" s="561"/>
      <c r="I349" s="561"/>
      <c r="J349" s="561"/>
      <c r="K349" s="561"/>
      <c r="L349" s="561"/>
      <c r="M349" s="561"/>
      <c r="N349" s="926" t="s">
        <v>167</v>
      </c>
      <c r="O349" s="926"/>
      <c r="P349" s="927" t="s">
        <v>948</v>
      </c>
      <c r="Q349" s="561"/>
      <c r="R349" s="561"/>
      <c r="S349" s="561"/>
      <c r="T349" s="561"/>
      <c r="U349" s="561"/>
      <c r="V349" s="561"/>
      <c r="W349" s="561"/>
      <c r="X349" s="561"/>
      <c r="Y349" s="561"/>
      <c r="Z349" s="561"/>
      <c r="AA349" s="561"/>
      <c r="AB349" s="561"/>
      <c r="AC349" s="561"/>
      <c r="AD349" s="561"/>
      <c r="AE349" s="561"/>
    </row>
    <row r="350" spans="1:31" ht="16.5" thickBot="1">
      <c r="A350" s="926"/>
      <c r="B350" s="926"/>
      <c r="C350" s="561"/>
      <c r="D350" s="561"/>
      <c r="E350" s="561"/>
      <c r="F350" s="561"/>
      <c r="G350" s="561"/>
      <c r="H350" s="561"/>
      <c r="I350" s="561"/>
      <c r="J350" s="561"/>
      <c r="K350" s="561"/>
      <c r="L350" s="561"/>
      <c r="M350" s="561"/>
      <c r="N350" s="926"/>
      <c r="O350" s="926"/>
      <c r="P350" s="561"/>
      <c r="Q350" s="561"/>
      <c r="R350" s="561"/>
      <c r="S350" s="561"/>
      <c r="T350" s="561"/>
      <c r="U350" s="561"/>
      <c r="V350" s="561"/>
      <c r="W350" s="561"/>
      <c r="X350" s="561"/>
      <c r="Y350" s="561"/>
      <c r="Z350" s="561"/>
      <c r="AA350" s="561"/>
      <c r="AB350" s="561"/>
      <c r="AC350" s="561"/>
      <c r="AD350" s="561"/>
      <c r="AE350" s="561"/>
    </row>
    <row r="351" spans="1:31" ht="16.5" thickBot="1">
      <c r="A351" s="561" t="s">
        <v>848</v>
      </c>
      <c r="B351" s="928"/>
      <c r="C351" s="561" t="s">
        <v>849</v>
      </c>
      <c r="D351" s="561"/>
      <c r="E351" s="561"/>
      <c r="F351" s="561"/>
      <c r="G351" s="561"/>
      <c r="H351" s="561"/>
      <c r="I351" s="561"/>
      <c r="J351" s="561"/>
      <c r="K351" s="561"/>
      <c r="L351" s="561"/>
      <c r="M351" s="561"/>
      <c r="N351" s="561" t="s">
        <v>848</v>
      </c>
      <c r="O351" s="928"/>
      <c r="P351" s="561" t="s">
        <v>849</v>
      </c>
      <c r="Q351" s="561"/>
      <c r="R351" s="561"/>
      <c r="S351" s="561"/>
      <c r="T351" s="561"/>
      <c r="U351" s="561"/>
      <c r="V351" s="561"/>
      <c r="W351" s="561"/>
      <c r="X351" s="561"/>
      <c r="Y351" s="561"/>
      <c r="Z351" s="561"/>
      <c r="AA351" s="561"/>
      <c r="AB351" s="561"/>
      <c r="AC351" s="561"/>
      <c r="AD351" s="561"/>
      <c r="AE351" s="561"/>
    </row>
    <row r="352" spans="1:31" ht="16.5" thickBot="1">
      <c r="A352" s="561"/>
      <c r="B352" s="561"/>
      <c r="C352" s="561"/>
      <c r="D352" s="561"/>
      <c r="E352" s="561"/>
      <c r="F352" s="561"/>
      <c r="G352" s="561"/>
      <c r="H352" s="561"/>
      <c r="I352" s="561"/>
      <c r="J352" s="561"/>
      <c r="K352" s="561"/>
      <c r="L352" s="561"/>
      <c r="M352" s="561"/>
      <c r="N352" s="561"/>
      <c r="O352" s="561"/>
      <c r="P352" s="926"/>
      <c r="Q352" s="561"/>
      <c r="R352" s="561"/>
      <c r="S352" s="561"/>
      <c r="T352" s="561"/>
      <c r="U352" s="561"/>
      <c r="V352" s="561"/>
      <c r="W352" s="561"/>
      <c r="X352" s="561"/>
      <c r="Y352" s="561"/>
      <c r="Z352" s="561"/>
      <c r="AA352" s="561"/>
      <c r="AB352" s="561"/>
      <c r="AC352" s="561"/>
      <c r="AD352" s="561"/>
      <c r="AE352" s="561"/>
    </row>
    <row r="353" spans="1:31" ht="16.5" thickBot="1">
      <c r="A353" s="1454" t="s">
        <v>850</v>
      </c>
      <c r="B353" s="1464"/>
      <c r="C353" s="1455"/>
      <c r="D353" s="1454" t="s">
        <v>851</v>
      </c>
      <c r="E353" s="1464"/>
      <c r="F353" s="1455"/>
      <c r="G353" s="1466" t="s">
        <v>852</v>
      </c>
      <c r="H353" s="1466" t="s">
        <v>667</v>
      </c>
      <c r="I353" s="1466" t="s">
        <v>668</v>
      </c>
      <c r="J353" s="1454" t="s">
        <v>676</v>
      </c>
      <c r="K353" s="1455"/>
      <c r="L353" s="1475" t="s">
        <v>677</v>
      </c>
      <c r="M353" s="1476"/>
      <c r="N353" s="1486" t="s">
        <v>850</v>
      </c>
      <c r="O353" s="1487"/>
      <c r="P353" s="1488"/>
      <c r="Q353" s="1486" t="s">
        <v>965</v>
      </c>
      <c r="R353" s="1487"/>
      <c r="S353" s="1488"/>
      <c r="T353" s="1466" t="s">
        <v>966</v>
      </c>
      <c r="U353" s="1489" t="s">
        <v>669</v>
      </c>
      <c r="V353" s="1490"/>
      <c r="W353" s="1490"/>
      <c r="X353" s="1490"/>
      <c r="Y353" s="1490"/>
      <c r="Z353" s="1490"/>
      <c r="AA353" s="1490"/>
      <c r="AB353" s="1490"/>
      <c r="AC353" s="1490"/>
      <c r="AD353" s="1490"/>
      <c r="AE353" s="1491"/>
    </row>
    <row r="354" spans="1:31" ht="16.5" thickBot="1">
      <c r="A354" s="1456"/>
      <c r="B354" s="1465"/>
      <c r="C354" s="1457"/>
      <c r="D354" s="1456"/>
      <c r="E354" s="1465"/>
      <c r="F354" s="1457"/>
      <c r="G354" s="1467"/>
      <c r="H354" s="1467"/>
      <c r="I354" s="1467"/>
      <c r="J354" s="1456"/>
      <c r="K354" s="1457"/>
      <c r="L354" s="1477"/>
      <c r="M354" s="1478"/>
      <c r="N354" s="1466" t="s">
        <v>853</v>
      </c>
      <c r="O354" s="1466" t="s">
        <v>854</v>
      </c>
      <c r="P354" s="1466" t="s">
        <v>855</v>
      </c>
      <c r="Q354" s="1466" t="s">
        <v>967</v>
      </c>
      <c r="R354" s="1466" t="s">
        <v>857</v>
      </c>
      <c r="S354" s="1466" t="s">
        <v>968</v>
      </c>
      <c r="T354" s="1467"/>
      <c r="U354" s="1466" t="s">
        <v>670</v>
      </c>
      <c r="V354" s="1489" t="s">
        <v>678</v>
      </c>
      <c r="W354" s="1492"/>
      <c r="X354" s="1499" t="s">
        <v>679</v>
      </c>
      <c r="Y354" s="1500"/>
      <c r="Z354" s="1499" t="s">
        <v>680</v>
      </c>
      <c r="AA354" s="1501"/>
      <c r="AB354" s="1499" t="s">
        <v>681</v>
      </c>
      <c r="AC354" s="1501"/>
      <c r="AD354" s="1499" t="s">
        <v>671</v>
      </c>
      <c r="AE354" s="1501"/>
    </row>
    <row r="355" spans="1:31" ht="63.75" thickBot="1">
      <c r="A355" s="929" t="s">
        <v>853</v>
      </c>
      <c r="B355" s="930" t="s">
        <v>854</v>
      </c>
      <c r="C355" s="931" t="s">
        <v>855</v>
      </c>
      <c r="D355" s="932" t="s">
        <v>856</v>
      </c>
      <c r="E355" s="933" t="s">
        <v>857</v>
      </c>
      <c r="F355" s="934" t="s">
        <v>388</v>
      </c>
      <c r="G355" s="1468"/>
      <c r="H355" s="1468"/>
      <c r="I355" s="1468"/>
      <c r="J355" s="935" t="s">
        <v>672</v>
      </c>
      <c r="K355" s="936" t="s">
        <v>673</v>
      </c>
      <c r="L355" s="1007" t="s">
        <v>672</v>
      </c>
      <c r="M355" s="1008" t="s">
        <v>673</v>
      </c>
      <c r="N355" s="1468"/>
      <c r="O355" s="1468"/>
      <c r="P355" s="1468"/>
      <c r="Q355" s="1468"/>
      <c r="R355" s="1468"/>
      <c r="S355" s="1468"/>
      <c r="T355" s="1468"/>
      <c r="U355" s="1468"/>
      <c r="V355" s="1036" t="s">
        <v>672</v>
      </c>
      <c r="W355" s="1037" t="s">
        <v>673</v>
      </c>
      <c r="X355" s="1082" t="s">
        <v>672</v>
      </c>
      <c r="Y355" s="1083" t="s">
        <v>673</v>
      </c>
      <c r="Z355" s="1084" t="s">
        <v>674</v>
      </c>
      <c r="AA355" s="1084" t="s">
        <v>675</v>
      </c>
      <c r="AB355" s="1084" t="s">
        <v>674</v>
      </c>
      <c r="AC355" s="1084" t="s">
        <v>675</v>
      </c>
      <c r="AD355" s="1084" t="s">
        <v>674</v>
      </c>
      <c r="AE355" s="1084" t="s">
        <v>675</v>
      </c>
    </row>
    <row r="356" spans="1:31" ht="29.25" thickBot="1">
      <c r="A356" s="1009" t="s">
        <v>493</v>
      </c>
      <c r="B356" s="1010" t="s">
        <v>494</v>
      </c>
      <c r="C356" s="1010" t="s">
        <v>527</v>
      </c>
      <c r="D356" s="1010" t="s">
        <v>549</v>
      </c>
      <c r="E356" s="1010" t="s">
        <v>551</v>
      </c>
      <c r="F356" s="1010" t="s">
        <v>563</v>
      </c>
      <c r="G356" s="1010" t="s">
        <v>858</v>
      </c>
      <c r="H356" s="1010" t="s">
        <v>567</v>
      </c>
      <c r="I356" s="1011" t="s">
        <v>569</v>
      </c>
      <c r="J356" s="1010" t="s">
        <v>571</v>
      </c>
      <c r="K356" s="1012" t="s">
        <v>573</v>
      </c>
      <c r="L356" s="1013" t="s">
        <v>575</v>
      </c>
      <c r="M356" s="1014" t="s">
        <v>579</v>
      </c>
      <c r="N356" s="1085" t="s">
        <v>493</v>
      </c>
      <c r="O356" s="1086" t="s">
        <v>494</v>
      </c>
      <c r="P356" s="1086" t="s">
        <v>527</v>
      </c>
      <c r="Q356" s="1086" t="s">
        <v>549</v>
      </c>
      <c r="R356" s="1086" t="s">
        <v>551</v>
      </c>
      <c r="S356" s="1086" t="s">
        <v>563</v>
      </c>
      <c r="T356" s="1087" t="s">
        <v>969</v>
      </c>
      <c r="U356" s="1086" t="s">
        <v>567</v>
      </c>
      <c r="V356" s="1086" t="s">
        <v>569</v>
      </c>
      <c r="W356" s="1086" t="s">
        <v>571</v>
      </c>
      <c r="X356" s="1088" t="s">
        <v>573</v>
      </c>
      <c r="Y356" s="1088" t="s">
        <v>575</v>
      </c>
      <c r="Z356" s="1088" t="s">
        <v>579</v>
      </c>
      <c r="AA356" s="1088" t="s">
        <v>970</v>
      </c>
      <c r="AB356" s="1088" t="s">
        <v>971</v>
      </c>
      <c r="AC356" s="1088" t="s">
        <v>972</v>
      </c>
      <c r="AD356" s="1088" t="s">
        <v>973</v>
      </c>
      <c r="AE356" s="1089" t="s">
        <v>974</v>
      </c>
    </row>
    <row r="357" spans="1:31" ht="15.75">
      <c r="A357" s="1015" t="s">
        <v>949</v>
      </c>
      <c r="B357" s="1016" t="s">
        <v>950</v>
      </c>
      <c r="C357" s="1016" t="s">
        <v>951</v>
      </c>
      <c r="D357" s="1016" t="s">
        <v>952</v>
      </c>
      <c r="E357" s="1016" t="s">
        <v>953</v>
      </c>
      <c r="F357" s="1016" t="s">
        <v>954</v>
      </c>
      <c r="G357" s="1017">
        <f>SUM(H357:M357)</f>
        <v>80000</v>
      </c>
      <c r="H357" s="1018">
        <v>80000</v>
      </c>
      <c r="I357" s="1017"/>
      <c r="J357" s="1017"/>
      <c r="K357" s="1019">
        <f>+J357*0.2</f>
        <v>0</v>
      </c>
      <c r="L357" s="1020"/>
      <c r="M357" s="1021"/>
      <c r="N357" s="1015" t="s">
        <v>1044</v>
      </c>
      <c r="O357" s="1016" t="s">
        <v>1044</v>
      </c>
      <c r="P357" s="1016" t="s">
        <v>1045</v>
      </c>
      <c r="Q357" s="1016" t="s">
        <v>1046</v>
      </c>
      <c r="R357" s="1016" t="s">
        <v>1047</v>
      </c>
      <c r="S357" s="1016" t="s">
        <v>977</v>
      </c>
      <c r="T357" s="1017">
        <f>SUM(U357:AE357)</f>
        <v>13383.56</v>
      </c>
      <c r="U357" s="1017">
        <v>13383.56</v>
      </c>
      <c r="V357" s="1017"/>
      <c r="W357" s="1017"/>
      <c r="X357" s="1046"/>
      <c r="Y357" s="1046"/>
      <c r="Z357" s="1046"/>
      <c r="AA357" s="1046"/>
      <c r="AB357" s="1046"/>
      <c r="AC357" s="1046"/>
      <c r="AD357" s="1046"/>
      <c r="AE357" s="1048"/>
    </row>
    <row r="358" spans="1:31" ht="15.75">
      <c r="A358" s="1015" t="s">
        <v>955</v>
      </c>
      <c r="B358" s="1016" t="s">
        <v>956</v>
      </c>
      <c r="C358" s="1016" t="s">
        <v>957</v>
      </c>
      <c r="D358" s="1016" t="s">
        <v>952</v>
      </c>
      <c r="E358" s="1016" t="s">
        <v>953</v>
      </c>
      <c r="F358" s="1016" t="s">
        <v>954</v>
      </c>
      <c r="G358" s="1017">
        <f t="shared" ref="G358:G360" si="30">SUM(H358:M358)</f>
        <v>296000</v>
      </c>
      <c r="H358" s="1018">
        <v>296000</v>
      </c>
      <c r="I358" s="1017"/>
      <c r="J358" s="1017"/>
      <c r="K358" s="1019">
        <f t="shared" ref="K358:K360" si="31">+J358*0.2</f>
        <v>0</v>
      </c>
      <c r="L358" s="1020"/>
      <c r="M358" s="1021"/>
      <c r="N358" s="1015" t="s">
        <v>1048</v>
      </c>
      <c r="O358" s="1016" t="s">
        <v>1049</v>
      </c>
      <c r="P358" s="1016" t="s">
        <v>1050</v>
      </c>
      <c r="Q358" s="1090" t="s">
        <v>1051</v>
      </c>
      <c r="R358" s="1090" t="s">
        <v>953</v>
      </c>
      <c r="S358" s="1090" t="s">
        <v>1035</v>
      </c>
      <c r="T358" s="1091">
        <f t="shared" ref="T358:T360" si="32">SUM(U358:AE358)</f>
        <v>56000</v>
      </c>
      <c r="U358" s="1091">
        <v>56000</v>
      </c>
      <c r="V358" s="1017"/>
      <c r="W358" s="1017"/>
      <c r="X358" s="1046"/>
      <c r="Y358" s="1046"/>
      <c r="Z358" s="1046"/>
      <c r="AA358" s="1046"/>
      <c r="AB358" s="1046"/>
      <c r="AC358" s="1046"/>
      <c r="AD358" s="1046"/>
      <c r="AE358" s="1048"/>
    </row>
    <row r="359" spans="1:31" ht="15.75">
      <c r="A359" s="1015" t="s">
        <v>958</v>
      </c>
      <c r="B359" s="1016" t="s">
        <v>959</v>
      </c>
      <c r="C359" s="1016" t="s">
        <v>957</v>
      </c>
      <c r="D359" s="1016" t="s">
        <v>960</v>
      </c>
      <c r="E359" s="1016" t="s">
        <v>953</v>
      </c>
      <c r="F359" s="1016" t="s">
        <v>954</v>
      </c>
      <c r="G359" s="1017">
        <f t="shared" si="30"/>
        <v>200000</v>
      </c>
      <c r="H359" s="1018">
        <v>200000</v>
      </c>
      <c r="I359" s="1017"/>
      <c r="J359" s="1017"/>
      <c r="K359" s="1019">
        <f t="shared" si="31"/>
        <v>0</v>
      </c>
      <c r="L359" s="1020"/>
      <c r="M359" s="1021"/>
      <c r="N359" s="1015" t="s">
        <v>1052</v>
      </c>
      <c r="O359" s="1016" t="s">
        <v>1053</v>
      </c>
      <c r="P359" s="1016" t="s">
        <v>1054</v>
      </c>
      <c r="Q359" s="1090" t="s">
        <v>1055</v>
      </c>
      <c r="R359" s="1090" t="s">
        <v>1047</v>
      </c>
      <c r="S359" s="1090" t="s">
        <v>1056</v>
      </c>
      <c r="T359" s="1091">
        <f t="shared" si="32"/>
        <v>118600</v>
      </c>
      <c r="U359" s="1091">
        <v>118600</v>
      </c>
      <c r="V359" s="1017"/>
      <c r="W359" s="1017"/>
      <c r="X359" s="1046"/>
      <c r="Y359" s="1046"/>
      <c r="Z359" s="1046"/>
      <c r="AA359" s="1046"/>
      <c r="AB359" s="1046"/>
      <c r="AC359" s="1046"/>
      <c r="AD359" s="1046"/>
      <c r="AE359" s="1048"/>
    </row>
    <row r="360" spans="1:31" ht="16.5" thickBot="1">
      <c r="A360" s="1015" t="s">
        <v>930</v>
      </c>
      <c r="B360" s="1016" t="s">
        <v>961</v>
      </c>
      <c r="C360" s="1016" t="s">
        <v>951</v>
      </c>
      <c r="D360" s="1016" t="s">
        <v>962</v>
      </c>
      <c r="E360" s="1016" t="s">
        <v>953</v>
      </c>
      <c r="F360" s="1016" t="s">
        <v>954</v>
      </c>
      <c r="G360" s="1017">
        <f t="shared" si="30"/>
        <v>48000</v>
      </c>
      <c r="H360" s="1018">
        <v>48000</v>
      </c>
      <c r="I360" s="1017"/>
      <c r="J360" s="1017"/>
      <c r="K360" s="1019">
        <f t="shared" si="31"/>
        <v>0</v>
      </c>
      <c r="L360" s="1020"/>
      <c r="M360" s="1021"/>
      <c r="N360" s="1015" t="s">
        <v>1057</v>
      </c>
      <c r="O360" s="1016" t="s">
        <v>1058</v>
      </c>
      <c r="P360" s="1016" t="s">
        <v>1059</v>
      </c>
      <c r="Q360" s="1090" t="s">
        <v>1051</v>
      </c>
      <c r="R360" s="1090" t="s">
        <v>953</v>
      </c>
      <c r="S360" s="1090" t="s">
        <v>1035</v>
      </c>
      <c r="T360" s="1091">
        <f t="shared" si="32"/>
        <v>28000</v>
      </c>
      <c r="U360" s="1091">
        <v>28000</v>
      </c>
      <c r="V360" s="1017"/>
      <c r="W360" s="1017"/>
      <c r="X360" s="1046"/>
      <c r="Y360" s="1046"/>
      <c r="Z360" s="1046"/>
      <c r="AA360" s="1046"/>
      <c r="AB360" s="1046"/>
      <c r="AC360" s="1046"/>
      <c r="AD360" s="1046"/>
      <c r="AE360" s="1048"/>
    </row>
    <row r="361" spans="1:31" ht="16.5" thickBot="1">
      <c r="A361" s="1479" t="s">
        <v>866</v>
      </c>
      <c r="B361" s="1480"/>
      <c r="C361" s="1480"/>
      <c r="D361" s="1480"/>
      <c r="E361" s="1480"/>
      <c r="F361" s="1481"/>
      <c r="G361" s="1022">
        <f t="shared" ref="G361:M361" si="33">SUM(G357:G360)</f>
        <v>624000</v>
      </c>
      <c r="H361" s="1022">
        <f>SUM(H357:H360)</f>
        <v>624000</v>
      </c>
      <c r="I361" s="1022">
        <f t="shared" si="33"/>
        <v>0</v>
      </c>
      <c r="J361" s="1022">
        <f t="shared" si="33"/>
        <v>0</v>
      </c>
      <c r="K361" s="1022">
        <f t="shared" si="33"/>
        <v>0</v>
      </c>
      <c r="L361" s="1023">
        <f t="shared" si="33"/>
        <v>0</v>
      </c>
      <c r="M361" s="1023">
        <f t="shared" si="33"/>
        <v>0</v>
      </c>
      <c r="N361" s="1090" t="s">
        <v>1060</v>
      </c>
      <c r="O361" s="1090" t="s">
        <v>1061</v>
      </c>
      <c r="P361" s="1090" t="s">
        <v>1062</v>
      </c>
      <c r="Q361" s="1090" t="s">
        <v>1063</v>
      </c>
      <c r="R361" s="1090" t="s">
        <v>1064</v>
      </c>
      <c r="S361" s="1090" t="s">
        <v>1065</v>
      </c>
      <c r="T361" s="1091">
        <v>27545.1</v>
      </c>
      <c r="U361" s="1091">
        <v>27545.1</v>
      </c>
      <c r="V361" s="1017"/>
      <c r="W361" s="1017"/>
      <c r="X361" s="1046"/>
      <c r="Y361" s="1046"/>
      <c r="Z361" s="1046"/>
      <c r="AA361" s="1046"/>
      <c r="AB361" s="1046"/>
      <c r="AC361" s="1046"/>
      <c r="AD361" s="1046"/>
      <c r="AE361" s="1048"/>
    </row>
    <row r="362" spans="1:31" ht="16.5" thickBot="1">
      <c r="A362" s="1461" t="s">
        <v>867</v>
      </c>
      <c r="B362" s="1462"/>
      <c r="C362" s="1462"/>
      <c r="D362" s="1462"/>
      <c r="E362" s="1462"/>
      <c r="F362" s="1462"/>
      <c r="G362" s="1462"/>
      <c r="H362" s="951" t="s">
        <v>868</v>
      </c>
      <c r="I362" s="1024" t="s">
        <v>869</v>
      </c>
      <c r="J362" s="951" t="s">
        <v>870</v>
      </c>
      <c r="K362" s="1025" t="s">
        <v>871</v>
      </c>
      <c r="L362" s="1026" t="s">
        <v>872</v>
      </c>
      <c r="M362" s="1027" t="s">
        <v>873</v>
      </c>
      <c r="N362" s="1090" t="s">
        <v>1066</v>
      </c>
      <c r="O362" s="1090" t="s">
        <v>1067</v>
      </c>
      <c r="P362" s="1090" t="s">
        <v>1068</v>
      </c>
      <c r="Q362" s="1090" t="s">
        <v>1063</v>
      </c>
      <c r="R362" s="1090" t="s">
        <v>1064</v>
      </c>
      <c r="S362" s="1090" t="s">
        <v>1065</v>
      </c>
      <c r="T362" s="1091">
        <v>75447.02</v>
      </c>
      <c r="U362" s="1091">
        <v>75447.02</v>
      </c>
      <c r="V362" s="1017"/>
      <c r="W362" s="1017"/>
      <c r="X362" s="1046"/>
      <c r="Y362" s="1046"/>
      <c r="Z362" s="1046"/>
      <c r="AA362" s="1046"/>
      <c r="AB362" s="1046"/>
      <c r="AC362" s="1046"/>
      <c r="AD362" s="1046"/>
      <c r="AE362" s="1048"/>
    </row>
    <row r="363" spans="1:31" ht="15.75">
      <c r="A363" s="561"/>
      <c r="B363" s="561"/>
      <c r="C363" s="561"/>
      <c r="D363" s="561"/>
      <c r="E363" s="561"/>
      <c r="F363" s="561"/>
      <c r="G363" s="561"/>
      <c r="H363" s="561"/>
      <c r="I363" s="561"/>
      <c r="J363" s="561"/>
      <c r="K363" s="561"/>
      <c r="L363" s="561"/>
      <c r="M363" s="561"/>
      <c r="N363" s="1090" t="s">
        <v>1069</v>
      </c>
      <c r="O363" s="1090" t="s">
        <v>1070</v>
      </c>
      <c r="P363" s="1090" t="s">
        <v>1071</v>
      </c>
      <c r="Q363" s="1090" t="s">
        <v>1072</v>
      </c>
      <c r="R363" s="1090" t="s">
        <v>953</v>
      </c>
      <c r="S363" s="1090" t="s">
        <v>1035</v>
      </c>
      <c r="T363" s="1091">
        <v>34500</v>
      </c>
      <c r="U363" s="1091">
        <v>34500</v>
      </c>
      <c r="V363" s="1017"/>
      <c r="W363" s="1017"/>
      <c r="X363" s="1046"/>
      <c r="Y363" s="1046"/>
      <c r="Z363" s="1046"/>
      <c r="AA363" s="1046"/>
      <c r="AB363" s="1046"/>
      <c r="AC363" s="1046"/>
      <c r="AD363" s="1046"/>
      <c r="AE363" s="1048"/>
    </row>
    <row r="364" spans="1:31" ht="16.5" thickBot="1">
      <c r="A364" s="561"/>
      <c r="B364" s="561"/>
      <c r="C364" s="561"/>
      <c r="D364" s="561"/>
      <c r="E364" s="561"/>
      <c r="F364" s="561"/>
      <c r="G364" s="561"/>
      <c r="H364" s="561"/>
      <c r="I364" s="561"/>
      <c r="J364" s="561"/>
      <c r="K364" s="561"/>
      <c r="L364" s="561"/>
      <c r="M364" s="561"/>
      <c r="N364" s="1092" t="s">
        <v>1073</v>
      </c>
      <c r="O364" s="1093" t="s">
        <v>1074</v>
      </c>
      <c r="P364" s="1093" t="s">
        <v>1075</v>
      </c>
      <c r="Q364" s="1093" t="s">
        <v>1063</v>
      </c>
      <c r="R364" s="1093" t="s">
        <v>1064</v>
      </c>
      <c r="S364" s="1093" t="s">
        <v>1065</v>
      </c>
      <c r="T364" s="1017">
        <v>18700</v>
      </c>
      <c r="U364" s="1091">
        <v>18700</v>
      </c>
      <c r="V364" s="1094"/>
      <c r="W364" s="1017"/>
      <c r="X364" s="1095"/>
      <c r="Y364" s="1095"/>
      <c r="Z364" s="1095"/>
      <c r="AA364" s="1046"/>
      <c r="AB364" s="1095"/>
      <c r="AC364" s="1095"/>
      <c r="AD364" s="1095"/>
      <c r="AE364" s="1096"/>
    </row>
    <row r="365" spans="1:31" ht="16.5" thickBot="1">
      <c r="A365" s="561"/>
      <c r="B365" s="561"/>
      <c r="C365" s="561"/>
      <c r="D365" s="561"/>
      <c r="E365" s="561"/>
      <c r="F365" s="561"/>
      <c r="G365" s="561"/>
      <c r="H365" s="561"/>
      <c r="I365" s="561"/>
      <c r="J365" s="953" t="s">
        <v>874</v>
      </c>
      <c r="K365" s="561"/>
      <c r="L365" s="561"/>
      <c r="M365" s="561"/>
      <c r="N365" s="1479" t="s">
        <v>866</v>
      </c>
      <c r="O365" s="1480"/>
      <c r="P365" s="1480"/>
      <c r="Q365" s="1480"/>
      <c r="R365" s="1480"/>
      <c r="S365" s="1481"/>
      <c r="T365" s="1097">
        <f>SUM(T357:T364)</f>
        <v>372175.68</v>
      </c>
      <c r="U365" s="1097">
        <f>SUM(U357:U364)</f>
        <v>372175.68</v>
      </c>
      <c r="V365" s="1097">
        <f t="shared" ref="V365:AE365" si="34">SUM(V357:V364)</f>
        <v>0</v>
      </c>
      <c r="W365" s="1097">
        <f t="shared" si="34"/>
        <v>0</v>
      </c>
      <c r="X365" s="1098">
        <f t="shared" si="34"/>
        <v>0</v>
      </c>
      <c r="Y365" s="1098">
        <f t="shared" si="34"/>
        <v>0</v>
      </c>
      <c r="Z365" s="1098">
        <f t="shared" si="34"/>
        <v>0</v>
      </c>
      <c r="AA365" s="1098">
        <f t="shared" si="34"/>
        <v>0</v>
      </c>
      <c r="AB365" s="1098">
        <f t="shared" si="34"/>
        <v>0</v>
      </c>
      <c r="AC365" s="1098">
        <f t="shared" si="34"/>
        <v>0</v>
      </c>
      <c r="AD365" s="1098">
        <f t="shared" si="34"/>
        <v>0</v>
      </c>
      <c r="AE365" s="1098">
        <f t="shared" si="34"/>
        <v>0</v>
      </c>
    </row>
    <row r="366" spans="1:31" ht="16.5" thickBot="1">
      <c r="A366" s="561"/>
      <c r="B366" s="561"/>
      <c r="C366" s="561"/>
      <c r="D366" s="561"/>
      <c r="E366" s="561"/>
      <c r="F366" s="561"/>
      <c r="G366" s="561"/>
      <c r="H366" s="561"/>
      <c r="I366" s="561"/>
      <c r="J366" s="561"/>
      <c r="K366" s="561"/>
      <c r="L366" s="561"/>
      <c r="M366" s="561"/>
      <c r="N366" s="1461" t="s">
        <v>867</v>
      </c>
      <c r="O366" s="1462"/>
      <c r="P366" s="1462"/>
      <c r="Q366" s="1462"/>
      <c r="R366" s="1462"/>
      <c r="S366" s="1462"/>
      <c r="T366" s="1462"/>
      <c r="U366" s="951" t="s">
        <v>980</v>
      </c>
      <c r="V366" s="951" t="s">
        <v>981</v>
      </c>
      <c r="W366" s="951" t="s">
        <v>982</v>
      </c>
      <c r="X366" s="1034" t="s">
        <v>983</v>
      </c>
      <c r="Y366" s="1034" t="s">
        <v>984</v>
      </c>
      <c r="Z366" s="1034" t="s">
        <v>985</v>
      </c>
      <c r="AA366" s="1034" t="s">
        <v>986</v>
      </c>
      <c r="AB366" s="1034" t="s">
        <v>987</v>
      </c>
      <c r="AC366" s="1034" t="s">
        <v>988</v>
      </c>
      <c r="AD366" s="1034" t="s">
        <v>989</v>
      </c>
      <c r="AE366" s="1035" t="s">
        <v>990</v>
      </c>
    </row>
    <row r="367" spans="1:31" ht="15.75">
      <c r="A367" s="561" t="s">
        <v>876</v>
      </c>
      <c r="B367" s="561"/>
      <c r="C367" s="561"/>
      <c r="D367" s="561"/>
      <c r="E367" s="561"/>
      <c r="F367" s="561"/>
      <c r="G367" s="561"/>
      <c r="H367" s="561"/>
      <c r="I367" s="561"/>
      <c r="J367" s="561"/>
      <c r="K367" s="561"/>
      <c r="L367" s="561"/>
      <c r="M367" s="561"/>
      <c r="N367" s="561"/>
      <c r="O367" s="561"/>
      <c r="P367" s="561"/>
      <c r="Q367" s="561"/>
      <c r="R367" s="561"/>
      <c r="S367" s="561"/>
      <c r="T367" s="561"/>
      <c r="U367" s="561"/>
      <c r="V367" s="561"/>
      <c r="W367" s="561"/>
      <c r="X367" s="561"/>
      <c r="Y367" s="561"/>
      <c r="Z367" s="561"/>
      <c r="AA367" s="561"/>
      <c r="AB367" s="561"/>
      <c r="AC367" s="561"/>
      <c r="AD367" s="561"/>
      <c r="AE367" s="561"/>
    </row>
    <row r="368" spans="1:31" ht="15.75">
      <c r="A368" s="561" t="s">
        <v>877</v>
      </c>
      <c r="B368" s="561"/>
      <c r="C368" s="561"/>
      <c r="D368" s="561"/>
      <c r="E368" s="561"/>
      <c r="F368" s="561"/>
      <c r="G368" s="561"/>
      <c r="H368" s="561"/>
      <c r="I368" s="561"/>
      <c r="J368" s="561"/>
      <c r="K368" s="561"/>
      <c r="L368" s="561"/>
      <c r="M368" s="561"/>
      <c r="N368" s="561"/>
      <c r="O368" s="561"/>
      <c r="P368" s="561"/>
      <c r="Q368" s="561"/>
      <c r="R368" s="561"/>
      <c r="S368" s="561"/>
      <c r="T368" s="561"/>
      <c r="U368" s="561"/>
      <c r="V368" s="561"/>
      <c r="W368" s="561"/>
      <c r="X368" s="561"/>
      <c r="Y368" s="561"/>
      <c r="Z368" s="561"/>
      <c r="AA368" s="561"/>
      <c r="AB368" s="561"/>
      <c r="AC368" s="561"/>
      <c r="AD368" s="561"/>
      <c r="AE368" s="561"/>
    </row>
    <row r="369" spans="1:31" ht="15.75">
      <c r="A369" s="561" t="s">
        <v>878</v>
      </c>
      <c r="B369"/>
      <c r="C369"/>
      <c r="D369"/>
      <c r="E369"/>
      <c r="F369"/>
      <c r="G369"/>
      <c r="H369"/>
      <c r="I369"/>
      <c r="J369"/>
      <c r="K369" s="561"/>
      <c r="L369" s="561"/>
      <c r="M369" s="561"/>
      <c r="N369" s="561"/>
      <c r="O369" s="561"/>
      <c r="P369" s="561"/>
      <c r="Q369" s="561"/>
      <c r="R369" s="561"/>
      <c r="S369" s="561"/>
      <c r="T369" s="561"/>
      <c r="U369" s="561"/>
      <c r="V369" s="561"/>
      <c r="W369" s="561"/>
      <c r="X369" s="561"/>
      <c r="Y369" s="561"/>
      <c r="Z369" s="561"/>
      <c r="AA369" s="561"/>
      <c r="AB369" s="561"/>
      <c r="AC369" s="561"/>
      <c r="AD369" s="953" t="s">
        <v>991</v>
      </c>
      <c r="AE369" s="561"/>
    </row>
    <row r="370" spans="1:31" ht="15.75">
      <c r="A370" s="561"/>
      <c r="B370" s="561"/>
      <c r="C370" s="561"/>
      <c r="D370" s="561"/>
      <c r="E370" s="561"/>
      <c r="F370" s="561"/>
      <c r="G370" s="561"/>
      <c r="H370" s="561"/>
      <c r="I370" s="561"/>
      <c r="J370" s="561"/>
      <c r="K370" s="561"/>
      <c r="L370" s="561"/>
      <c r="M370" s="561"/>
      <c r="N370" s="561"/>
      <c r="O370" s="561"/>
      <c r="P370" s="561"/>
      <c r="Q370" s="561"/>
      <c r="R370" s="561"/>
      <c r="S370" s="561"/>
      <c r="T370" s="561"/>
      <c r="U370" s="561"/>
      <c r="V370" s="561"/>
      <c r="W370" s="561"/>
      <c r="X370" s="561"/>
      <c r="Y370" s="561"/>
      <c r="Z370" s="561"/>
      <c r="AA370" s="561"/>
      <c r="AB370" s="561"/>
      <c r="AC370" s="561"/>
      <c r="AD370" s="953"/>
      <c r="AE370" s="561"/>
    </row>
    <row r="371" spans="1:31" ht="15.75">
      <c r="A371" s="561"/>
      <c r="B371" s="561"/>
      <c r="C371" s="561"/>
      <c r="D371" s="561"/>
      <c r="E371" s="561"/>
      <c r="F371" s="561"/>
      <c r="G371" s="561"/>
      <c r="H371" s="561"/>
      <c r="I371" s="561"/>
      <c r="J371" s="561"/>
      <c r="K371" s="561"/>
      <c r="L371" s="561"/>
      <c r="M371" s="561"/>
      <c r="N371" s="561" t="s">
        <v>876</v>
      </c>
      <c r="O371" s="561"/>
      <c r="P371" s="561"/>
      <c r="Q371" s="561"/>
      <c r="R371" s="561"/>
      <c r="S371" s="561"/>
      <c r="T371" s="561"/>
      <c r="U371" s="561"/>
      <c r="V371" s="561"/>
      <c r="W371" s="561"/>
      <c r="X371" s="561"/>
      <c r="Y371" s="561"/>
      <c r="Z371" s="561"/>
      <c r="AA371" s="561"/>
      <c r="AB371" s="561"/>
      <c r="AC371" s="561"/>
      <c r="AD371" s="561"/>
      <c r="AE371" s="561"/>
    </row>
    <row r="372" spans="1:31" ht="15.75">
      <c r="A372" s="561"/>
      <c r="B372" s="561"/>
      <c r="C372" s="561"/>
      <c r="D372" s="561"/>
      <c r="E372" s="561"/>
      <c r="F372" s="561"/>
      <c r="G372" s="561"/>
      <c r="H372" s="561"/>
      <c r="I372" s="561"/>
      <c r="J372" s="561"/>
      <c r="K372" s="561"/>
      <c r="L372" s="561"/>
      <c r="M372" s="561"/>
      <c r="N372" s="561" t="s">
        <v>877</v>
      </c>
      <c r="O372" s="561"/>
      <c r="P372" s="561"/>
      <c r="Q372" s="561"/>
      <c r="R372" s="561"/>
      <c r="S372" s="561"/>
      <c r="T372" s="561"/>
      <c r="U372" s="561"/>
      <c r="V372" s="561"/>
      <c r="W372" s="561"/>
      <c r="X372" s="561"/>
      <c r="Y372" s="561"/>
      <c r="Z372" s="561"/>
      <c r="AA372" s="561"/>
      <c r="AB372" s="561"/>
      <c r="AC372" s="561"/>
      <c r="AD372" s="561"/>
      <c r="AE372" s="561"/>
    </row>
    <row r="373" spans="1:31" ht="15.75">
      <c r="A373" s="561"/>
      <c r="B373" s="561"/>
      <c r="C373" s="561"/>
      <c r="D373" s="561"/>
      <c r="E373" s="561"/>
      <c r="F373" s="561"/>
      <c r="G373" s="561"/>
      <c r="H373" s="561"/>
      <c r="I373" s="561"/>
      <c r="J373" s="561"/>
      <c r="K373" s="561"/>
      <c r="L373" s="561"/>
      <c r="M373" s="561"/>
      <c r="N373" s="561"/>
      <c r="O373" s="561"/>
      <c r="P373" s="561"/>
      <c r="Q373" s="561"/>
      <c r="R373" s="561"/>
      <c r="S373" s="561"/>
      <c r="T373" s="561"/>
      <c r="U373" s="561"/>
      <c r="V373" s="561"/>
      <c r="W373" s="561"/>
      <c r="X373" s="561"/>
      <c r="Y373" s="561"/>
      <c r="Z373" s="561"/>
      <c r="AA373" s="561"/>
      <c r="AB373" s="561"/>
      <c r="AC373" s="561"/>
      <c r="AD373" s="561"/>
      <c r="AE373" s="561"/>
    </row>
    <row r="374" spans="1:31" ht="15.75">
      <c r="A374" s="561"/>
      <c r="B374" s="561"/>
      <c r="C374" s="561"/>
      <c r="D374" s="561"/>
      <c r="E374" s="561"/>
      <c r="F374" s="561"/>
      <c r="G374" s="561"/>
      <c r="H374" s="561"/>
      <c r="I374" s="561"/>
      <c r="J374" s="561"/>
      <c r="K374" s="561"/>
      <c r="L374" s="561"/>
      <c r="M374" s="561"/>
      <c r="N374" s="561"/>
      <c r="O374" s="561"/>
      <c r="P374" s="561"/>
      <c r="Q374" s="561"/>
      <c r="R374" s="561"/>
      <c r="S374" s="561"/>
      <c r="T374" s="561"/>
      <c r="U374" s="561"/>
      <c r="V374" s="561"/>
      <c r="W374" s="561"/>
      <c r="X374" s="561"/>
      <c r="Y374" s="561"/>
      <c r="Z374" s="561"/>
      <c r="AA374" s="561"/>
      <c r="AB374" s="561"/>
      <c r="AC374" s="561"/>
      <c r="AD374" s="561"/>
      <c r="AE374" s="561"/>
    </row>
    <row r="375" spans="1:31" ht="15.75">
      <c r="A375" s="561"/>
      <c r="B375" s="561"/>
      <c r="C375" s="561"/>
      <c r="D375" s="561"/>
      <c r="E375" s="561"/>
      <c r="F375" s="561"/>
      <c r="G375" s="561"/>
      <c r="H375" s="561"/>
      <c r="I375" s="561"/>
      <c r="J375" s="561"/>
      <c r="K375" s="561"/>
      <c r="L375" s="561"/>
      <c r="M375" s="561"/>
      <c r="N375" s="561"/>
      <c r="O375" s="561"/>
      <c r="P375" s="561"/>
      <c r="Q375" s="561"/>
      <c r="R375" s="561"/>
      <c r="S375" s="561"/>
      <c r="T375" s="561"/>
      <c r="U375" s="561"/>
      <c r="V375" s="561"/>
      <c r="W375" s="561"/>
      <c r="X375" s="561"/>
      <c r="Y375" s="561"/>
      <c r="Z375" s="561"/>
      <c r="AA375" s="561"/>
      <c r="AB375" s="561"/>
      <c r="AC375" s="561"/>
      <c r="AD375" s="561"/>
      <c r="AE375" s="561"/>
    </row>
    <row r="376" spans="1:31" ht="15.75">
      <c r="A376" s="561"/>
      <c r="B376" s="561"/>
      <c r="C376" s="561"/>
      <c r="D376" s="561"/>
      <c r="E376" s="561"/>
      <c r="F376" s="561"/>
      <c r="G376" s="561"/>
      <c r="H376" s="561"/>
      <c r="I376" s="561"/>
      <c r="J376" s="561"/>
      <c r="K376" s="561"/>
      <c r="L376" s="561"/>
      <c r="M376" s="561"/>
      <c r="N376" s="561"/>
      <c r="O376" s="561"/>
      <c r="P376" s="561"/>
      <c r="Q376" s="561"/>
      <c r="R376" s="561"/>
      <c r="S376" s="561"/>
      <c r="T376" s="561"/>
      <c r="U376" s="561"/>
      <c r="V376" s="561"/>
      <c r="W376" s="561"/>
      <c r="X376" s="561"/>
      <c r="Y376" s="561"/>
      <c r="Z376" s="561"/>
      <c r="AA376" s="561"/>
      <c r="AB376" s="561"/>
      <c r="AC376" s="561"/>
      <c r="AD376" s="561"/>
      <c r="AE376" s="561"/>
    </row>
    <row r="377" spans="1:31" ht="15.75">
      <c r="A377" s="561"/>
      <c r="B377" s="561"/>
      <c r="C377" s="561"/>
      <c r="D377" s="561"/>
      <c r="E377" s="561"/>
      <c r="F377" s="561"/>
      <c r="G377" s="561"/>
      <c r="H377" s="561"/>
      <c r="I377" s="561"/>
      <c r="J377" s="561"/>
      <c r="K377" s="561"/>
      <c r="L377" s="561"/>
      <c r="M377" s="561"/>
      <c r="N377" s="561"/>
      <c r="O377" s="561"/>
      <c r="P377" s="561"/>
      <c r="Q377" s="561"/>
      <c r="R377" s="561"/>
      <c r="S377" s="561"/>
      <c r="T377" s="561"/>
      <c r="U377" s="561"/>
      <c r="V377" s="561"/>
      <c r="W377" s="561"/>
      <c r="X377" s="561"/>
      <c r="Y377" s="561"/>
      <c r="Z377" s="561"/>
      <c r="AA377" s="561"/>
      <c r="AB377" s="561"/>
      <c r="AC377" s="561"/>
      <c r="AD377" s="561"/>
      <c r="AE377" s="561"/>
    </row>
    <row r="378" spans="1:31" ht="15.75">
      <c r="A378" s="561"/>
      <c r="B378" s="561"/>
      <c r="C378" s="561"/>
      <c r="D378" s="561"/>
      <c r="E378" s="561"/>
      <c r="F378" s="561"/>
      <c r="G378" s="561"/>
      <c r="H378" s="561"/>
      <c r="I378" s="561"/>
      <c r="J378" s="561"/>
      <c r="K378" s="561"/>
      <c r="L378" s="561"/>
      <c r="M378" s="561"/>
      <c r="N378" s="561" t="s">
        <v>878</v>
      </c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</row>
    <row r="379" spans="1:31">
      <c r="A379" s="925" t="s">
        <v>841</v>
      </c>
      <c r="B379" s="561"/>
      <c r="C379" s="561"/>
      <c r="D379" s="561"/>
      <c r="E379" s="561"/>
      <c r="F379" s="561"/>
      <c r="G379" s="561"/>
      <c r="H379" s="561"/>
      <c r="I379" s="561"/>
      <c r="J379" s="561"/>
      <c r="K379" s="561"/>
      <c r="L379" s="561"/>
      <c r="M379" s="561"/>
      <c r="N379" s="1099" t="s">
        <v>964</v>
      </c>
      <c r="O379" s="1100"/>
      <c r="P379" s="1100"/>
      <c r="Q379" s="1100"/>
      <c r="R379" s="1100"/>
      <c r="S379" s="1100"/>
      <c r="T379" s="1100"/>
      <c r="U379" s="1100"/>
      <c r="V379" s="1100"/>
      <c r="W379" s="1100"/>
      <c r="X379" s="1100"/>
      <c r="Y379" s="1100"/>
      <c r="Z379" s="1100"/>
      <c r="AA379" s="1100"/>
      <c r="AB379" s="1100"/>
      <c r="AC379" s="1100"/>
      <c r="AD379" s="1100"/>
      <c r="AE379" s="1100"/>
    </row>
    <row r="380" spans="1:31" ht="15.75">
      <c r="A380" s="926" t="s">
        <v>842</v>
      </c>
      <c r="B380" s="926"/>
      <c r="C380" s="927" t="s">
        <v>947</v>
      </c>
      <c r="D380" s="561"/>
      <c r="E380" s="561"/>
      <c r="F380" s="561"/>
      <c r="G380" s="561"/>
      <c r="H380" s="561"/>
      <c r="I380" s="561"/>
      <c r="J380" s="561"/>
      <c r="K380" s="561"/>
      <c r="L380" s="561"/>
      <c r="M380" s="561"/>
      <c r="N380" s="1101" t="s">
        <v>842</v>
      </c>
      <c r="O380" s="1101"/>
      <c r="P380" s="1102" t="s">
        <v>947</v>
      </c>
      <c r="Q380" s="1100"/>
      <c r="R380" s="1100"/>
      <c r="S380" s="1100"/>
      <c r="T380" s="1100"/>
      <c r="U380" s="1100"/>
      <c r="V380" s="1100"/>
      <c r="W380" s="1100"/>
      <c r="X380" s="1100"/>
      <c r="Y380" s="1100"/>
      <c r="Z380" s="1100"/>
      <c r="AA380" s="1100"/>
      <c r="AB380" s="1100"/>
      <c r="AC380" s="1100"/>
      <c r="AD380" s="1100"/>
      <c r="AE380" s="1100"/>
    </row>
    <row r="381" spans="1:31" ht="15.75">
      <c r="A381" s="926" t="s">
        <v>395</v>
      </c>
      <c r="B381" s="926"/>
      <c r="C381" s="927" t="s">
        <v>844</v>
      </c>
      <c r="D381" s="561"/>
      <c r="E381" s="561"/>
      <c r="F381" s="561"/>
      <c r="G381" s="561"/>
      <c r="H381" s="561"/>
      <c r="I381" s="561"/>
      <c r="J381" s="561"/>
      <c r="K381" s="561"/>
      <c r="L381" s="561"/>
      <c r="M381" s="561"/>
      <c r="N381" s="1101" t="s">
        <v>395</v>
      </c>
      <c r="O381" s="1101"/>
      <c r="P381" s="1102" t="s">
        <v>844</v>
      </c>
      <c r="Q381" s="1100"/>
      <c r="R381" s="1100"/>
      <c r="S381" s="1100"/>
      <c r="T381" s="1100"/>
      <c r="U381" s="1100"/>
      <c r="V381" s="1100"/>
      <c r="W381" s="1100"/>
      <c r="X381" s="1100"/>
      <c r="Y381" s="1100"/>
      <c r="Z381" s="1100"/>
      <c r="AA381" s="1100"/>
      <c r="AB381" s="1100"/>
      <c r="AC381" s="1100"/>
      <c r="AD381" s="1100"/>
      <c r="AE381" s="1100"/>
    </row>
    <row r="382" spans="1:31" ht="15.75">
      <c r="A382" s="926" t="s">
        <v>845</v>
      </c>
      <c r="B382" s="926"/>
      <c r="C382" s="927" t="s">
        <v>846</v>
      </c>
      <c r="D382" s="561"/>
      <c r="E382" s="561"/>
      <c r="F382" s="561"/>
      <c r="G382" s="561"/>
      <c r="H382" s="561"/>
      <c r="I382" s="561"/>
      <c r="J382" s="561"/>
      <c r="K382" s="561"/>
      <c r="L382" s="561"/>
      <c r="M382" s="561"/>
      <c r="N382" s="1101" t="s">
        <v>845</v>
      </c>
      <c r="O382" s="1101"/>
      <c r="P382" s="1102" t="s">
        <v>846</v>
      </c>
      <c r="Q382" s="1100"/>
      <c r="R382" s="1100"/>
      <c r="S382" s="1100"/>
      <c r="T382" s="1100"/>
      <c r="U382" s="1100"/>
      <c r="V382" s="1100"/>
      <c r="W382" s="1100"/>
      <c r="X382" s="1100"/>
      <c r="Y382" s="1100"/>
      <c r="Z382" s="1100"/>
      <c r="AA382" s="1100"/>
      <c r="AB382" s="1100"/>
      <c r="AC382" s="1100"/>
      <c r="AD382" s="1100"/>
      <c r="AE382" s="1100"/>
    </row>
    <row r="383" spans="1:31" ht="15.75">
      <c r="A383" s="926" t="s">
        <v>167</v>
      </c>
      <c r="B383" s="926"/>
      <c r="C383" s="927" t="s">
        <v>963</v>
      </c>
      <c r="D383" s="561"/>
      <c r="E383" s="561"/>
      <c r="F383" s="561"/>
      <c r="G383" s="561"/>
      <c r="H383" s="561"/>
      <c r="I383" s="561"/>
      <c r="J383" s="561"/>
      <c r="K383" s="561"/>
      <c r="L383" s="561"/>
      <c r="M383" s="561"/>
      <c r="N383" s="1101" t="s">
        <v>167</v>
      </c>
      <c r="O383" s="1101"/>
      <c r="P383" s="1102" t="s">
        <v>963</v>
      </c>
      <c r="Q383" s="1100"/>
      <c r="R383" s="1100"/>
      <c r="S383" s="1100"/>
      <c r="T383" s="1100"/>
      <c r="U383" s="1100"/>
      <c r="V383" s="1100"/>
      <c r="W383" s="1100"/>
      <c r="X383" s="1100"/>
      <c r="Y383" s="1100"/>
      <c r="Z383" s="1100"/>
      <c r="AA383" s="1100"/>
      <c r="AB383" s="1100"/>
      <c r="AC383" s="1100"/>
      <c r="AD383" s="1100"/>
      <c r="AE383" s="1100"/>
    </row>
    <row r="384" spans="1:31" ht="16.5" thickBot="1">
      <c r="A384" s="926"/>
      <c r="B384" s="926"/>
      <c r="C384" s="561"/>
      <c r="D384" s="561"/>
      <c r="E384" s="561"/>
      <c r="F384" s="561"/>
      <c r="G384" s="561"/>
      <c r="H384" s="561"/>
      <c r="I384" s="561"/>
      <c r="J384" s="561"/>
      <c r="K384" s="561"/>
      <c r="L384" s="561"/>
      <c r="M384" s="561"/>
      <c r="N384" s="1101"/>
      <c r="O384" s="1101"/>
      <c r="P384" s="1100"/>
      <c r="Q384" s="1100"/>
      <c r="R384" s="1100"/>
      <c r="S384" s="1100"/>
      <c r="T384" s="1100"/>
      <c r="U384" s="1100"/>
      <c r="V384" s="1100"/>
      <c r="W384" s="1100"/>
      <c r="X384" s="1100"/>
      <c r="Y384" s="1100"/>
      <c r="Z384" s="1100"/>
      <c r="AA384" s="1100"/>
      <c r="AB384" s="1100"/>
      <c r="AC384" s="1100"/>
      <c r="AD384" s="1100"/>
      <c r="AE384" s="1100"/>
    </row>
    <row r="385" spans="1:31" ht="16.5" thickBot="1">
      <c r="A385" s="561" t="s">
        <v>848</v>
      </c>
      <c r="B385" s="928"/>
      <c r="C385" s="561" t="s">
        <v>849</v>
      </c>
      <c r="D385" s="561"/>
      <c r="E385" s="561"/>
      <c r="F385" s="561"/>
      <c r="G385" s="561"/>
      <c r="H385" s="561"/>
      <c r="I385" s="561"/>
      <c r="J385" s="561"/>
      <c r="K385" s="561"/>
      <c r="L385" s="561"/>
      <c r="M385" s="561"/>
      <c r="N385" s="1100" t="s">
        <v>848</v>
      </c>
      <c r="O385" s="1103"/>
      <c r="P385" s="1100" t="s">
        <v>1076</v>
      </c>
      <c r="Q385" s="1100"/>
      <c r="R385" s="1100"/>
      <c r="S385" s="1100"/>
      <c r="T385" s="1100"/>
      <c r="U385" s="1100"/>
      <c r="V385" s="1100"/>
      <c r="W385" s="1100"/>
      <c r="X385" s="1100"/>
      <c r="Y385" s="1100"/>
      <c r="Z385" s="1100"/>
      <c r="AA385" s="1100"/>
      <c r="AB385" s="1100"/>
      <c r="AC385" s="1100"/>
      <c r="AD385" s="1100"/>
      <c r="AE385" s="1100"/>
    </row>
    <row r="386" spans="1:31" ht="16.5" thickBot="1">
      <c r="A386" s="561"/>
      <c r="B386" s="561"/>
      <c r="C386" s="561"/>
      <c r="D386" s="561"/>
      <c r="E386" s="561"/>
      <c r="F386" s="561"/>
      <c r="G386" s="561"/>
      <c r="H386" s="561"/>
      <c r="I386" s="561"/>
      <c r="J386" s="561"/>
      <c r="K386" s="561"/>
      <c r="L386" s="561"/>
      <c r="M386" s="561"/>
      <c r="N386" s="1100"/>
      <c r="O386" s="1100"/>
      <c r="P386" s="1101"/>
      <c r="Q386" s="1100"/>
      <c r="R386" s="1100"/>
      <c r="S386" s="1100"/>
      <c r="T386" s="1100"/>
      <c r="U386" s="1100"/>
      <c r="V386" s="1100"/>
      <c r="W386" s="1100"/>
      <c r="X386" s="1100"/>
      <c r="Y386" s="1100"/>
      <c r="Z386" s="1100"/>
      <c r="AA386" s="1100"/>
      <c r="AB386" s="1100"/>
      <c r="AC386" s="1100"/>
      <c r="AD386" s="1100"/>
      <c r="AE386" s="1100"/>
    </row>
    <row r="387" spans="1:31" ht="16.5" thickBot="1">
      <c r="A387" s="1454" t="s">
        <v>850</v>
      </c>
      <c r="B387" s="1464"/>
      <c r="C387" s="1455"/>
      <c r="D387" s="1454" t="s">
        <v>851</v>
      </c>
      <c r="E387" s="1464"/>
      <c r="F387" s="1455"/>
      <c r="G387" s="1466" t="s">
        <v>852</v>
      </c>
      <c r="H387" s="1466" t="s">
        <v>667</v>
      </c>
      <c r="I387" s="1466" t="s">
        <v>668</v>
      </c>
      <c r="J387" s="1454" t="s">
        <v>676</v>
      </c>
      <c r="K387" s="1455"/>
      <c r="L387" s="1482" t="s">
        <v>677</v>
      </c>
      <c r="M387" s="1483"/>
      <c r="N387" s="1493" t="s">
        <v>850</v>
      </c>
      <c r="O387" s="1494"/>
      <c r="P387" s="1495"/>
      <c r="Q387" s="1493" t="s">
        <v>965</v>
      </c>
      <c r="R387" s="1494"/>
      <c r="S387" s="1495"/>
      <c r="T387" s="1496" t="s">
        <v>966</v>
      </c>
      <c r="U387" s="1499" t="s">
        <v>669</v>
      </c>
      <c r="V387" s="1507"/>
      <c r="W387" s="1507"/>
      <c r="X387" s="1507"/>
      <c r="Y387" s="1507"/>
      <c r="Z387" s="1507"/>
      <c r="AA387" s="1507"/>
      <c r="AB387" s="1507"/>
      <c r="AC387" s="1507"/>
      <c r="AD387" s="1507"/>
      <c r="AE387" s="1501"/>
    </row>
    <row r="388" spans="1:31" ht="16.5" thickBot="1">
      <c r="A388" s="1456"/>
      <c r="B388" s="1465"/>
      <c r="C388" s="1457"/>
      <c r="D388" s="1456"/>
      <c r="E388" s="1465"/>
      <c r="F388" s="1457"/>
      <c r="G388" s="1467"/>
      <c r="H388" s="1467"/>
      <c r="I388" s="1467"/>
      <c r="J388" s="1456"/>
      <c r="K388" s="1457"/>
      <c r="L388" s="1484"/>
      <c r="M388" s="1485"/>
      <c r="N388" s="1496" t="s">
        <v>853</v>
      </c>
      <c r="O388" s="1496" t="s">
        <v>854</v>
      </c>
      <c r="P388" s="1496" t="s">
        <v>855</v>
      </c>
      <c r="Q388" s="1496" t="s">
        <v>967</v>
      </c>
      <c r="R388" s="1496" t="s">
        <v>857</v>
      </c>
      <c r="S388" s="1496" t="s">
        <v>968</v>
      </c>
      <c r="T388" s="1497"/>
      <c r="U388" s="1496" t="s">
        <v>670</v>
      </c>
      <c r="V388" s="1499" t="s">
        <v>678</v>
      </c>
      <c r="W388" s="1500"/>
      <c r="X388" s="1499" t="s">
        <v>679</v>
      </c>
      <c r="Y388" s="1500"/>
      <c r="Z388" s="1499" t="s">
        <v>680</v>
      </c>
      <c r="AA388" s="1501"/>
      <c r="AB388" s="1499" t="s">
        <v>681</v>
      </c>
      <c r="AC388" s="1501"/>
      <c r="AD388" s="1499" t="s">
        <v>671</v>
      </c>
      <c r="AE388" s="1501"/>
    </row>
    <row r="389" spans="1:31" ht="63.75" thickBot="1">
      <c r="A389" s="929" t="s">
        <v>853</v>
      </c>
      <c r="B389" s="930" t="s">
        <v>854</v>
      </c>
      <c r="C389" s="931" t="s">
        <v>855</v>
      </c>
      <c r="D389" s="932" t="s">
        <v>856</v>
      </c>
      <c r="E389" s="933" t="s">
        <v>857</v>
      </c>
      <c r="F389" s="934" t="s">
        <v>388</v>
      </c>
      <c r="G389" s="1468"/>
      <c r="H389" s="1468"/>
      <c r="I389" s="1468"/>
      <c r="J389" s="935" t="s">
        <v>672</v>
      </c>
      <c r="K389" s="936" t="s">
        <v>673</v>
      </c>
      <c r="L389" s="1028" t="s">
        <v>672</v>
      </c>
      <c r="M389" s="1029" t="s">
        <v>673</v>
      </c>
      <c r="N389" s="1498"/>
      <c r="O389" s="1498"/>
      <c r="P389" s="1498"/>
      <c r="Q389" s="1498"/>
      <c r="R389" s="1498"/>
      <c r="S389" s="1498"/>
      <c r="T389" s="1498"/>
      <c r="U389" s="1498"/>
      <c r="V389" s="1082" t="s">
        <v>672</v>
      </c>
      <c r="W389" s="1083" t="s">
        <v>673</v>
      </c>
      <c r="X389" s="1082" t="s">
        <v>672</v>
      </c>
      <c r="Y389" s="1083" t="s">
        <v>673</v>
      </c>
      <c r="Z389" s="1084" t="s">
        <v>674</v>
      </c>
      <c r="AA389" s="1084" t="s">
        <v>675</v>
      </c>
      <c r="AB389" s="1084" t="s">
        <v>674</v>
      </c>
      <c r="AC389" s="1084" t="s">
        <v>675</v>
      </c>
      <c r="AD389" s="1084" t="s">
        <v>674</v>
      </c>
      <c r="AE389" s="1084" t="s">
        <v>675</v>
      </c>
    </row>
    <row r="390" spans="1:31" ht="29.25" thickBot="1">
      <c r="A390" s="1009" t="s">
        <v>493</v>
      </c>
      <c r="B390" s="1010" t="s">
        <v>494</v>
      </c>
      <c r="C390" s="1010" t="s">
        <v>527</v>
      </c>
      <c r="D390" s="1010" t="s">
        <v>549</v>
      </c>
      <c r="E390" s="1010" t="s">
        <v>551</v>
      </c>
      <c r="F390" s="1010" t="s">
        <v>563</v>
      </c>
      <c r="G390" s="1010" t="s">
        <v>858</v>
      </c>
      <c r="H390" s="1010" t="s">
        <v>567</v>
      </c>
      <c r="I390" s="1011" t="s">
        <v>569</v>
      </c>
      <c r="J390" s="1010" t="s">
        <v>571</v>
      </c>
      <c r="K390" s="1012" t="s">
        <v>573</v>
      </c>
      <c r="L390" s="1030" t="s">
        <v>575</v>
      </c>
      <c r="M390" s="1031" t="s">
        <v>579</v>
      </c>
      <c r="N390" s="1104" t="s">
        <v>493</v>
      </c>
      <c r="O390" s="1088" t="s">
        <v>494</v>
      </c>
      <c r="P390" s="1088" t="s">
        <v>527</v>
      </c>
      <c r="Q390" s="1088" t="s">
        <v>549</v>
      </c>
      <c r="R390" s="1088" t="s">
        <v>551</v>
      </c>
      <c r="S390" s="1088" t="s">
        <v>563</v>
      </c>
      <c r="T390" s="1105" t="s">
        <v>969</v>
      </c>
      <c r="U390" s="1088" t="s">
        <v>567</v>
      </c>
      <c r="V390" s="1088" t="s">
        <v>569</v>
      </c>
      <c r="W390" s="1088" t="s">
        <v>571</v>
      </c>
      <c r="X390" s="1088" t="s">
        <v>573</v>
      </c>
      <c r="Y390" s="1088" t="s">
        <v>575</v>
      </c>
      <c r="Z390" s="1088" t="s">
        <v>579</v>
      </c>
      <c r="AA390" s="1088" t="s">
        <v>970</v>
      </c>
      <c r="AB390" s="1088" t="s">
        <v>971</v>
      </c>
      <c r="AC390" s="1088" t="s">
        <v>972</v>
      </c>
      <c r="AD390" s="1088" t="s">
        <v>973</v>
      </c>
      <c r="AE390" s="1089" t="s">
        <v>974</v>
      </c>
    </row>
    <row r="391" spans="1:31" ht="16.5" thickBot="1">
      <c r="A391" s="1479" t="s">
        <v>866</v>
      </c>
      <c r="B391" s="1480"/>
      <c r="C391" s="1480"/>
      <c r="D391" s="1480"/>
      <c r="E391" s="1480"/>
      <c r="F391" s="1481"/>
      <c r="G391" s="1022">
        <v>0</v>
      </c>
      <c r="H391" s="1022">
        <v>0</v>
      </c>
      <c r="I391" s="1022">
        <v>0</v>
      </c>
      <c r="J391" s="1022">
        <v>0</v>
      </c>
      <c r="K391" s="1022">
        <v>0</v>
      </c>
      <c r="L391" s="1032">
        <v>0</v>
      </c>
      <c r="M391" s="1033">
        <v>0</v>
      </c>
      <c r="N391" s="1106"/>
      <c r="O391" s="1107" t="s">
        <v>1077</v>
      </c>
      <c r="P391" s="1107" t="s">
        <v>1078</v>
      </c>
      <c r="Q391" s="1107" t="s">
        <v>1079</v>
      </c>
      <c r="R391" s="1107" t="s">
        <v>1080</v>
      </c>
      <c r="S391" s="1107" t="s">
        <v>977</v>
      </c>
      <c r="T391" s="1046">
        <f>SUM(U391:AE391)</f>
        <v>13915.77</v>
      </c>
      <c r="U391" s="1046">
        <v>13915.77</v>
      </c>
      <c r="V391" s="1108"/>
      <c r="W391" s="1108">
        <f>+V391*0.2</f>
        <v>0</v>
      </c>
      <c r="X391" s="1108"/>
      <c r="Y391" s="1108"/>
      <c r="Z391" s="1046"/>
      <c r="AA391" s="1046"/>
      <c r="AB391" s="1108"/>
      <c r="AC391" s="1108"/>
      <c r="AD391" s="1108"/>
      <c r="AE391" s="1109"/>
    </row>
    <row r="392" spans="1:31" ht="16.5" thickBot="1">
      <c r="A392" s="1461" t="s">
        <v>867</v>
      </c>
      <c r="B392" s="1462"/>
      <c r="C392" s="1462"/>
      <c r="D392" s="1462"/>
      <c r="E392" s="1462"/>
      <c r="F392" s="1462"/>
      <c r="G392" s="1462"/>
      <c r="H392" s="951" t="s">
        <v>868</v>
      </c>
      <c r="I392" s="1024" t="s">
        <v>869</v>
      </c>
      <c r="J392" s="951" t="s">
        <v>870</v>
      </c>
      <c r="K392" s="1025" t="s">
        <v>871</v>
      </c>
      <c r="L392" s="1034" t="s">
        <v>872</v>
      </c>
      <c r="M392" s="1035" t="s">
        <v>873</v>
      </c>
      <c r="N392" s="1106" t="s">
        <v>1081</v>
      </c>
      <c r="O392" s="1107" t="s">
        <v>1082</v>
      </c>
      <c r="P392" s="1107" t="s">
        <v>1083</v>
      </c>
      <c r="Q392" s="1107" t="s">
        <v>1084</v>
      </c>
      <c r="R392" s="1107" t="s">
        <v>1064</v>
      </c>
      <c r="S392" s="1107" t="s">
        <v>1035</v>
      </c>
      <c r="T392" s="1046">
        <f t="shared" ref="T392" si="35">SUM(U392:AE392)</f>
        <v>35000</v>
      </c>
      <c r="U392" s="1046">
        <v>35000</v>
      </c>
      <c r="V392" s="1108"/>
      <c r="W392" s="1108">
        <f t="shared" ref="W392" si="36">+V392*0.2</f>
        <v>0</v>
      </c>
      <c r="X392" s="1108"/>
      <c r="Y392" s="1108"/>
      <c r="Z392" s="1046"/>
      <c r="AA392" s="1046"/>
      <c r="AB392" s="1108"/>
      <c r="AC392" s="1108"/>
      <c r="AD392" s="1108"/>
      <c r="AE392" s="1109"/>
    </row>
    <row r="393" spans="1:31" ht="16.5" thickBot="1">
      <c r="A393" s="561"/>
      <c r="B393" s="561"/>
      <c r="C393" s="561"/>
      <c r="D393" s="561"/>
      <c r="E393" s="561"/>
      <c r="F393" s="561"/>
      <c r="G393" s="561"/>
      <c r="H393" s="561"/>
      <c r="I393" s="561"/>
      <c r="J393" s="561"/>
      <c r="K393" s="561"/>
      <c r="L393" s="561"/>
      <c r="M393" s="561"/>
      <c r="N393" s="1502" t="s">
        <v>866</v>
      </c>
      <c r="O393" s="1503"/>
      <c r="P393" s="1503"/>
      <c r="Q393" s="1503"/>
      <c r="R393" s="1503"/>
      <c r="S393" s="1504"/>
      <c r="T393" s="1098">
        <f t="shared" ref="T393:AE393" si="37">SUM(T391:T392)</f>
        <v>48915.770000000004</v>
      </c>
      <c r="U393" s="1098">
        <f>SUM(U391:U392)</f>
        <v>48915.770000000004</v>
      </c>
      <c r="V393" s="1110">
        <f t="shared" si="37"/>
        <v>0</v>
      </c>
      <c r="W393" s="1110">
        <f t="shared" si="37"/>
        <v>0</v>
      </c>
      <c r="X393" s="1110">
        <f t="shared" si="37"/>
        <v>0</v>
      </c>
      <c r="Y393" s="1110">
        <f t="shared" si="37"/>
        <v>0</v>
      </c>
      <c r="Z393" s="1098">
        <f t="shared" si="37"/>
        <v>0</v>
      </c>
      <c r="AA393" s="1098">
        <f t="shared" si="37"/>
        <v>0</v>
      </c>
      <c r="AB393" s="1110">
        <f t="shared" si="37"/>
        <v>0</v>
      </c>
      <c r="AC393" s="1110">
        <f t="shared" si="37"/>
        <v>0</v>
      </c>
      <c r="AD393" s="1110">
        <f t="shared" si="37"/>
        <v>0</v>
      </c>
      <c r="AE393" s="1110">
        <f t="shared" si="37"/>
        <v>0</v>
      </c>
    </row>
    <row r="394" spans="1:31" ht="16.5" thickBot="1">
      <c r="A394" s="561"/>
      <c r="B394" s="561"/>
      <c r="C394" s="561"/>
      <c r="D394" s="561"/>
      <c r="E394" s="561"/>
      <c r="F394" s="561"/>
      <c r="G394" s="561"/>
      <c r="H394" s="561"/>
      <c r="I394" s="561"/>
      <c r="J394" s="561"/>
      <c r="K394" s="561"/>
      <c r="L394" s="561"/>
      <c r="M394" s="561"/>
      <c r="N394" s="1505" t="s">
        <v>867</v>
      </c>
      <c r="O394" s="1506"/>
      <c r="P394" s="1506"/>
      <c r="Q394" s="1506"/>
      <c r="R394" s="1506"/>
      <c r="S394" s="1506"/>
      <c r="T394" s="1506"/>
      <c r="U394" s="1111" t="s">
        <v>980</v>
      </c>
      <c r="V394" s="1111" t="s">
        <v>981</v>
      </c>
      <c r="W394" s="1111" t="s">
        <v>982</v>
      </c>
      <c r="X394" s="1111" t="s">
        <v>983</v>
      </c>
      <c r="Y394" s="1111" t="s">
        <v>984</v>
      </c>
      <c r="Z394" s="1111" t="s">
        <v>985</v>
      </c>
      <c r="AA394" s="1111" t="s">
        <v>986</v>
      </c>
      <c r="AB394" s="1111" t="s">
        <v>987</v>
      </c>
      <c r="AC394" s="1111" t="s">
        <v>988</v>
      </c>
      <c r="AD394" s="1111" t="s">
        <v>989</v>
      </c>
      <c r="AE394" s="1112" t="s">
        <v>990</v>
      </c>
    </row>
    <row r="395" spans="1:31" ht="15.75">
      <c r="A395" s="561"/>
      <c r="B395" s="561"/>
      <c r="C395" s="561"/>
      <c r="D395" s="561"/>
      <c r="E395" s="561"/>
      <c r="F395" s="561"/>
      <c r="G395" s="561"/>
      <c r="H395" s="561"/>
      <c r="I395" s="561"/>
      <c r="J395" s="953" t="s">
        <v>874</v>
      </c>
      <c r="K395" s="561"/>
      <c r="L395" s="561"/>
      <c r="M395" s="561"/>
      <c r="N395" s="1100"/>
      <c r="O395" s="1100"/>
      <c r="P395" s="1100"/>
      <c r="Q395" s="1100"/>
      <c r="R395" s="1100"/>
      <c r="S395" s="1100"/>
      <c r="T395" s="1100"/>
      <c r="U395" s="1100"/>
      <c r="V395" s="1100"/>
      <c r="W395" s="1100"/>
      <c r="X395" s="1100"/>
      <c r="Y395" s="1100"/>
      <c r="Z395" s="1100"/>
      <c r="AA395" s="1100"/>
      <c r="AB395" s="1100"/>
      <c r="AC395" s="1100"/>
      <c r="AD395" s="1100"/>
      <c r="AE395" s="1100"/>
    </row>
    <row r="396" spans="1:31" ht="15.75">
      <c r="A396" s="561"/>
      <c r="B396" s="561"/>
      <c r="C396" s="561"/>
      <c r="D396" s="561"/>
      <c r="E396" s="561"/>
      <c r="F396" s="561"/>
      <c r="G396" s="561"/>
      <c r="H396" s="561"/>
      <c r="I396" s="561"/>
      <c r="J396" s="561"/>
      <c r="K396" s="561"/>
      <c r="L396" s="561"/>
      <c r="M396" s="561"/>
      <c r="N396" s="1100"/>
      <c r="O396" s="1100"/>
      <c r="P396" s="1100"/>
      <c r="Q396" s="1100"/>
      <c r="R396" s="1100"/>
      <c r="S396" s="1100"/>
      <c r="T396" s="1100"/>
      <c r="U396" s="1100"/>
      <c r="V396" s="1100"/>
      <c r="W396" s="1100"/>
      <c r="X396" s="1100"/>
      <c r="Y396" s="1100"/>
      <c r="Z396" s="1100"/>
      <c r="AA396" s="1100"/>
      <c r="AB396" s="1100"/>
      <c r="AC396" s="1100"/>
      <c r="AD396" s="1100"/>
      <c r="AE396" s="1100"/>
    </row>
    <row r="397" spans="1:31" ht="15.75">
      <c r="A397" s="561" t="s">
        <v>876</v>
      </c>
      <c r="B397" s="561"/>
      <c r="C397" s="561"/>
      <c r="D397" s="561"/>
      <c r="E397" s="561"/>
      <c r="F397" s="561"/>
      <c r="G397" s="561"/>
      <c r="H397" s="561"/>
      <c r="I397" s="561"/>
      <c r="J397" s="561"/>
      <c r="K397" s="561"/>
      <c r="L397" s="561"/>
      <c r="M397" s="561"/>
      <c r="N397" s="1100"/>
      <c r="O397" s="1100"/>
      <c r="P397" s="1100"/>
      <c r="Q397" s="1100"/>
      <c r="R397" s="1100"/>
      <c r="S397" s="1100"/>
      <c r="T397" s="1100"/>
      <c r="U397" s="1100"/>
      <c r="V397" s="1100"/>
      <c r="W397" s="1100"/>
      <c r="X397" s="1100"/>
      <c r="Y397" s="1100"/>
      <c r="Z397" s="1100"/>
      <c r="AA397" s="1100"/>
      <c r="AB397" s="1100"/>
      <c r="AC397" s="1100"/>
      <c r="AD397" s="1113" t="s">
        <v>991</v>
      </c>
      <c r="AE397" s="1100"/>
    </row>
    <row r="398" spans="1:31" ht="15.75">
      <c r="A398" s="561" t="s">
        <v>877</v>
      </c>
      <c r="B398" s="561"/>
      <c r="C398" s="561"/>
      <c r="D398" s="561"/>
      <c r="E398" s="561"/>
      <c r="F398" s="561"/>
      <c r="G398" s="561"/>
      <c r="H398" s="561"/>
      <c r="I398" s="561"/>
      <c r="J398" s="561"/>
      <c r="K398" s="561"/>
      <c r="L398" s="561"/>
      <c r="M398" s="561"/>
      <c r="N398" s="1100"/>
      <c r="O398" s="1100"/>
      <c r="P398" s="1100"/>
      <c r="Q398" s="1100"/>
      <c r="R398" s="1100"/>
      <c r="S398" s="1100"/>
      <c r="T398" s="1100"/>
      <c r="U398" s="1100"/>
      <c r="V398" s="1100"/>
      <c r="W398" s="1100"/>
      <c r="X398" s="1100"/>
      <c r="Y398" s="1100"/>
      <c r="Z398" s="1100"/>
      <c r="AA398" s="1100"/>
      <c r="AB398" s="1100"/>
      <c r="AC398" s="1100"/>
      <c r="AD398" s="1113"/>
      <c r="AE398" s="1100"/>
    </row>
    <row r="399" spans="1:31" ht="15.75">
      <c r="A399" s="561" t="s">
        <v>878</v>
      </c>
      <c r="B399"/>
      <c r="C399"/>
      <c r="D399"/>
      <c r="E399"/>
      <c r="F399"/>
      <c r="G399"/>
      <c r="H399"/>
      <c r="I399"/>
      <c r="J399"/>
      <c r="K399" s="561"/>
      <c r="L399" s="561"/>
      <c r="M399" s="561"/>
      <c r="N399" s="1100" t="s">
        <v>876</v>
      </c>
      <c r="O399" s="1100"/>
      <c r="P399" s="1100"/>
      <c r="Q399" s="1100"/>
      <c r="R399" s="1100"/>
      <c r="S399" s="1100"/>
      <c r="T399" s="1100"/>
      <c r="U399" s="1100"/>
      <c r="V399" s="1100"/>
      <c r="W399" s="1100"/>
      <c r="X399" s="1100"/>
      <c r="Y399" s="1100"/>
      <c r="Z399" s="1100"/>
      <c r="AA399" s="1100"/>
      <c r="AB399" s="1100"/>
      <c r="AC399" s="1100"/>
      <c r="AD399" s="1100"/>
      <c r="AE399" s="1100"/>
    </row>
    <row r="400" spans="1:31" ht="15.75">
      <c r="A400" s="561"/>
      <c r="B400" s="561"/>
      <c r="C400" s="561"/>
      <c r="D400" s="561"/>
      <c r="E400" s="561"/>
      <c r="F400" s="561"/>
      <c r="G400" s="561"/>
      <c r="H400" s="561"/>
      <c r="I400" s="561"/>
      <c r="J400" s="561"/>
      <c r="K400" s="561"/>
      <c r="L400" s="561"/>
      <c r="M400" s="561"/>
      <c r="N400" s="1100" t="s">
        <v>877</v>
      </c>
      <c r="O400" s="1100"/>
      <c r="P400" s="1100"/>
      <c r="Q400" s="1100"/>
      <c r="R400" s="1100"/>
      <c r="S400" s="1100"/>
      <c r="T400" s="1100"/>
      <c r="U400" s="1100"/>
      <c r="V400" s="1100"/>
      <c r="W400" s="1100"/>
      <c r="X400" s="1100"/>
      <c r="Y400" s="1100"/>
      <c r="Z400" s="1100"/>
      <c r="AA400" s="1100"/>
      <c r="AB400" s="1100"/>
      <c r="AC400" s="1100"/>
      <c r="AD400" s="1100"/>
      <c r="AE400" s="1100"/>
    </row>
    <row r="401" spans="1:31" ht="15.75">
      <c r="A401" s="561"/>
      <c r="B401" s="561"/>
      <c r="C401" s="561"/>
      <c r="D401" s="561"/>
      <c r="E401" s="561"/>
      <c r="F401" s="561"/>
      <c r="G401" s="561"/>
      <c r="H401" s="561"/>
      <c r="I401" s="561"/>
      <c r="J401" s="561"/>
      <c r="K401" s="561"/>
      <c r="L401" s="561"/>
      <c r="M401" s="561"/>
      <c r="N401" s="1100" t="s">
        <v>878</v>
      </c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  <c r="AA401" s="91"/>
      <c r="AB401" s="91"/>
      <c r="AC401" s="91"/>
      <c r="AD401" s="91"/>
      <c r="AE401" s="91"/>
    </row>
    <row r="402" spans="1:31" ht="15.75">
      <c r="A402" s="561"/>
      <c r="B402" s="561"/>
      <c r="C402" s="561"/>
      <c r="D402" s="561"/>
      <c r="E402" s="561"/>
      <c r="F402" s="561"/>
      <c r="G402" s="561"/>
      <c r="H402" s="561"/>
      <c r="I402" s="561"/>
      <c r="J402" s="561"/>
      <c r="K402" s="561"/>
      <c r="L402" s="561"/>
      <c r="M402" s="56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  <c r="AE402" s="91"/>
    </row>
    <row r="403" spans="1:31" ht="15.75">
      <c r="A403" s="561"/>
      <c r="B403" s="561"/>
      <c r="C403" s="561"/>
      <c r="D403" s="561"/>
      <c r="E403" s="561"/>
      <c r="F403" s="561"/>
      <c r="G403" s="561"/>
      <c r="H403" s="561"/>
      <c r="I403" s="561"/>
      <c r="J403" s="561"/>
      <c r="K403" s="561"/>
      <c r="L403" s="561"/>
      <c r="M403" s="56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  <c r="AA403" s="91"/>
      <c r="AB403" s="91"/>
      <c r="AC403" s="91"/>
      <c r="AD403" s="91"/>
      <c r="AE403" s="91"/>
    </row>
    <row r="404" spans="1:31">
      <c r="A404" s="561"/>
      <c r="B404" s="561"/>
      <c r="C404" s="561"/>
      <c r="D404" s="561"/>
      <c r="E404" s="561"/>
      <c r="F404" s="561"/>
      <c r="G404" s="561"/>
      <c r="H404" s="561"/>
      <c r="I404" s="561"/>
      <c r="J404" s="561"/>
      <c r="K404" s="561"/>
      <c r="L404" s="561"/>
      <c r="M404" s="561"/>
    </row>
    <row r="405" spans="1:31">
      <c r="A405" s="561"/>
      <c r="B405" s="561"/>
      <c r="C405" s="561"/>
      <c r="D405" s="561"/>
      <c r="E405" s="561"/>
      <c r="F405" s="561"/>
      <c r="G405" s="561"/>
      <c r="H405" s="561"/>
      <c r="I405" s="561"/>
      <c r="J405" s="561"/>
      <c r="K405" s="561"/>
      <c r="L405" s="561"/>
      <c r="M405" s="561"/>
    </row>
    <row r="406" spans="1:31">
      <c r="A406" s="561"/>
      <c r="B406" s="561"/>
      <c r="C406" s="561"/>
      <c r="D406" s="561"/>
      <c r="E406" s="561"/>
      <c r="F406" s="561"/>
      <c r="G406" s="561"/>
      <c r="H406" s="561"/>
      <c r="I406" s="561"/>
      <c r="J406" s="561"/>
      <c r="K406" s="561"/>
      <c r="L406" s="561"/>
      <c r="M406" s="561"/>
    </row>
  </sheetData>
  <mergeCells count="340">
    <mergeCell ref="N393:S393"/>
    <mergeCell ref="N394:T394"/>
    <mergeCell ref="U387:AE387"/>
    <mergeCell ref="N388:N389"/>
    <mergeCell ref="O388:O389"/>
    <mergeCell ref="P388:P389"/>
    <mergeCell ref="Q388:Q389"/>
    <mergeCell ref="R388:R389"/>
    <mergeCell ref="S388:S389"/>
    <mergeCell ref="U388:U389"/>
    <mergeCell ref="V388:W388"/>
    <mergeCell ref="X388:Y388"/>
    <mergeCell ref="Z388:AA388"/>
    <mergeCell ref="AB388:AC388"/>
    <mergeCell ref="AD388:AE388"/>
    <mergeCell ref="N319:P319"/>
    <mergeCell ref="Q319:S319"/>
    <mergeCell ref="T319:T321"/>
    <mergeCell ref="N365:S365"/>
    <mergeCell ref="N366:T366"/>
    <mergeCell ref="N387:P387"/>
    <mergeCell ref="Q387:S387"/>
    <mergeCell ref="T387:T389"/>
    <mergeCell ref="U353:AE353"/>
    <mergeCell ref="N354:N355"/>
    <mergeCell ref="O354:O355"/>
    <mergeCell ref="P354:P355"/>
    <mergeCell ref="Q354:Q355"/>
    <mergeCell ref="R354:R355"/>
    <mergeCell ref="S354:S355"/>
    <mergeCell ref="U354:U355"/>
    <mergeCell ref="V354:W354"/>
    <mergeCell ref="X354:Y354"/>
    <mergeCell ref="Z354:AA354"/>
    <mergeCell ref="AB354:AC354"/>
    <mergeCell ref="AD354:AE354"/>
    <mergeCell ref="N353:P353"/>
    <mergeCell ref="Q353:S353"/>
    <mergeCell ref="T353:T355"/>
    <mergeCell ref="S286:S287"/>
    <mergeCell ref="U286:U287"/>
    <mergeCell ref="V286:W286"/>
    <mergeCell ref="X286:Y286"/>
    <mergeCell ref="Z286:AA286"/>
    <mergeCell ref="AB286:AC286"/>
    <mergeCell ref="AD286:AE286"/>
    <mergeCell ref="N328:S328"/>
    <mergeCell ref="N329:T329"/>
    <mergeCell ref="N293:S293"/>
    <mergeCell ref="N294:T294"/>
    <mergeCell ref="U319:AE319"/>
    <mergeCell ref="N320:N321"/>
    <mergeCell ref="O320:O321"/>
    <mergeCell ref="P320:P321"/>
    <mergeCell ref="Q320:Q321"/>
    <mergeCell ref="R320:R321"/>
    <mergeCell ref="S320:S321"/>
    <mergeCell ref="U320:U321"/>
    <mergeCell ref="V320:W320"/>
    <mergeCell ref="X320:Y320"/>
    <mergeCell ref="Z320:AA320"/>
    <mergeCell ref="AB320:AC320"/>
    <mergeCell ref="AD320:AE320"/>
    <mergeCell ref="N256:S256"/>
    <mergeCell ref="N257:T257"/>
    <mergeCell ref="N285:P285"/>
    <mergeCell ref="Q285:S285"/>
    <mergeCell ref="T285:T287"/>
    <mergeCell ref="U251:AE251"/>
    <mergeCell ref="N252:N253"/>
    <mergeCell ref="O252:O253"/>
    <mergeCell ref="P252:P253"/>
    <mergeCell ref="Q252:Q253"/>
    <mergeCell ref="R252:R253"/>
    <mergeCell ref="S252:S253"/>
    <mergeCell ref="U252:U253"/>
    <mergeCell ref="V252:W252"/>
    <mergeCell ref="X252:Y252"/>
    <mergeCell ref="Z252:AA252"/>
    <mergeCell ref="AB252:AC252"/>
    <mergeCell ref="AD252:AE252"/>
    <mergeCell ref="U285:AE285"/>
    <mergeCell ref="N286:N287"/>
    <mergeCell ref="O286:O287"/>
    <mergeCell ref="P286:P287"/>
    <mergeCell ref="Q286:Q287"/>
    <mergeCell ref="R286:R287"/>
    <mergeCell ref="N222:S222"/>
    <mergeCell ref="N223:T223"/>
    <mergeCell ref="N251:P251"/>
    <mergeCell ref="Q251:S251"/>
    <mergeCell ref="T251:T253"/>
    <mergeCell ref="U217:AE217"/>
    <mergeCell ref="N218:N219"/>
    <mergeCell ref="O218:O219"/>
    <mergeCell ref="P218:P219"/>
    <mergeCell ref="Q218:Q219"/>
    <mergeCell ref="R218:R219"/>
    <mergeCell ref="S218:S219"/>
    <mergeCell ref="U218:U219"/>
    <mergeCell ref="V218:W218"/>
    <mergeCell ref="X218:Y218"/>
    <mergeCell ref="Z218:AA218"/>
    <mergeCell ref="AB218:AC218"/>
    <mergeCell ref="AD218:AE218"/>
    <mergeCell ref="N192:S192"/>
    <mergeCell ref="N193:T193"/>
    <mergeCell ref="N217:P217"/>
    <mergeCell ref="Q217:S217"/>
    <mergeCell ref="T217:T219"/>
    <mergeCell ref="U183:AE183"/>
    <mergeCell ref="N184:N185"/>
    <mergeCell ref="O184:O185"/>
    <mergeCell ref="P184:P185"/>
    <mergeCell ref="Q184:Q185"/>
    <mergeCell ref="R184:R185"/>
    <mergeCell ref="S184:S185"/>
    <mergeCell ref="U184:U185"/>
    <mergeCell ref="V184:W184"/>
    <mergeCell ref="X184:Y184"/>
    <mergeCell ref="Z184:AA184"/>
    <mergeCell ref="AB184:AC184"/>
    <mergeCell ref="AD184:AE184"/>
    <mergeCell ref="N159:S159"/>
    <mergeCell ref="N160:T160"/>
    <mergeCell ref="N183:P183"/>
    <mergeCell ref="Q183:S183"/>
    <mergeCell ref="T183:T185"/>
    <mergeCell ref="U149:AE149"/>
    <mergeCell ref="N150:N151"/>
    <mergeCell ref="O150:O151"/>
    <mergeCell ref="P150:P151"/>
    <mergeCell ref="Q150:Q151"/>
    <mergeCell ref="R150:R151"/>
    <mergeCell ref="S150:S151"/>
    <mergeCell ref="U150:U151"/>
    <mergeCell ref="V150:W150"/>
    <mergeCell ref="X150:Y150"/>
    <mergeCell ref="Z150:AA150"/>
    <mergeCell ref="AB150:AC150"/>
    <mergeCell ref="AD150:AE150"/>
    <mergeCell ref="N122:S122"/>
    <mergeCell ref="N123:T123"/>
    <mergeCell ref="N149:P149"/>
    <mergeCell ref="Q149:S149"/>
    <mergeCell ref="T149:T151"/>
    <mergeCell ref="U116:AE116"/>
    <mergeCell ref="N117:N118"/>
    <mergeCell ref="O117:O118"/>
    <mergeCell ref="P117:P118"/>
    <mergeCell ref="Q117:Q118"/>
    <mergeCell ref="R117:R118"/>
    <mergeCell ref="S117:S118"/>
    <mergeCell ref="U117:U118"/>
    <mergeCell ref="V117:W117"/>
    <mergeCell ref="X117:Y117"/>
    <mergeCell ref="Z117:AA117"/>
    <mergeCell ref="AB117:AC117"/>
    <mergeCell ref="AD117:AE117"/>
    <mergeCell ref="N91:S91"/>
    <mergeCell ref="N92:T92"/>
    <mergeCell ref="N116:P116"/>
    <mergeCell ref="Q116:S116"/>
    <mergeCell ref="T116:T118"/>
    <mergeCell ref="U84:AE84"/>
    <mergeCell ref="N85:N86"/>
    <mergeCell ref="O85:O86"/>
    <mergeCell ref="P85:P86"/>
    <mergeCell ref="Q85:Q86"/>
    <mergeCell ref="R85:R86"/>
    <mergeCell ref="S85:S86"/>
    <mergeCell ref="U85:U86"/>
    <mergeCell ref="V85:W85"/>
    <mergeCell ref="X85:Y85"/>
    <mergeCell ref="Z85:AA85"/>
    <mergeCell ref="AB85:AC85"/>
    <mergeCell ref="AD85:AE85"/>
    <mergeCell ref="N55:S55"/>
    <mergeCell ref="N56:T56"/>
    <mergeCell ref="N84:P84"/>
    <mergeCell ref="Q84:S84"/>
    <mergeCell ref="T84:T86"/>
    <mergeCell ref="U46:AE46"/>
    <mergeCell ref="N47:N48"/>
    <mergeCell ref="O47:O48"/>
    <mergeCell ref="P47:P48"/>
    <mergeCell ref="Q47:Q48"/>
    <mergeCell ref="R47:R48"/>
    <mergeCell ref="S47:S48"/>
    <mergeCell ref="U47:U48"/>
    <mergeCell ref="V47:W47"/>
    <mergeCell ref="X47:Y47"/>
    <mergeCell ref="Z47:AA47"/>
    <mergeCell ref="AB47:AC47"/>
    <mergeCell ref="AD47:AE47"/>
    <mergeCell ref="N17:S17"/>
    <mergeCell ref="N18:T18"/>
    <mergeCell ref="N46:P46"/>
    <mergeCell ref="Q46:S46"/>
    <mergeCell ref="T46:T48"/>
    <mergeCell ref="N9:P9"/>
    <mergeCell ref="Q9:S9"/>
    <mergeCell ref="T9:T11"/>
    <mergeCell ref="U9:AE9"/>
    <mergeCell ref="N10:N11"/>
    <mergeCell ref="O10:O11"/>
    <mergeCell ref="P10:P11"/>
    <mergeCell ref="Q10:Q11"/>
    <mergeCell ref="R10:R11"/>
    <mergeCell ref="S10:S11"/>
    <mergeCell ref="U10:U11"/>
    <mergeCell ref="V10:W10"/>
    <mergeCell ref="X10:Y10"/>
    <mergeCell ref="Z10:AA10"/>
    <mergeCell ref="AB10:AC10"/>
    <mergeCell ref="AD10:AE10"/>
    <mergeCell ref="I387:I389"/>
    <mergeCell ref="J387:K388"/>
    <mergeCell ref="L387:M388"/>
    <mergeCell ref="A391:F391"/>
    <mergeCell ref="A392:G392"/>
    <mergeCell ref="A362:G362"/>
    <mergeCell ref="A387:C388"/>
    <mergeCell ref="D387:F388"/>
    <mergeCell ref="G387:G389"/>
    <mergeCell ref="H387:H389"/>
    <mergeCell ref="H353:H355"/>
    <mergeCell ref="I353:I355"/>
    <mergeCell ref="J353:K354"/>
    <mergeCell ref="L353:M354"/>
    <mergeCell ref="A361:F361"/>
    <mergeCell ref="A332:F332"/>
    <mergeCell ref="A333:G333"/>
    <mergeCell ref="A353:C354"/>
    <mergeCell ref="D353:F354"/>
    <mergeCell ref="G353:G355"/>
    <mergeCell ref="J285:K286"/>
    <mergeCell ref="L285:M286"/>
    <mergeCell ref="A293:F293"/>
    <mergeCell ref="A294:G294"/>
    <mergeCell ref="A319:C320"/>
    <mergeCell ref="D319:F320"/>
    <mergeCell ref="G319:G321"/>
    <mergeCell ref="H319:H321"/>
    <mergeCell ref="I319:I321"/>
    <mergeCell ref="J319:K320"/>
    <mergeCell ref="L319:M320"/>
    <mergeCell ref="A285:C286"/>
    <mergeCell ref="D285:F286"/>
    <mergeCell ref="G285:G287"/>
    <mergeCell ref="H285:H287"/>
    <mergeCell ref="I285:I287"/>
    <mergeCell ref="I251:I253"/>
    <mergeCell ref="J251:K252"/>
    <mergeCell ref="L251:M252"/>
    <mergeCell ref="A256:F256"/>
    <mergeCell ref="A257:G257"/>
    <mergeCell ref="A222:G222"/>
    <mergeCell ref="A251:C252"/>
    <mergeCell ref="D251:F252"/>
    <mergeCell ref="G251:G253"/>
    <mergeCell ref="H251:H253"/>
    <mergeCell ref="H217:H219"/>
    <mergeCell ref="I217:I219"/>
    <mergeCell ref="J217:K218"/>
    <mergeCell ref="L217:M218"/>
    <mergeCell ref="A221:F221"/>
    <mergeCell ref="A196:F196"/>
    <mergeCell ref="A197:G197"/>
    <mergeCell ref="A217:C218"/>
    <mergeCell ref="D217:F218"/>
    <mergeCell ref="G217:G219"/>
    <mergeCell ref="J149:K150"/>
    <mergeCell ref="L149:M150"/>
    <mergeCell ref="A164:F164"/>
    <mergeCell ref="A165:G165"/>
    <mergeCell ref="A183:C184"/>
    <mergeCell ref="D183:F184"/>
    <mergeCell ref="G183:G185"/>
    <mergeCell ref="H183:H185"/>
    <mergeCell ref="I183:I185"/>
    <mergeCell ref="J183:K184"/>
    <mergeCell ref="L183:M184"/>
    <mergeCell ref="A149:C150"/>
    <mergeCell ref="D149:F150"/>
    <mergeCell ref="G149:G151"/>
    <mergeCell ref="H149:H151"/>
    <mergeCell ref="I149:I151"/>
    <mergeCell ref="I116:I118"/>
    <mergeCell ref="J116:K117"/>
    <mergeCell ref="L116:M117"/>
    <mergeCell ref="A129:F129"/>
    <mergeCell ref="A130:G130"/>
    <mergeCell ref="A97:G97"/>
    <mergeCell ref="A116:C117"/>
    <mergeCell ref="D116:F117"/>
    <mergeCell ref="G116:G118"/>
    <mergeCell ref="H116:H118"/>
    <mergeCell ref="H84:H86"/>
    <mergeCell ref="I84:I86"/>
    <mergeCell ref="J84:K85"/>
    <mergeCell ref="L84:M85"/>
    <mergeCell ref="A96:F96"/>
    <mergeCell ref="A57:F57"/>
    <mergeCell ref="A58:G58"/>
    <mergeCell ref="A84:C85"/>
    <mergeCell ref="D84:F85"/>
    <mergeCell ref="G84:G86"/>
    <mergeCell ref="J9:K10"/>
    <mergeCell ref="L9:M10"/>
    <mergeCell ref="A20:F20"/>
    <mergeCell ref="A21:G21"/>
    <mergeCell ref="A46:C47"/>
    <mergeCell ref="D46:F47"/>
    <mergeCell ref="G46:G48"/>
    <mergeCell ref="H46:H48"/>
    <mergeCell ref="I46:I48"/>
    <mergeCell ref="J46:K47"/>
    <mergeCell ref="L46:M47"/>
    <mergeCell ref="A9:C10"/>
    <mergeCell ref="D9:F10"/>
    <mergeCell ref="G9:G11"/>
    <mergeCell ref="H9:H11"/>
    <mergeCell ref="I9:I11"/>
    <mergeCell ref="AZ9:AZ11"/>
    <mergeCell ref="AM10:AM11"/>
    <mergeCell ref="AN10:AO10"/>
    <mergeCell ref="AP10:AQ10"/>
    <mergeCell ref="AR10:AS10"/>
    <mergeCell ref="AT10:AU10"/>
    <mergeCell ref="AV10:AW10"/>
    <mergeCell ref="AF5:AY6"/>
    <mergeCell ref="AF9:AF11"/>
    <mergeCell ref="AG9:AG11"/>
    <mergeCell ref="AH9:AH11"/>
    <mergeCell ref="AI9:AJ10"/>
    <mergeCell ref="AK9:AL10"/>
    <mergeCell ref="AM9:AW9"/>
    <mergeCell ref="AX9:AX11"/>
    <mergeCell ref="AY9:AY11"/>
  </mergeCells>
  <pageMargins left="0" right="0" top="0" bottom="0" header="0" footer="0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7030A0"/>
  </sheetPr>
  <dimension ref="B3:AI34"/>
  <sheetViews>
    <sheetView topLeftCell="T1" workbookViewId="0">
      <selection activeCell="AG30" sqref="X1:AG30"/>
    </sheetView>
  </sheetViews>
  <sheetFormatPr defaultRowHeight="12"/>
  <cols>
    <col min="1" max="1" width="2" style="98" customWidth="1"/>
    <col min="2" max="2" width="9" style="104" customWidth="1"/>
    <col min="3" max="3" width="13.28515625" style="98" customWidth="1"/>
    <col min="4" max="8" width="4.5703125" style="98" customWidth="1"/>
    <col min="9" max="9" width="10.85546875" style="98" customWidth="1"/>
    <col min="10" max="19" width="6.42578125" style="98" customWidth="1"/>
    <col min="20" max="20" width="8" style="98" customWidth="1"/>
    <col min="21" max="21" width="7.28515625" style="98" customWidth="1"/>
    <col min="22" max="22" width="8" style="98" customWidth="1"/>
    <col min="23" max="23" width="9.140625" style="98"/>
    <col min="24" max="24" width="7.7109375" style="98" customWidth="1"/>
    <col min="25" max="33" width="11.85546875" style="98" customWidth="1"/>
    <col min="34" max="16384" width="9.140625" style="98"/>
  </cols>
  <sheetData>
    <row r="3" spans="2:33">
      <c r="B3" s="102"/>
      <c r="C3" s="97"/>
      <c r="D3" s="97"/>
      <c r="E3" s="97"/>
      <c r="F3" s="97"/>
      <c r="G3" s="96"/>
      <c r="H3" s="96"/>
    </row>
    <row r="4" spans="2:33">
      <c r="B4" s="102" t="s">
        <v>131</v>
      </c>
      <c r="C4" s="96" t="str">
        <f>'Kopertina '!F4</f>
        <v>Eskeld</v>
      </c>
      <c r="D4" s="96"/>
      <c r="E4" s="96"/>
      <c r="F4" s="96"/>
      <c r="G4" s="96"/>
      <c r="H4" s="96"/>
      <c r="X4" s="102" t="s">
        <v>131</v>
      </c>
      <c r="Y4" s="96" t="str">
        <f>C4</f>
        <v>Eskeld</v>
      </c>
    </row>
    <row r="5" spans="2:33">
      <c r="B5" s="103"/>
      <c r="C5" s="99"/>
      <c r="D5" s="99"/>
      <c r="E5" s="99"/>
      <c r="F5" s="99"/>
      <c r="G5" s="96"/>
      <c r="H5" s="96"/>
      <c r="I5" s="96"/>
      <c r="J5" s="96"/>
      <c r="K5" s="96" t="s">
        <v>161</v>
      </c>
    </row>
    <row r="6" spans="2:33">
      <c r="B6" s="103"/>
      <c r="C6" s="1524" t="s">
        <v>162</v>
      </c>
      <c r="D6" s="1524"/>
      <c r="E6" s="1524"/>
      <c r="F6" s="1524"/>
      <c r="G6" s="1524"/>
      <c r="H6" s="1524"/>
      <c r="I6" s="1524"/>
      <c r="Z6" s="682"/>
      <c r="AA6" s="682"/>
      <c r="AB6" s="682"/>
      <c r="AC6" s="682"/>
    </row>
    <row r="7" spans="2:33">
      <c r="B7" s="103"/>
      <c r="C7" s="99"/>
      <c r="D7" s="99"/>
      <c r="E7" s="99"/>
      <c r="F7" s="99"/>
      <c r="G7" s="99"/>
      <c r="H7" s="96" t="s">
        <v>132</v>
      </c>
      <c r="I7" s="100"/>
      <c r="J7" s="100">
        <f>'Kopertina '!F29</f>
        <v>2012</v>
      </c>
    </row>
    <row r="8" spans="2:33">
      <c r="Y8" s="1525" t="s">
        <v>783</v>
      </c>
      <c r="Z8" s="1525"/>
      <c r="AA8" s="1525"/>
      <c r="AB8" s="1525"/>
      <c r="AC8" s="1525"/>
      <c r="AD8" s="1525"/>
      <c r="AE8" s="1525"/>
      <c r="AF8" s="1525"/>
    </row>
    <row r="9" spans="2:33">
      <c r="Y9" s="1525"/>
      <c r="Z9" s="1525"/>
      <c r="AA9" s="1525"/>
      <c r="AB9" s="1525"/>
      <c r="AC9" s="1525"/>
      <c r="AD9" s="1525"/>
      <c r="AE9" s="1525"/>
      <c r="AF9" s="1525"/>
    </row>
    <row r="10" spans="2:33" ht="13.5" customHeight="1" thickBot="1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2:33" ht="16.5" customHeight="1" thickBot="1">
      <c r="B11" s="561"/>
      <c r="C11" s="561"/>
      <c r="D11" s="561"/>
      <c r="E11" s="561"/>
      <c r="F11"/>
      <c r="G11"/>
      <c r="H11"/>
      <c r="I11"/>
      <c r="J11"/>
      <c r="K11"/>
      <c r="L11" s="564"/>
      <c r="M11" s="565"/>
      <c r="N11" s="566"/>
      <c r="O11"/>
      <c r="P11"/>
      <c r="Q11"/>
      <c r="R11"/>
      <c r="S11"/>
      <c r="T11"/>
      <c r="U11"/>
      <c r="V11"/>
      <c r="X11" s="1513" t="s">
        <v>1</v>
      </c>
      <c r="Y11" s="1516" t="s">
        <v>741</v>
      </c>
      <c r="Z11" s="1519" t="s">
        <v>743</v>
      </c>
      <c r="AA11" s="1510" t="s">
        <v>742</v>
      </c>
      <c r="AB11" s="1511"/>
      <c r="AC11" s="1511"/>
      <c r="AD11" s="1511"/>
      <c r="AE11" s="1511"/>
      <c r="AF11" s="1511"/>
      <c r="AG11" s="1512"/>
    </row>
    <row r="12" spans="2:33" ht="16.5" customHeight="1" thickBot="1">
      <c r="B12" s="1435" t="s">
        <v>167</v>
      </c>
      <c r="C12" s="1426" t="s">
        <v>667</v>
      </c>
      <c r="D12" s="1426" t="s">
        <v>668</v>
      </c>
      <c r="E12" s="1439" t="s">
        <v>676</v>
      </c>
      <c r="F12" s="1440"/>
      <c r="G12" s="1443" t="s">
        <v>677</v>
      </c>
      <c r="H12" s="1444"/>
      <c r="I12" s="1428" t="s">
        <v>669</v>
      </c>
      <c r="J12" s="1447"/>
      <c r="K12" s="1447"/>
      <c r="L12" s="1447"/>
      <c r="M12" s="1447"/>
      <c r="N12" s="1447"/>
      <c r="O12" s="1447"/>
      <c r="P12" s="1447"/>
      <c r="Q12" s="1447"/>
      <c r="R12" s="1447"/>
      <c r="S12" s="1432"/>
      <c r="T12" s="1448" t="s">
        <v>170</v>
      </c>
      <c r="U12" s="1451" t="s">
        <v>168</v>
      </c>
      <c r="V12" s="1423" t="s">
        <v>169</v>
      </c>
      <c r="X12" s="1514"/>
      <c r="Y12" s="1517"/>
      <c r="Z12" s="1520"/>
      <c r="AA12" s="1522" t="s">
        <v>770</v>
      </c>
      <c r="AB12" s="1522" t="s">
        <v>771</v>
      </c>
      <c r="AC12" s="1522" t="s">
        <v>1085</v>
      </c>
      <c r="AD12" s="1522" t="s">
        <v>772</v>
      </c>
      <c r="AE12" s="1522" t="s">
        <v>773</v>
      </c>
      <c r="AF12" s="1522" t="s">
        <v>774</v>
      </c>
      <c r="AG12" s="1508"/>
    </row>
    <row r="13" spans="2:33" ht="16.5" thickBot="1">
      <c r="B13" s="1436"/>
      <c r="C13" s="1438"/>
      <c r="D13" s="1438"/>
      <c r="E13" s="1441"/>
      <c r="F13" s="1442"/>
      <c r="G13" s="1445"/>
      <c r="H13" s="1446"/>
      <c r="I13" s="1426" t="s">
        <v>670</v>
      </c>
      <c r="J13" s="1428" t="s">
        <v>678</v>
      </c>
      <c r="K13" s="1429"/>
      <c r="L13" s="1430" t="s">
        <v>679</v>
      </c>
      <c r="M13" s="1431"/>
      <c r="N13" s="1428" t="s">
        <v>680</v>
      </c>
      <c r="O13" s="1432"/>
      <c r="P13" s="1430" t="s">
        <v>681</v>
      </c>
      <c r="Q13" s="1433"/>
      <c r="R13" s="1430" t="s">
        <v>671</v>
      </c>
      <c r="S13" s="1433"/>
      <c r="T13" s="1449"/>
      <c r="U13" s="1452"/>
      <c r="V13" s="1424"/>
      <c r="X13" s="1514"/>
      <c r="Y13" s="1517"/>
      <c r="Z13" s="1520"/>
      <c r="AA13" s="1522"/>
      <c r="AB13" s="1522"/>
      <c r="AC13" s="1522"/>
      <c r="AD13" s="1522"/>
      <c r="AE13" s="1522"/>
      <c r="AF13" s="1522"/>
      <c r="AG13" s="1508"/>
    </row>
    <row r="14" spans="2:33" ht="48" customHeight="1" thickBot="1">
      <c r="B14" s="1437"/>
      <c r="C14" s="1427"/>
      <c r="D14" s="1427"/>
      <c r="E14" s="688" t="s">
        <v>672</v>
      </c>
      <c r="F14" s="689" t="s">
        <v>673</v>
      </c>
      <c r="G14" s="690" t="s">
        <v>672</v>
      </c>
      <c r="H14" s="691" t="s">
        <v>673</v>
      </c>
      <c r="I14" s="1427"/>
      <c r="J14" s="692" t="s">
        <v>672</v>
      </c>
      <c r="K14" s="693" t="s">
        <v>673</v>
      </c>
      <c r="L14" s="694" t="s">
        <v>672</v>
      </c>
      <c r="M14" s="695" t="s">
        <v>673</v>
      </c>
      <c r="N14" s="689" t="s">
        <v>674</v>
      </c>
      <c r="O14" s="689" t="s">
        <v>675</v>
      </c>
      <c r="P14" s="691" t="s">
        <v>674</v>
      </c>
      <c r="Q14" s="691" t="s">
        <v>675</v>
      </c>
      <c r="R14" s="691" t="s">
        <v>674</v>
      </c>
      <c r="S14" s="691" t="s">
        <v>675</v>
      </c>
      <c r="T14" s="1450"/>
      <c r="U14" s="1453"/>
      <c r="V14" s="1425"/>
      <c r="X14" s="1515"/>
      <c r="Y14" s="1518"/>
      <c r="Z14" s="1521"/>
      <c r="AA14" s="1523"/>
      <c r="AB14" s="1523"/>
      <c r="AC14" s="1523"/>
      <c r="AD14" s="1523"/>
      <c r="AE14" s="1523"/>
      <c r="AF14" s="1523"/>
      <c r="AG14" s="1509"/>
    </row>
    <row r="15" spans="2:33">
      <c r="B15" s="701" t="s">
        <v>171</v>
      </c>
      <c r="C15" s="389">
        <f>+'Liber Shit- Blerje '!AG12</f>
        <v>1366000</v>
      </c>
      <c r="D15" s="389">
        <f>+'Liber Shit- Blerje '!AH12</f>
        <v>0</v>
      </c>
      <c r="E15" s="389">
        <f>+'Liber Shit- Blerje '!AI12</f>
        <v>0</v>
      </c>
      <c r="F15" s="389">
        <f>+'Liber Shit- Blerje '!AJ12</f>
        <v>0</v>
      </c>
      <c r="G15" s="389">
        <f>+'Liber Shit- Blerje '!AK12</f>
        <v>0</v>
      </c>
      <c r="H15" s="389">
        <f>+'Liber Shit- Blerje '!AL12</f>
        <v>0</v>
      </c>
      <c r="I15" s="389">
        <f>+'Liber Shit- Blerje '!AM12</f>
        <v>381027.41000000003</v>
      </c>
      <c r="J15" s="389">
        <f>+'Liber Shit- Blerje '!AN12</f>
        <v>0</v>
      </c>
      <c r="K15" s="389">
        <f>+'Liber Shit- Blerje '!AO12</f>
        <v>0</v>
      </c>
      <c r="L15" s="389">
        <f>+'Liber Shit- Blerje '!AP12</f>
        <v>0</v>
      </c>
      <c r="M15" s="389">
        <f>+'Liber Shit- Blerje '!AQ12</f>
        <v>0</v>
      </c>
      <c r="N15" s="389">
        <f>+'Liber Shit- Blerje '!AR12</f>
        <v>0</v>
      </c>
      <c r="O15" s="389">
        <f>+'Liber Shit- Blerje '!AS12</f>
        <v>0</v>
      </c>
      <c r="P15" s="389">
        <f>+'Liber Shit- Blerje '!AT12</f>
        <v>0</v>
      </c>
      <c r="Q15" s="389">
        <f>+'Liber Shit- Blerje '!AU12</f>
        <v>0</v>
      </c>
      <c r="R15" s="389">
        <f>+'Liber Shit- Blerje '!AV12</f>
        <v>0</v>
      </c>
      <c r="S15" s="389">
        <f>+'Liber Shit- Blerje '!AW12</f>
        <v>0</v>
      </c>
      <c r="T15" s="389">
        <f>+'Liber Shit- Blerje '!AX12</f>
        <v>0</v>
      </c>
      <c r="U15" s="389">
        <f>+'Liber Shit- Blerje '!AY12</f>
        <v>754</v>
      </c>
      <c r="V15" s="389">
        <f>+'Liber Shit- Blerje '!AZ12</f>
        <v>0</v>
      </c>
      <c r="X15" s="709">
        <v>1</v>
      </c>
      <c r="Y15" s="1119" t="str">
        <f>+B15</f>
        <v xml:space="preserve">Janar </v>
      </c>
      <c r="Z15" s="1120">
        <f>+C15+D15+E15+G15</f>
        <v>1366000</v>
      </c>
      <c r="AA15" s="711"/>
      <c r="AB15" s="711"/>
      <c r="AC15" s="710">
        <f>+Z15</f>
        <v>1366000</v>
      </c>
      <c r="AD15" s="711"/>
      <c r="AE15" s="711"/>
      <c r="AF15" s="711"/>
      <c r="AG15" s="712"/>
    </row>
    <row r="16" spans="2:33">
      <c r="B16" s="702" t="s">
        <v>172</v>
      </c>
      <c r="C16" s="389">
        <f>+'Liber Shit- Blerje '!AG13</f>
        <v>1036000</v>
      </c>
      <c r="D16" s="389">
        <f>+'Liber Shit- Blerje '!AH13</f>
        <v>0</v>
      </c>
      <c r="E16" s="389">
        <f>+'Liber Shit- Blerje '!AI13</f>
        <v>0</v>
      </c>
      <c r="F16" s="389">
        <f>+'Liber Shit- Blerje '!AJ13</f>
        <v>0</v>
      </c>
      <c r="G16" s="389">
        <f>+'Liber Shit- Blerje '!AK13</f>
        <v>0</v>
      </c>
      <c r="H16" s="389">
        <f>+'Liber Shit- Blerje '!AL13</f>
        <v>0</v>
      </c>
      <c r="I16" s="389">
        <f>+'Liber Shit- Blerje '!AM13</f>
        <v>811955.21</v>
      </c>
      <c r="J16" s="389">
        <f>+'Liber Shit- Blerje '!AN13</f>
        <v>0</v>
      </c>
      <c r="K16" s="389">
        <f>+'Liber Shit- Blerje '!AO13</f>
        <v>0</v>
      </c>
      <c r="L16" s="389">
        <f>+'Liber Shit- Blerje '!AP13</f>
        <v>0</v>
      </c>
      <c r="M16" s="389">
        <f>+'Liber Shit- Blerje '!AQ13</f>
        <v>0</v>
      </c>
      <c r="N16" s="389">
        <f>+'Liber Shit- Blerje '!AR13</f>
        <v>0</v>
      </c>
      <c r="O16" s="389">
        <f>+'Liber Shit- Blerje '!AS13</f>
        <v>0</v>
      </c>
      <c r="P16" s="389">
        <f>+'Liber Shit- Blerje '!AT13</f>
        <v>0</v>
      </c>
      <c r="Q16" s="389">
        <f>+'Liber Shit- Blerje '!AU13</f>
        <v>0</v>
      </c>
      <c r="R16" s="389">
        <f>+'Liber Shit- Blerje '!AV13</f>
        <v>0</v>
      </c>
      <c r="S16" s="389">
        <f>+'Liber Shit- Blerje '!AW13</f>
        <v>0</v>
      </c>
      <c r="T16" s="389">
        <f>+'Liber Shit- Blerje '!AX13</f>
        <v>0</v>
      </c>
      <c r="U16" s="389">
        <f>+'Liber Shit- Blerje '!AY13</f>
        <v>754</v>
      </c>
      <c r="V16" s="389">
        <f>+'Liber Shit- Blerje '!AZ13</f>
        <v>0</v>
      </c>
      <c r="X16" s="713">
        <v>2</v>
      </c>
      <c r="Y16" s="1121" t="str">
        <f t="shared" ref="Y16:Y29" si="0">+B16</f>
        <v>Shkurt</v>
      </c>
      <c r="Z16" s="101">
        <f t="shared" ref="Z16:Z29" si="1">+C16+D16+E16+G16</f>
        <v>1036000</v>
      </c>
      <c r="AA16" s="599"/>
      <c r="AB16" s="599"/>
      <c r="AC16" s="600">
        <f>+Z16</f>
        <v>1036000</v>
      </c>
      <c r="AD16" s="599"/>
      <c r="AE16" s="599"/>
      <c r="AF16" s="599"/>
      <c r="AG16" s="714"/>
    </row>
    <row r="17" spans="2:35">
      <c r="B17" s="702" t="s">
        <v>173</v>
      </c>
      <c r="C17" s="389">
        <f>+'Liber Shit- Blerje '!AG14</f>
        <v>1996000</v>
      </c>
      <c r="D17" s="389">
        <f>+'Liber Shit- Blerje '!AH14</f>
        <v>0</v>
      </c>
      <c r="E17" s="389">
        <f>+'Liber Shit- Blerje '!AI14</f>
        <v>0</v>
      </c>
      <c r="F17" s="389">
        <f>+'Liber Shit- Blerje '!AJ14</f>
        <v>0</v>
      </c>
      <c r="G17" s="389">
        <f>+'Liber Shit- Blerje '!AK14</f>
        <v>0</v>
      </c>
      <c r="H17" s="389">
        <f>+'Liber Shit- Blerje '!AL14</f>
        <v>0</v>
      </c>
      <c r="I17" s="389">
        <f>+'Liber Shit- Blerje '!AM14</f>
        <v>596224.46</v>
      </c>
      <c r="J17" s="389">
        <f>+'Liber Shit- Blerje '!AN14</f>
        <v>0</v>
      </c>
      <c r="K17" s="389">
        <f>+'Liber Shit- Blerje '!AO14</f>
        <v>0</v>
      </c>
      <c r="L17" s="389">
        <f>+'Liber Shit- Blerje '!AP14</f>
        <v>0</v>
      </c>
      <c r="M17" s="389">
        <f>+'Liber Shit- Blerje '!AQ14</f>
        <v>0</v>
      </c>
      <c r="N17" s="389">
        <f>+'Liber Shit- Blerje '!AR14</f>
        <v>0</v>
      </c>
      <c r="O17" s="389">
        <f>+'Liber Shit- Blerje '!AS14</f>
        <v>0</v>
      </c>
      <c r="P17" s="389">
        <f>+'Liber Shit- Blerje '!AT14</f>
        <v>0</v>
      </c>
      <c r="Q17" s="389">
        <f>+'Liber Shit- Blerje '!AU14</f>
        <v>0</v>
      </c>
      <c r="R17" s="389">
        <f>+'Liber Shit- Blerje '!AV14</f>
        <v>0</v>
      </c>
      <c r="S17" s="389">
        <f>+'Liber Shit- Blerje '!AW14</f>
        <v>0</v>
      </c>
      <c r="T17" s="389">
        <f>+'Liber Shit- Blerje '!AX14</f>
        <v>0</v>
      </c>
      <c r="U17" s="389">
        <f>+'Liber Shit- Blerje '!AY14</f>
        <v>754</v>
      </c>
      <c r="V17" s="389">
        <f>+'Liber Shit- Blerje '!AZ14</f>
        <v>0</v>
      </c>
      <c r="X17" s="713">
        <v>3</v>
      </c>
      <c r="Y17" s="1121" t="str">
        <f t="shared" si="0"/>
        <v>Mars</v>
      </c>
      <c r="Z17" s="101">
        <f t="shared" si="1"/>
        <v>1996000</v>
      </c>
      <c r="AA17" s="599"/>
      <c r="AB17" s="599"/>
      <c r="AC17" s="600">
        <f t="shared" ref="AC17:AC26" si="2">+Z17</f>
        <v>1996000</v>
      </c>
      <c r="AD17" s="599"/>
      <c r="AE17" s="599"/>
      <c r="AF17" s="599"/>
      <c r="AG17" s="714"/>
    </row>
    <row r="18" spans="2:35">
      <c r="B18" s="702" t="s">
        <v>174</v>
      </c>
      <c r="C18" s="389">
        <f>+'Liber Shit- Blerje '!AG15</f>
        <v>2294000</v>
      </c>
      <c r="D18" s="389">
        <f>+'Liber Shit- Blerje '!AH15</f>
        <v>0</v>
      </c>
      <c r="E18" s="389">
        <f>+'Liber Shit- Blerje '!AI15</f>
        <v>0</v>
      </c>
      <c r="F18" s="389">
        <f>+'Liber Shit- Blerje '!AJ15</f>
        <v>0</v>
      </c>
      <c r="G18" s="389">
        <f>+'Liber Shit- Blerje '!AK15</f>
        <v>0</v>
      </c>
      <c r="H18" s="389">
        <f>+'Liber Shit- Blerje '!AL15</f>
        <v>0</v>
      </c>
      <c r="I18" s="389">
        <f>+'Liber Shit- Blerje '!AM15</f>
        <v>303982</v>
      </c>
      <c r="J18" s="389">
        <f>+'Liber Shit- Blerje '!AN15</f>
        <v>0</v>
      </c>
      <c r="K18" s="389">
        <f>+'Liber Shit- Blerje '!AO15</f>
        <v>0</v>
      </c>
      <c r="L18" s="389">
        <f>+'Liber Shit- Blerje '!AP15</f>
        <v>0</v>
      </c>
      <c r="M18" s="389">
        <f>+'Liber Shit- Blerje '!AQ15</f>
        <v>0</v>
      </c>
      <c r="N18" s="389">
        <f>+'Liber Shit- Blerje '!AR15</f>
        <v>0</v>
      </c>
      <c r="O18" s="389">
        <f>+'Liber Shit- Blerje '!AS15</f>
        <v>0</v>
      </c>
      <c r="P18" s="389">
        <f>+'Liber Shit- Blerje '!AT15</f>
        <v>0</v>
      </c>
      <c r="Q18" s="389">
        <f>+'Liber Shit- Blerje '!AU15</f>
        <v>0</v>
      </c>
      <c r="R18" s="389">
        <f>+'Liber Shit- Blerje '!AV15</f>
        <v>0</v>
      </c>
      <c r="S18" s="389">
        <f>+'Liber Shit- Blerje '!AW15</f>
        <v>0</v>
      </c>
      <c r="T18" s="389">
        <f>+'Liber Shit- Blerje '!AX15</f>
        <v>0</v>
      </c>
      <c r="U18" s="389">
        <f>+'Liber Shit- Blerje '!AY15</f>
        <v>754</v>
      </c>
      <c r="V18" s="389">
        <f>+'Liber Shit- Blerje '!AZ15</f>
        <v>0</v>
      </c>
      <c r="X18" s="713">
        <v>4</v>
      </c>
      <c r="Y18" s="1121" t="str">
        <f t="shared" si="0"/>
        <v>Prill</v>
      </c>
      <c r="Z18" s="101">
        <f t="shared" si="1"/>
        <v>2294000</v>
      </c>
      <c r="AA18" s="599"/>
      <c r="AB18" s="599"/>
      <c r="AC18" s="600">
        <f t="shared" si="2"/>
        <v>2294000</v>
      </c>
      <c r="AD18" s="599"/>
      <c r="AE18" s="599"/>
      <c r="AF18" s="599"/>
      <c r="AG18" s="714"/>
    </row>
    <row r="19" spans="2:35">
      <c r="B19" s="702" t="s">
        <v>175</v>
      </c>
      <c r="C19" s="389">
        <f>+'Liber Shit- Blerje '!AG16</f>
        <v>2456000</v>
      </c>
      <c r="D19" s="389">
        <f>+'Liber Shit- Blerje '!AH16</f>
        <v>0</v>
      </c>
      <c r="E19" s="389">
        <f>+'Liber Shit- Blerje '!AI16</f>
        <v>0</v>
      </c>
      <c r="F19" s="389">
        <f>+'Liber Shit- Blerje '!AJ16</f>
        <v>0</v>
      </c>
      <c r="G19" s="389">
        <f>+'Liber Shit- Blerje '!AK16</f>
        <v>0</v>
      </c>
      <c r="H19" s="389">
        <f>+'Liber Shit- Blerje '!AL16</f>
        <v>0</v>
      </c>
      <c r="I19" s="389">
        <f>+'Liber Shit- Blerje '!AM16</f>
        <v>294529.08999999997</v>
      </c>
      <c r="J19" s="389">
        <f>+'Liber Shit- Blerje '!AN16</f>
        <v>0</v>
      </c>
      <c r="K19" s="389">
        <f>+'Liber Shit- Blerje '!AO16</f>
        <v>0</v>
      </c>
      <c r="L19" s="389">
        <f>+'Liber Shit- Blerje '!AP16</f>
        <v>0</v>
      </c>
      <c r="M19" s="389">
        <f>+'Liber Shit- Blerje '!AQ16</f>
        <v>0</v>
      </c>
      <c r="N19" s="389">
        <f>+'Liber Shit- Blerje '!AR16</f>
        <v>0</v>
      </c>
      <c r="O19" s="389">
        <f>+'Liber Shit- Blerje '!AS16</f>
        <v>0</v>
      </c>
      <c r="P19" s="389">
        <f>+'Liber Shit- Blerje '!AT16</f>
        <v>0</v>
      </c>
      <c r="Q19" s="389">
        <f>+'Liber Shit- Blerje '!AU16</f>
        <v>0</v>
      </c>
      <c r="R19" s="389">
        <f>+'Liber Shit- Blerje '!AV16</f>
        <v>0</v>
      </c>
      <c r="S19" s="389">
        <f>+'Liber Shit- Blerje '!AW16</f>
        <v>0</v>
      </c>
      <c r="T19" s="389">
        <f>+'Liber Shit- Blerje '!AX16</f>
        <v>0</v>
      </c>
      <c r="U19" s="389">
        <f>+'Liber Shit- Blerje '!AY16</f>
        <v>754</v>
      </c>
      <c r="V19" s="389">
        <f>+'Liber Shit- Blerje '!AZ16</f>
        <v>0</v>
      </c>
      <c r="X19" s="713">
        <v>5</v>
      </c>
      <c r="Y19" s="1121" t="str">
        <f t="shared" si="0"/>
        <v>Maj</v>
      </c>
      <c r="Z19" s="101">
        <f t="shared" si="1"/>
        <v>2456000</v>
      </c>
      <c r="AA19" s="599"/>
      <c r="AB19" s="599"/>
      <c r="AC19" s="600">
        <f t="shared" si="2"/>
        <v>2456000</v>
      </c>
      <c r="AD19" s="599"/>
      <c r="AE19" s="599"/>
      <c r="AF19" s="599"/>
      <c r="AG19" s="714"/>
    </row>
    <row r="20" spans="2:35">
      <c r="B20" s="702" t="s">
        <v>176</v>
      </c>
      <c r="C20" s="389">
        <f>+'Liber Shit- Blerje '!AG17</f>
        <v>1808000</v>
      </c>
      <c r="D20" s="389">
        <f>+'Liber Shit- Blerje '!AH17</f>
        <v>0</v>
      </c>
      <c r="E20" s="389">
        <f>+'Liber Shit- Blerje '!AI17</f>
        <v>0</v>
      </c>
      <c r="F20" s="389">
        <f>+'Liber Shit- Blerje '!AJ17</f>
        <v>0</v>
      </c>
      <c r="G20" s="389">
        <f>+'Liber Shit- Blerje '!AK17</f>
        <v>0</v>
      </c>
      <c r="H20" s="389">
        <f>+'Liber Shit- Blerje '!AL17</f>
        <v>0</v>
      </c>
      <c r="I20" s="389">
        <f>+'Liber Shit- Blerje '!AM17</f>
        <v>162170.1</v>
      </c>
      <c r="J20" s="389">
        <f>+'Liber Shit- Blerje '!AN17</f>
        <v>0</v>
      </c>
      <c r="K20" s="389">
        <f>+'Liber Shit- Blerje '!AO17</f>
        <v>0</v>
      </c>
      <c r="L20" s="389">
        <f>+'Liber Shit- Blerje '!AP17</f>
        <v>0</v>
      </c>
      <c r="M20" s="389">
        <f>+'Liber Shit- Blerje '!AQ17</f>
        <v>0</v>
      </c>
      <c r="N20" s="389">
        <f>+'Liber Shit- Blerje '!AR17</f>
        <v>0</v>
      </c>
      <c r="O20" s="389">
        <f>+'Liber Shit- Blerje '!AS17</f>
        <v>0</v>
      </c>
      <c r="P20" s="389">
        <f>+'Liber Shit- Blerje '!AT17</f>
        <v>0</v>
      </c>
      <c r="Q20" s="389">
        <f>+'Liber Shit- Blerje '!AU17</f>
        <v>0</v>
      </c>
      <c r="R20" s="389">
        <f>+'Liber Shit- Blerje '!AV17</f>
        <v>0</v>
      </c>
      <c r="S20" s="389">
        <f>+'Liber Shit- Blerje '!AW17</f>
        <v>0</v>
      </c>
      <c r="T20" s="389">
        <f>+'Liber Shit- Blerje '!AX17</f>
        <v>0</v>
      </c>
      <c r="U20" s="389">
        <f>+'Liber Shit- Blerje '!AY17</f>
        <v>754</v>
      </c>
      <c r="V20" s="389">
        <f>+'Liber Shit- Blerje '!AZ17</f>
        <v>0</v>
      </c>
      <c r="X20" s="713">
        <v>6</v>
      </c>
      <c r="Y20" s="1121" t="str">
        <f t="shared" si="0"/>
        <v>Qershor</v>
      </c>
      <c r="Z20" s="101">
        <f t="shared" si="1"/>
        <v>1808000</v>
      </c>
      <c r="AA20" s="599"/>
      <c r="AB20" s="599"/>
      <c r="AC20" s="600">
        <f t="shared" si="2"/>
        <v>1808000</v>
      </c>
      <c r="AD20" s="599"/>
      <c r="AE20" s="599"/>
      <c r="AF20" s="599"/>
      <c r="AG20" s="714"/>
    </row>
    <row r="21" spans="2:35">
      <c r="B21" s="702" t="s">
        <v>177</v>
      </c>
      <c r="C21" s="389">
        <f>+'Liber Shit- Blerje '!AG18</f>
        <v>0</v>
      </c>
      <c r="D21" s="389">
        <f>+'Liber Shit- Blerje '!AH18</f>
        <v>0</v>
      </c>
      <c r="E21" s="389">
        <f>+'Liber Shit- Blerje '!AI18</f>
        <v>0</v>
      </c>
      <c r="F21" s="389">
        <f>+'Liber Shit- Blerje '!AJ18</f>
        <v>0</v>
      </c>
      <c r="G21" s="389">
        <f>+'Liber Shit- Blerje '!AK18</f>
        <v>0</v>
      </c>
      <c r="H21" s="389">
        <f>+'Liber Shit- Blerje '!AL18</f>
        <v>0</v>
      </c>
      <c r="I21" s="389">
        <f>+'Liber Shit- Blerje '!AM18</f>
        <v>13709.37</v>
      </c>
      <c r="J21" s="389">
        <f>+'Liber Shit- Blerje '!AN18</f>
        <v>0</v>
      </c>
      <c r="K21" s="389">
        <f>+'Liber Shit- Blerje '!AO18</f>
        <v>0</v>
      </c>
      <c r="L21" s="389">
        <f>+'Liber Shit- Blerje '!AP18</f>
        <v>0</v>
      </c>
      <c r="M21" s="389">
        <f>+'Liber Shit- Blerje '!AQ18</f>
        <v>0</v>
      </c>
      <c r="N21" s="389">
        <f>+'Liber Shit- Blerje '!AR18</f>
        <v>0</v>
      </c>
      <c r="O21" s="389">
        <f>+'Liber Shit- Blerje '!AS18</f>
        <v>0</v>
      </c>
      <c r="P21" s="389">
        <f>+'Liber Shit- Blerje '!AT18</f>
        <v>0</v>
      </c>
      <c r="Q21" s="389">
        <f>+'Liber Shit- Blerje '!AU18</f>
        <v>0</v>
      </c>
      <c r="R21" s="389">
        <f>+'Liber Shit- Blerje '!AV18</f>
        <v>0</v>
      </c>
      <c r="S21" s="389">
        <f>+'Liber Shit- Blerje '!AW18</f>
        <v>0</v>
      </c>
      <c r="T21" s="389">
        <f>+'Liber Shit- Blerje '!AX18</f>
        <v>0</v>
      </c>
      <c r="U21" s="389">
        <f>+'Liber Shit- Blerje '!AY18</f>
        <v>754</v>
      </c>
      <c r="V21" s="389">
        <f>+'Liber Shit- Blerje '!AZ18</f>
        <v>0</v>
      </c>
      <c r="X21" s="713">
        <v>7</v>
      </c>
      <c r="Y21" s="1121" t="str">
        <f t="shared" si="0"/>
        <v>Korrik</v>
      </c>
      <c r="Z21" s="101">
        <f t="shared" si="1"/>
        <v>0</v>
      </c>
      <c r="AA21" s="599"/>
      <c r="AB21" s="599"/>
      <c r="AC21" s="600">
        <f t="shared" si="2"/>
        <v>0</v>
      </c>
      <c r="AD21" s="599"/>
      <c r="AE21" s="599"/>
      <c r="AF21" s="599"/>
      <c r="AG21" s="714"/>
    </row>
    <row r="22" spans="2:35">
      <c r="B22" s="702" t="s">
        <v>178</v>
      </c>
      <c r="C22" s="389">
        <f>+'Liber Shit- Blerje '!AG19</f>
        <v>0</v>
      </c>
      <c r="D22" s="389">
        <f>+'Liber Shit- Blerje '!AH19</f>
        <v>0</v>
      </c>
      <c r="E22" s="389">
        <f>+'Liber Shit- Blerje '!AI19</f>
        <v>0</v>
      </c>
      <c r="F22" s="389">
        <f>+'Liber Shit- Blerje '!AJ19</f>
        <v>0</v>
      </c>
      <c r="G22" s="389">
        <f>+'Liber Shit- Blerje '!AK19</f>
        <v>0</v>
      </c>
      <c r="H22" s="389">
        <f>+'Liber Shit- Blerje '!AL19</f>
        <v>0</v>
      </c>
      <c r="I22" s="389">
        <f>+'Liber Shit- Blerje '!AM19</f>
        <v>13596.47</v>
      </c>
      <c r="J22" s="389">
        <f>+'Liber Shit- Blerje '!AN19</f>
        <v>0</v>
      </c>
      <c r="K22" s="389">
        <f>+'Liber Shit- Blerje '!AO19</f>
        <v>0</v>
      </c>
      <c r="L22" s="389">
        <f>+'Liber Shit- Blerje '!AP19</f>
        <v>0</v>
      </c>
      <c r="M22" s="389">
        <f>+'Liber Shit- Blerje '!AQ19</f>
        <v>0</v>
      </c>
      <c r="N22" s="389">
        <f>+'Liber Shit- Blerje '!AR19</f>
        <v>0</v>
      </c>
      <c r="O22" s="389">
        <f>+'Liber Shit- Blerje '!AS19</f>
        <v>0</v>
      </c>
      <c r="P22" s="389">
        <f>+'Liber Shit- Blerje '!AT19</f>
        <v>0</v>
      </c>
      <c r="Q22" s="389">
        <f>+'Liber Shit- Blerje '!AU19</f>
        <v>0</v>
      </c>
      <c r="R22" s="389">
        <f>+'Liber Shit- Blerje '!AV19</f>
        <v>0</v>
      </c>
      <c r="S22" s="389">
        <f>+'Liber Shit- Blerje '!AW19</f>
        <v>0</v>
      </c>
      <c r="T22" s="389">
        <f>+'Liber Shit- Blerje '!AX19</f>
        <v>0</v>
      </c>
      <c r="U22" s="389">
        <f>+'Liber Shit- Blerje '!AY19</f>
        <v>754</v>
      </c>
      <c r="V22" s="389">
        <f>+'Liber Shit- Blerje '!AZ19</f>
        <v>0</v>
      </c>
      <c r="X22" s="713">
        <v>8</v>
      </c>
      <c r="Y22" s="1121" t="str">
        <f t="shared" si="0"/>
        <v>Gusht</v>
      </c>
      <c r="Z22" s="101">
        <f t="shared" si="1"/>
        <v>0</v>
      </c>
      <c r="AA22" s="599"/>
      <c r="AB22" s="599"/>
      <c r="AC22" s="600">
        <f t="shared" si="2"/>
        <v>0</v>
      </c>
      <c r="AD22" s="599"/>
      <c r="AE22" s="599"/>
      <c r="AF22" s="599"/>
      <c r="AG22" s="714"/>
    </row>
    <row r="23" spans="2:35">
      <c r="B23" s="702" t="s">
        <v>179</v>
      </c>
      <c r="C23" s="389">
        <f>+'Liber Shit- Blerje '!AG20</f>
        <v>1152000</v>
      </c>
      <c r="D23" s="389">
        <f>+'Liber Shit- Blerje '!AH20</f>
        <v>0</v>
      </c>
      <c r="E23" s="389">
        <f>+'Liber Shit- Blerje '!AI20</f>
        <v>0</v>
      </c>
      <c r="F23" s="389">
        <f>+'Liber Shit- Blerje '!AJ20</f>
        <v>0</v>
      </c>
      <c r="G23" s="389">
        <f>+'Liber Shit- Blerje '!AK20</f>
        <v>0</v>
      </c>
      <c r="H23" s="389">
        <f>+'Liber Shit- Blerje '!AL20</f>
        <v>0</v>
      </c>
      <c r="I23" s="389">
        <f>+'Liber Shit- Blerje '!AM20</f>
        <v>113367.67</v>
      </c>
      <c r="J23" s="389">
        <f>+'Liber Shit- Blerje '!AN20</f>
        <v>0</v>
      </c>
      <c r="K23" s="389">
        <f>+'Liber Shit- Blerje '!AO20</f>
        <v>0</v>
      </c>
      <c r="L23" s="389">
        <f>+'Liber Shit- Blerje '!AP20</f>
        <v>0</v>
      </c>
      <c r="M23" s="389">
        <f>+'Liber Shit- Blerje '!AQ20</f>
        <v>0</v>
      </c>
      <c r="N23" s="389">
        <f>+'Liber Shit- Blerje '!AR20</f>
        <v>0</v>
      </c>
      <c r="O23" s="389">
        <f>+'Liber Shit- Blerje '!AS20</f>
        <v>0</v>
      </c>
      <c r="P23" s="389">
        <f>+'Liber Shit- Blerje '!AT20</f>
        <v>0</v>
      </c>
      <c r="Q23" s="389">
        <f>+'Liber Shit- Blerje '!AU20</f>
        <v>0</v>
      </c>
      <c r="R23" s="389">
        <f>+'Liber Shit- Blerje '!AV20</f>
        <v>0</v>
      </c>
      <c r="S23" s="389">
        <f>+'Liber Shit- Blerje '!AW20</f>
        <v>0</v>
      </c>
      <c r="T23" s="389">
        <f>+'Liber Shit- Blerje '!AX20</f>
        <v>0</v>
      </c>
      <c r="U23" s="389">
        <f>+'Liber Shit- Blerje '!AY20</f>
        <v>754</v>
      </c>
      <c r="V23" s="389">
        <f>+'Liber Shit- Blerje '!AZ20</f>
        <v>0</v>
      </c>
      <c r="X23" s="713">
        <v>9</v>
      </c>
      <c r="Y23" s="1121" t="str">
        <f t="shared" si="0"/>
        <v>Shtator</v>
      </c>
      <c r="Z23" s="101">
        <f t="shared" si="1"/>
        <v>1152000</v>
      </c>
      <c r="AA23" s="599"/>
      <c r="AB23" s="599"/>
      <c r="AC23" s="600">
        <f t="shared" si="2"/>
        <v>1152000</v>
      </c>
      <c r="AD23" s="599"/>
      <c r="AE23" s="599"/>
      <c r="AF23" s="599"/>
      <c r="AG23" s="714"/>
    </row>
    <row r="24" spans="2:35">
      <c r="B24" s="702" t="s">
        <v>180</v>
      </c>
      <c r="C24" s="389">
        <f>+'Liber Shit- Blerje '!AG21</f>
        <v>1250000</v>
      </c>
      <c r="D24" s="389">
        <f>+'Liber Shit- Blerje '!AH21</f>
        <v>0</v>
      </c>
      <c r="E24" s="389">
        <f>+'Liber Shit- Blerje '!AI21</f>
        <v>0</v>
      </c>
      <c r="F24" s="389">
        <f>+'Liber Shit- Blerje '!AJ21</f>
        <v>0</v>
      </c>
      <c r="G24" s="389">
        <f>+'Liber Shit- Blerje '!AK21</f>
        <v>0</v>
      </c>
      <c r="H24" s="389">
        <f>+'Liber Shit- Blerje '!AL21</f>
        <v>0</v>
      </c>
      <c r="I24" s="389">
        <f>+'Liber Shit- Blerje '!AM21</f>
        <v>640220.37</v>
      </c>
      <c r="J24" s="389">
        <f>+'Liber Shit- Blerje '!AN21</f>
        <v>0</v>
      </c>
      <c r="K24" s="389">
        <f>+'Liber Shit- Blerje '!AO21</f>
        <v>0</v>
      </c>
      <c r="L24" s="389">
        <f>+'Liber Shit- Blerje '!AP21</f>
        <v>0</v>
      </c>
      <c r="M24" s="389">
        <f>+'Liber Shit- Blerje '!AQ21</f>
        <v>0</v>
      </c>
      <c r="N24" s="389">
        <f>+'Liber Shit- Blerje '!AR21</f>
        <v>0</v>
      </c>
      <c r="O24" s="389">
        <f>+'Liber Shit- Blerje '!AS21</f>
        <v>0</v>
      </c>
      <c r="P24" s="389">
        <f>+'Liber Shit- Blerje '!AT21</f>
        <v>0</v>
      </c>
      <c r="Q24" s="389">
        <f>+'Liber Shit- Blerje '!AU21</f>
        <v>0</v>
      </c>
      <c r="R24" s="389">
        <f>+'Liber Shit- Blerje '!AV21</f>
        <v>0</v>
      </c>
      <c r="S24" s="389">
        <f>+'Liber Shit- Blerje '!AW21</f>
        <v>0</v>
      </c>
      <c r="T24" s="389">
        <f>+'Liber Shit- Blerje '!AX21</f>
        <v>0</v>
      </c>
      <c r="U24" s="389">
        <f>+'Liber Shit- Blerje '!AY21</f>
        <v>754</v>
      </c>
      <c r="V24" s="389">
        <f>+'Liber Shit- Blerje '!AZ21</f>
        <v>0</v>
      </c>
      <c r="X24" s="713">
        <v>10</v>
      </c>
      <c r="Y24" s="1121" t="str">
        <f t="shared" si="0"/>
        <v>Tetor</v>
      </c>
      <c r="Z24" s="101">
        <f t="shared" si="1"/>
        <v>1250000</v>
      </c>
      <c r="AA24" s="599"/>
      <c r="AB24" s="599"/>
      <c r="AC24" s="600">
        <f t="shared" si="2"/>
        <v>1250000</v>
      </c>
      <c r="AD24" s="599"/>
      <c r="AE24" s="599"/>
      <c r="AF24" s="599"/>
      <c r="AG24" s="714"/>
    </row>
    <row r="25" spans="2:35">
      <c r="B25" s="702" t="s">
        <v>181</v>
      </c>
      <c r="C25" s="389">
        <f>+'Liber Shit- Blerje '!AG22</f>
        <v>624000</v>
      </c>
      <c r="D25" s="389">
        <f>+'Liber Shit- Blerje '!AH22</f>
        <v>0</v>
      </c>
      <c r="E25" s="389">
        <f>+'Liber Shit- Blerje '!AI22</f>
        <v>0</v>
      </c>
      <c r="F25" s="389">
        <f>+'Liber Shit- Blerje '!AJ22</f>
        <v>0</v>
      </c>
      <c r="G25" s="389">
        <f>+'Liber Shit- Blerje '!AK22</f>
        <v>0</v>
      </c>
      <c r="H25" s="389">
        <f>+'Liber Shit- Blerje '!AL22</f>
        <v>0</v>
      </c>
      <c r="I25" s="389">
        <f>+'Liber Shit- Blerje '!AM22</f>
        <v>372175.68</v>
      </c>
      <c r="J25" s="389">
        <f>+'Liber Shit- Blerje '!AN22</f>
        <v>0</v>
      </c>
      <c r="K25" s="389">
        <f>+'Liber Shit- Blerje '!AO22</f>
        <v>0</v>
      </c>
      <c r="L25" s="389">
        <f>+'Liber Shit- Blerje '!AP22</f>
        <v>0</v>
      </c>
      <c r="M25" s="389">
        <f>+'Liber Shit- Blerje '!AQ22</f>
        <v>0</v>
      </c>
      <c r="N25" s="389">
        <f>+'Liber Shit- Blerje '!AR22</f>
        <v>0</v>
      </c>
      <c r="O25" s="389">
        <f>+'Liber Shit- Blerje '!AS22</f>
        <v>0</v>
      </c>
      <c r="P25" s="389">
        <f>+'Liber Shit- Blerje '!AT22</f>
        <v>0</v>
      </c>
      <c r="Q25" s="389">
        <f>+'Liber Shit- Blerje '!AU22</f>
        <v>0</v>
      </c>
      <c r="R25" s="389">
        <f>+'Liber Shit- Blerje '!AV22</f>
        <v>0</v>
      </c>
      <c r="S25" s="389">
        <f>+'Liber Shit- Blerje '!AW22</f>
        <v>0</v>
      </c>
      <c r="T25" s="389">
        <f>+'Liber Shit- Blerje '!AX22</f>
        <v>0</v>
      </c>
      <c r="U25" s="389">
        <f>+'Liber Shit- Blerje '!AY22</f>
        <v>754</v>
      </c>
      <c r="V25" s="389">
        <f>+'Liber Shit- Blerje '!AZ22</f>
        <v>0</v>
      </c>
      <c r="X25" s="713">
        <v>11</v>
      </c>
      <c r="Y25" s="1121" t="str">
        <f t="shared" si="0"/>
        <v>Nentor</v>
      </c>
      <c r="Z25" s="101">
        <f t="shared" si="1"/>
        <v>624000</v>
      </c>
      <c r="AA25" s="599"/>
      <c r="AB25" s="599"/>
      <c r="AC25" s="600">
        <f t="shared" si="2"/>
        <v>624000</v>
      </c>
      <c r="AD25" s="599"/>
      <c r="AE25" s="599"/>
      <c r="AF25" s="599"/>
      <c r="AG25" s="714"/>
    </row>
    <row r="26" spans="2:35">
      <c r="B26" s="702" t="s">
        <v>182</v>
      </c>
      <c r="C26" s="389">
        <f>+'Liber Shit- Blerje '!AG23</f>
        <v>0</v>
      </c>
      <c r="D26" s="389">
        <f>+'Liber Shit- Blerje '!AH23</f>
        <v>0</v>
      </c>
      <c r="E26" s="389">
        <f>+'Liber Shit- Blerje '!AI23</f>
        <v>0</v>
      </c>
      <c r="F26" s="389">
        <f>+'Liber Shit- Blerje '!AJ23</f>
        <v>0</v>
      </c>
      <c r="G26" s="389">
        <f>+'Liber Shit- Blerje '!AK23</f>
        <v>0</v>
      </c>
      <c r="H26" s="389">
        <f>+'Liber Shit- Blerje '!AL23</f>
        <v>0</v>
      </c>
      <c r="I26" s="389">
        <f>+'Liber Shit- Blerje '!AM23</f>
        <v>48915.770000000004</v>
      </c>
      <c r="J26" s="389">
        <f>+'Liber Shit- Blerje '!AN23</f>
        <v>0</v>
      </c>
      <c r="K26" s="389">
        <f>+'Liber Shit- Blerje '!AO23</f>
        <v>0</v>
      </c>
      <c r="L26" s="389">
        <f>+'Liber Shit- Blerje '!AP23</f>
        <v>0</v>
      </c>
      <c r="M26" s="389">
        <f>+'Liber Shit- Blerje '!AQ23</f>
        <v>0</v>
      </c>
      <c r="N26" s="389">
        <f>+'Liber Shit- Blerje '!AR23</f>
        <v>0</v>
      </c>
      <c r="O26" s="389">
        <f>+'Liber Shit- Blerje '!AS23</f>
        <v>0</v>
      </c>
      <c r="P26" s="389">
        <f>+'Liber Shit- Blerje '!AT23</f>
        <v>0</v>
      </c>
      <c r="Q26" s="389">
        <f>+'Liber Shit- Blerje '!AU23</f>
        <v>0</v>
      </c>
      <c r="R26" s="389">
        <f>+'Liber Shit- Blerje '!AV23</f>
        <v>0</v>
      </c>
      <c r="S26" s="389">
        <f>+'Liber Shit- Blerje '!AW23</f>
        <v>0</v>
      </c>
      <c r="T26" s="389">
        <f>+'Liber Shit- Blerje '!AX23</f>
        <v>0</v>
      </c>
      <c r="U26" s="389">
        <f>+'Liber Shit- Blerje '!AY23</f>
        <v>754</v>
      </c>
      <c r="V26" s="389">
        <f>+'Liber Shit- Blerje '!AZ23</f>
        <v>0</v>
      </c>
      <c r="X26" s="713">
        <v>12</v>
      </c>
      <c r="Y26" s="1121" t="str">
        <f t="shared" si="0"/>
        <v>Dhjetor</v>
      </c>
      <c r="Z26" s="101">
        <f t="shared" si="1"/>
        <v>0</v>
      </c>
      <c r="AA26" s="599"/>
      <c r="AB26" s="599"/>
      <c r="AC26" s="600">
        <f t="shared" si="2"/>
        <v>0</v>
      </c>
      <c r="AD26" s="599"/>
      <c r="AE26" s="599"/>
      <c r="AF26" s="599"/>
      <c r="AG26" s="714"/>
    </row>
    <row r="27" spans="2:35">
      <c r="B27" s="1115" t="s">
        <v>183</v>
      </c>
      <c r="C27" s="1116">
        <f>+'Liber Shit- Blerje '!AG24</f>
        <v>0</v>
      </c>
      <c r="D27" s="1116">
        <f>+'Liber Shit- Blerje '!AH24</f>
        <v>0</v>
      </c>
      <c r="E27" s="1116">
        <f>+'Liber Shit- Blerje '!AI24</f>
        <v>0</v>
      </c>
      <c r="F27" s="1116">
        <f>+'Liber Shit- Blerje '!AJ24</f>
        <v>0</v>
      </c>
      <c r="G27" s="1116">
        <f>+'Liber Shit- Blerje '!AK24</f>
        <v>0</v>
      </c>
      <c r="H27" s="1116">
        <f>+'Liber Shit- Blerje '!AL24</f>
        <v>0</v>
      </c>
      <c r="I27" s="1116">
        <f>+'Liber Shit- Blerje '!AM24</f>
        <v>0</v>
      </c>
      <c r="J27" s="1116">
        <f>+'Liber Shit- Blerje '!AN24</f>
        <v>0</v>
      </c>
      <c r="K27" s="1116">
        <f>+'Liber Shit- Blerje '!AO24</f>
        <v>0</v>
      </c>
      <c r="L27" s="1116">
        <f>+'Liber Shit- Blerje '!AP24</f>
        <v>0</v>
      </c>
      <c r="M27" s="1116">
        <f>+'Liber Shit- Blerje '!AQ24</f>
        <v>0</v>
      </c>
      <c r="N27" s="1116">
        <f>+'Liber Shit- Blerje '!AR24</f>
        <v>0</v>
      </c>
      <c r="O27" s="1116">
        <f>+'Liber Shit- Blerje '!AS24</f>
        <v>0</v>
      </c>
      <c r="P27" s="1116">
        <f>+'Liber Shit- Blerje '!AT24</f>
        <v>0</v>
      </c>
      <c r="Q27" s="1116">
        <f>+'Liber Shit- Blerje '!AU24</f>
        <v>0</v>
      </c>
      <c r="R27" s="1116">
        <f>+'Liber Shit- Blerje '!AV24</f>
        <v>0</v>
      </c>
      <c r="S27" s="1116">
        <f>+'Liber Shit- Blerje '!AW24</f>
        <v>0</v>
      </c>
      <c r="T27" s="1116">
        <f>+'Liber Shit- Blerje '!AX24</f>
        <v>0</v>
      </c>
      <c r="U27" s="1116">
        <f>+'Liber Shit- Blerje '!AY24</f>
        <v>754</v>
      </c>
      <c r="V27" s="1116">
        <f>+'Liber Shit- Blerje '!AZ24</f>
        <v>0</v>
      </c>
      <c r="X27" s="715"/>
      <c r="Y27" s="1122" t="str">
        <f t="shared" si="0"/>
        <v>Nj vlersim</v>
      </c>
      <c r="Z27" s="1123">
        <f t="shared" si="1"/>
        <v>0</v>
      </c>
      <c r="AA27" s="708"/>
      <c r="AB27" s="708"/>
      <c r="AC27" s="708"/>
      <c r="AD27" s="708"/>
      <c r="AE27" s="708"/>
      <c r="AF27" s="708"/>
      <c r="AG27" s="716"/>
    </row>
    <row r="28" spans="2:35">
      <c r="B28" s="1115" t="s">
        <v>183</v>
      </c>
      <c r="C28" s="1117"/>
      <c r="D28" s="1117"/>
      <c r="E28" s="1117"/>
      <c r="F28" s="1117"/>
      <c r="G28" s="1117"/>
      <c r="H28" s="1117"/>
      <c r="I28" s="1117"/>
      <c r="J28" s="1117"/>
      <c r="K28" s="1117"/>
      <c r="L28" s="1117"/>
      <c r="M28" s="1117"/>
      <c r="N28" s="1117"/>
      <c r="O28" s="1117"/>
      <c r="P28" s="1117"/>
      <c r="Q28" s="1117"/>
      <c r="R28" s="1117"/>
      <c r="S28" s="1117"/>
      <c r="T28" s="1117"/>
      <c r="U28" s="1117"/>
      <c r="V28" s="1118"/>
      <c r="X28" s="715"/>
      <c r="Y28" s="1122" t="str">
        <f t="shared" si="0"/>
        <v>Nj vlersim</v>
      </c>
      <c r="Z28" s="1123">
        <f t="shared" si="1"/>
        <v>0</v>
      </c>
      <c r="AA28" s="708">
        <v>0</v>
      </c>
      <c r="AB28" s="708">
        <v>0</v>
      </c>
      <c r="AC28" s="708"/>
      <c r="AD28" s="708">
        <v>0</v>
      </c>
      <c r="AE28" s="708"/>
      <c r="AF28" s="708"/>
      <c r="AG28" s="716"/>
    </row>
    <row r="29" spans="2:35" s="105" customFormat="1" ht="22.5" customHeight="1" thickBot="1">
      <c r="B29" s="563"/>
      <c r="C29" s="697"/>
      <c r="D29" s="697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395"/>
      <c r="X29" s="717"/>
      <c r="Y29" s="1124">
        <f t="shared" si="0"/>
        <v>0</v>
      </c>
      <c r="Z29" s="1125">
        <f t="shared" si="1"/>
        <v>0</v>
      </c>
      <c r="AA29" s="718"/>
      <c r="AB29" s="718"/>
      <c r="AC29" s="718"/>
      <c r="AD29" s="718"/>
      <c r="AE29" s="718"/>
      <c r="AF29" s="718"/>
      <c r="AG29" s="719"/>
      <c r="AH29" s="98"/>
      <c r="AI29" s="98"/>
    </row>
    <row r="30" spans="2:35" s="109" customFormat="1" ht="16.5" thickBot="1">
      <c r="B30" s="703" t="s">
        <v>184</v>
      </c>
      <c r="C30" s="698">
        <f>SUM(C15:C29)</f>
        <v>13982000</v>
      </c>
      <c r="D30" s="698">
        <f t="shared" ref="D30:V30" si="3">SUM(D15:D29)</f>
        <v>0</v>
      </c>
      <c r="E30" s="698">
        <f t="shared" si="3"/>
        <v>0</v>
      </c>
      <c r="F30" s="698">
        <f t="shared" si="3"/>
        <v>0</v>
      </c>
      <c r="G30" s="698">
        <f t="shared" si="3"/>
        <v>0</v>
      </c>
      <c r="H30" s="698">
        <f t="shared" si="3"/>
        <v>0</v>
      </c>
      <c r="I30" s="698">
        <f t="shared" si="3"/>
        <v>3751873.6000000006</v>
      </c>
      <c r="J30" s="698">
        <f t="shared" si="3"/>
        <v>0</v>
      </c>
      <c r="K30" s="698">
        <f t="shared" si="3"/>
        <v>0</v>
      </c>
      <c r="L30" s="698">
        <f t="shared" si="3"/>
        <v>0</v>
      </c>
      <c r="M30" s="698">
        <f t="shared" si="3"/>
        <v>0</v>
      </c>
      <c r="N30" s="698">
        <f t="shared" si="3"/>
        <v>0</v>
      </c>
      <c r="O30" s="698">
        <f t="shared" si="3"/>
        <v>0</v>
      </c>
      <c r="P30" s="698">
        <f t="shared" si="3"/>
        <v>0</v>
      </c>
      <c r="Q30" s="698">
        <f t="shared" si="3"/>
        <v>0</v>
      </c>
      <c r="R30" s="698">
        <f t="shared" si="3"/>
        <v>0</v>
      </c>
      <c r="S30" s="698">
        <f t="shared" si="3"/>
        <v>0</v>
      </c>
      <c r="T30" s="698">
        <f t="shared" si="3"/>
        <v>0</v>
      </c>
      <c r="U30" s="698">
        <f t="shared" si="3"/>
        <v>9802</v>
      </c>
      <c r="V30" s="704">
        <f t="shared" si="3"/>
        <v>0</v>
      </c>
      <c r="W30" s="410"/>
      <c r="X30" s="705"/>
      <c r="Y30" s="1126"/>
      <c r="Z30" s="1126">
        <f>SUM(Z15:Z29)</f>
        <v>13982000</v>
      </c>
      <c r="AA30" s="706">
        <f t="shared" ref="AA30:AF30" si="4">SUM(AA15:AA29)</f>
        <v>0</v>
      </c>
      <c r="AB30" s="706">
        <f t="shared" si="4"/>
        <v>0</v>
      </c>
      <c r="AC30" s="706">
        <f t="shared" si="4"/>
        <v>13982000</v>
      </c>
      <c r="AD30" s="706">
        <f t="shared" si="4"/>
        <v>0</v>
      </c>
      <c r="AE30" s="706">
        <f t="shared" si="4"/>
        <v>0</v>
      </c>
      <c r="AF30" s="706">
        <f t="shared" si="4"/>
        <v>0</v>
      </c>
      <c r="AG30" s="707">
        <f t="shared" ref="AG30" si="5">SUM(AG15:AG29)</f>
        <v>0</v>
      </c>
      <c r="AH30" s="105"/>
      <c r="AI30" s="105"/>
    </row>
    <row r="31" spans="2:35" ht="15.75">
      <c r="B31" s="561"/>
      <c r="C31" s="561"/>
      <c r="D31" s="561"/>
      <c r="E31" s="56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</row>
    <row r="32" spans="2:35">
      <c r="C32" s="1114">
        <f>+C30-C31</f>
        <v>13982000</v>
      </c>
      <c r="D32" s="1114">
        <f t="shared" ref="D32:S32" si="6">+D30-D31</f>
        <v>0</v>
      </c>
      <c r="E32" s="1114">
        <f t="shared" si="6"/>
        <v>0</v>
      </c>
      <c r="F32" s="1114">
        <f t="shared" si="6"/>
        <v>0</v>
      </c>
      <c r="G32" s="1114">
        <f t="shared" si="6"/>
        <v>0</v>
      </c>
      <c r="H32" s="1114">
        <f t="shared" si="6"/>
        <v>0</v>
      </c>
      <c r="I32" s="1114">
        <f t="shared" si="6"/>
        <v>3751873.6000000006</v>
      </c>
      <c r="J32" s="1114">
        <f t="shared" si="6"/>
        <v>0</v>
      </c>
      <c r="K32" s="1114">
        <f t="shared" si="6"/>
        <v>0</v>
      </c>
      <c r="L32" s="1114">
        <f t="shared" si="6"/>
        <v>0</v>
      </c>
      <c r="M32" s="1114">
        <f t="shared" si="6"/>
        <v>0</v>
      </c>
      <c r="N32" s="1114">
        <f t="shared" si="6"/>
        <v>0</v>
      </c>
      <c r="O32" s="1114">
        <f t="shared" si="6"/>
        <v>0</v>
      </c>
      <c r="P32" s="1114">
        <f t="shared" si="6"/>
        <v>0</v>
      </c>
      <c r="Q32" s="1114">
        <f t="shared" si="6"/>
        <v>0</v>
      </c>
      <c r="R32" s="1114">
        <f t="shared" si="6"/>
        <v>0</v>
      </c>
      <c r="S32" s="1114">
        <f t="shared" si="6"/>
        <v>0</v>
      </c>
    </row>
    <row r="33" spans="3:6">
      <c r="C33" s="100"/>
      <c r="D33" s="100"/>
      <c r="E33" s="100"/>
      <c r="F33" s="100"/>
    </row>
    <row r="34" spans="3:6">
      <c r="C34" s="100"/>
      <c r="D34" s="100"/>
      <c r="E34" s="100"/>
      <c r="F34" s="100"/>
    </row>
  </sheetData>
  <mergeCells count="28">
    <mergeCell ref="Y8:AF9"/>
    <mergeCell ref="B12:B14"/>
    <mergeCell ref="C12:C14"/>
    <mergeCell ref="D12:D14"/>
    <mergeCell ref="E12:F13"/>
    <mergeCell ref="G12:H13"/>
    <mergeCell ref="AE12:AE14"/>
    <mergeCell ref="AF12:AF14"/>
    <mergeCell ref="C6:I6"/>
    <mergeCell ref="I12:S12"/>
    <mergeCell ref="T12:T14"/>
    <mergeCell ref="U12:U14"/>
    <mergeCell ref="V12:V14"/>
    <mergeCell ref="I13:I14"/>
    <mergeCell ref="J13:K13"/>
    <mergeCell ref="L13:M13"/>
    <mergeCell ref="N13:O13"/>
    <mergeCell ref="P13:Q13"/>
    <mergeCell ref="R13:S13"/>
    <mergeCell ref="AG12:AG14"/>
    <mergeCell ref="AA11:AG11"/>
    <mergeCell ref="X11:X14"/>
    <mergeCell ref="Y11:Y14"/>
    <mergeCell ref="Z11:Z14"/>
    <mergeCell ref="AA12:AA14"/>
    <mergeCell ref="AB12:AB14"/>
    <mergeCell ref="AC12:AC14"/>
    <mergeCell ref="AD12:AD14"/>
  </mergeCells>
  <phoneticPr fontId="4" type="noConversion"/>
  <printOptions horizontalCentered="1"/>
  <pageMargins left="0" right="0" top="0" bottom="0" header="0" footer="0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7030A0"/>
  </sheetPr>
  <dimension ref="A1:AH201"/>
  <sheetViews>
    <sheetView topLeftCell="G1" workbookViewId="0">
      <selection activeCell="N37" sqref="N37:V53"/>
    </sheetView>
  </sheetViews>
  <sheetFormatPr defaultRowHeight="12.75"/>
  <cols>
    <col min="1" max="1" width="1.140625" style="91" hidden="1" customWidth="1"/>
    <col min="2" max="2" width="4" style="91" customWidth="1"/>
    <col min="3" max="3" width="6.140625" style="91" customWidth="1"/>
    <col min="4" max="4" width="8.5703125" style="1145" customWidth="1"/>
    <col min="5" max="5" width="8.5703125" style="91" customWidth="1"/>
    <col min="6" max="6" width="11.140625" style="91" customWidth="1"/>
    <col min="7" max="7" width="12.5703125" style="91" customWidth="1"/>
    <col min="8" max="11" width="6.42578125" style="91" customWidth="1"/>
    <col min="12" max="12" width="15.42578125" style="91" customWidth="1"/>
    <col min="13" max="13" width="8.42578125" style="91" customWidth="1"/>
    <col min="14" max="14" width="6.140625" style="91" customWidth="1"/>
    <col min="15" max="15" width="7.7109375" style="91" customWidth="1"/>
    <col min="16" max="16" width="9.85546875" style="91" bestFit="1" customWidth="1"/>
    <col min="17" max="17" width="11" style="91" bestFit="1" customWidth="1"/>
    <col min="18" max="18" width="10" style="91" customWidth="1"/>
    <col min="19" max="19" width="6.85546875" style="91" customWidth="1"/>
    <col min="20" max="20" width="6.7109375" style="91" customWidth="1"/>
    <col min="21" max="21" width="10.28515625" style="91" customWidth="1"/>
    <col min="22" max="22" width="9.28515625" style="91" bestFit="1" customWidth="1"/>
    <col min="23" max="24" width="9.85546875" style="91" bestFit="1" customWidth="1"/>
    <col min="25" max="34" width="9.140625" style="91"/>
  </cols>
  <sheetData>
    <row r="1" spans="1:24">
      <c r="H1" s="133"/>
    </row>
    <row r="2" spans="1:24">
      <c r="N2" s="57"/>
      <c r="O2" s="142" t="s">
        <v>134</v>
      </c>
      <c r="P2" s="142" t="str">
        <f>+'Kopertina '!F4</f>
        <v>Eskeld</v>
      </c>
      <c r="Q2" s="142"/>
      <c r="R2" s="142"/>
      <c r="S2" s="142"/>
      <c r="T2" s="142"/>
      <c r="U2" s="142"/>
      <c r="V2" s="142"/>
      <c r="W2" s="57"/>
      <c r="X2" s="57"/>
    </row>
    <row r="3" spans="1:24">
      <c r="B3" s="3"/>
      <c r="C3" s="134"/>
      <c r="D3" s="1146"/>
      <c r="E3" s="134"/>
      <c r="F3" s="134"/>
      <c r="G3" s="134"/>
      <c r="H3" s="3"/>
      <c r="I3" s="3"/>
      <c r="N3" s="57"/>
      <c r="O3" s="142" t="s">
        <v>134</v>
      </c>
      <c r="P3" s="142"/>
      <c r="Q3" s="142"/>
      <c r="R3" s="142"/>
      <c r="S3" s="142"/>
      <c r="T3" s="142"/>
      <c r="U3" s="142"/>
      <c r="V3" s="142"/>
      <c r="W3" s="57">
        <f>'Kopertina '!F29</f>
        <v>2012</v>
      </c>
      <c r="X3" s="57"/>
    </row>
    <row r="4" spans="1:24">
      <c r="A4" s="1323"/>
      <c r="B4" s="1323"/>
      <c r="C4" s="3" t="str">
        <f>+'Kopertina '!F4</f>
        <v>Eskeld</v>
      </c>
      <c r="D4" s="1147"/>
      <c r="E4" s="3"/>
      <c r="F4" s="3"/>
      <c r="G4" s="3"/>
      <c r="H4" s="3"/>
      <c r="I4" s="3"/>
      <c r="N4" s="57"/>
      <c r="O4" s="142" t="s">
        <v>227</v>
      </c>
      <c r="P4" s="142"/>
      <c r="Q4" s="142"/>
      <c r="R4" s="142"/>
      <c r="S4" s="142"/>
      <c r="T4" s="142"/>
      <c r="U4" s="142"/>
      <c r="V4" s="142"/>
      <c r="W4" s="57"/>
      <c r="X4" s="57"/>
    </row>
    <row r="5" spans="1:24" ht="13.5" thickBot="1">
      <c r="B5" s="59"/>
      <c r="C5" s="59"/>
      <c r="D5" s="1148"/>
      <c r="E5" s="59"/>
      <c r="F5" s="59"/>
      <c r="G5" s="59"/>
      <c r="H5" s="3"/>
      <c r="I5" s="3"/>
      <c r="J5" s="3"/>
      <c r="K5" s="3"/>
      <c r="L5" s="3" t="s">
        <v>163</v>
      </c>
      <c r="N5" s="57"/>
      <c r="O5" s="142"/>
      <c r="P5" s="142" t="s">
        <v>784</v>
      </c>
      <c r="Q5" s="142"/>
      <c r="R5" s="142"/>
      <c r="S5" s="142"/>
      <c r="T5" s="142"/>
      <c r="U5" s="142"/>
      <c r="V5" s="142"/>
      <c r="W5" s="57"/>
      <c r="X5" s="57"/>
    </row>
    <row r="6" spans="1:24">
      <c r="B6" s="1323"/>
      <c r="C6" s="1323"/>
      <c r="D6" s="1323"/>
      <c r="E6" s="1323"/>
      <c r="F6" s="1323"/>
      <c r="G6" s="1323"/>
      <c r="H6" s="1323"/>
      <c r="I6" s="1323"/>
      <c r="J6" s="1323"/>
      <c r="K6" s="1323"/>
      <c r="N6" s="1539" t="s">
        <v>1</v>
      </c>
      <c r="O6" s="1539" t="s">
        <v>190</v>
      </c>
      <c r="P6" s="1304" t="s">
        <v>211</v>
      </c>
      <c r="Q6" s="1304" t="s">
        <v>164</v>
      </c>
      <c r="R6" s="1304" t="s">
        <v>212</v>
      </c>
      <c r="S6" s="1304" t="s">
        <v>213</v>
      </c>
      <c r="T6" s="1539" t="s">
        <v>214</v>
      </c>
      <c r="U6" s="417" t="s">
        <v>215</v>
      </c>
      <c r="V6" s="1539" t="s">
        <v>217</v>
      </c>
      <c r="W6" s="1539" t="s">
        <v>228</v>
      </c>
      <c r="X6" s="1539" t="s">
        <v>229</v>
      </c>
    </row>
    <row r="7" spans="1:24" ht="13.5" thickBot="1">
      <c r="B7" s="59"/>
      <c r="C7" s="59"/>
      <c r="D7" s="1148"/>
      <c r="E7" s="59"/>
      <c r="F7" s="59"/>
      <c r="G7" s="59"/>
      <c r="H7" s="59"/>
      <c r="I7" s="3" t="s">
        <v>132</v>
      </c>
      <c r="J7" s="135"/>
      <c r="K7" s="135">
        <f>'Kopertina '!F29</f>
        <v>2012</v>
      </c>
      <c r="N7" s="1540"/>
      <c r="O7" s="1540"/>
      <c r="P7" s="1305" t="s">
        <v>219</v>
      </c>
      <c r="Q7" s="1305" t="s">
        <v>220</v>
      </c>
      <c r="R7" s="1305" t="s">
        <v>221</v>
      </c>
      <c r="S7" s="1305" t="s">
        <v>207</v>
      </c>
      <c r="T7" s="1540"/>
      <c r="U7" s="419" t="s">
        <v>222</v>
      </c>
      <c r="V7" s="1540"/>
      <c r="W7" s="1540"/>
      <c r="X7" s="1540"/>
    </row>
    <row r="8" spans="1:24">
      <c r="N8" s="421">
        <v>1</v>
      </c>
      <c r="O8" s="422" t="s">
        <v>195</v>
      </c>
      <c r="P8" s="1141">
        <f>+F18</f>
        <v>381027.41000000003</v>
      </c>
      <c r="Q8" s="1141">
        <f t="shared" ref="Q8:V8" si="0">+G18</f>
        <v>381027.41000000003</v>
      </c>
      <c r="R8" s="1141">
        <f t="shared" si="0"/>
        <v>0</v>
      </c>
      <c r="S8" s="1141">
        <f t="shared" si="0"/>
        <v>0</v>
      </c>
      <c r="T8" s="1141">
        <f t="shared" si="0"/>
        <v>0</v>
      </c>
      <c r="U8" s="1141">
        <f t="shared" si="0"/>
        <v>0</v>
      </c>
      <c r="V8" s="1141">
        <f t="shared" si="0"/>
        <v>0</v>
      </c>
      <c r="W8" s="1142">
        <f>+'P -Ardh Analiz '!I15</f>
        <v>381027.41000000003</v>
      </c>
      <c r="X8" s="423">
        <f t="shared" ref="X8:X19" si="1">P8-W8</f>
        <v>0</v>
      </c>
    </row>
    <row r="9" spans="1:24" ht="15">
      <c r="B9" s="136"/>
      <c r="C9" s="136" t="s">
        <v>209</v>
      </c>
      <c r="D9" s="1149"/>
      <c r="E9" s="136"/>
      <c r="F9" s="137"/>
      <c r="G9" s="137"/>
      <c r="H9" s="137"/>
      <c r="I9" s="137"/>
      <c r="J9" s="137"/>
      <c r="K9" s="137"/>
      <c r="M9" s="138"/>
      <c r="N9" s="143">
        <v>2</v>
      </c>
      <c r="O9" s="144" t="s">
        <v>230</v>
      </c>
      <c r="P9" s="131">
        <f>+F24</f>
        <v>811955.21</v>
      </c>
      <c r="Q9" s="131">
        <f t="shared" ref="Q9:V9" si="2">+G24</f>
        <v>811955.21</v>
      </c>
      <c r="R9" s="131">
        <f t="shared" si="2"/>
        <v>0</v>
      </c>
      <c r="S9" s="131">
        <f t="shared" si="2"/>
        <v>0</v>
      </c>
      <c r="T9" s="131">
        <f t="shared" si="2"/>
        <v>0</v>
      </c>
      <c r="U9" s="131">
        <f t="shared" si="2"/>
        <v>0</v>
      </c>
      <c r="V9" s="131">
        <f t="shared" si="2"/>
        <v>0</v>
      </c>
      <c r="W9" s="131">
        <f>+'P -Ardh Analiz '!I16</f>
        <v>811955.21</v>
      </c>
      <c r="X9" s="145">
        <f t="shared" si="1"/>
        <v>0</v>
      </c>
    </row>
    <row r="10" spans="1:24" ht="15">
      <c r="B10" s="136"/>
      <c r="C10" s="136"/>
      <c r="D10" s="1150" t="s">
        <v>784</v>
      </c>
      <c r="E10" s="440"/>
      <c r="F10" s="137"/>
      <c r="G10" s="137"/>
      <c r="H10" s="137"/>
      <c r="I10" s="137"/>
      <c r="J10" s="137"/>
      <c r="K10" s="137"/>
      <c r="M10" s="138"/>
      <c r="N10" s="143">
        <v>3</v>
      </c>
      <c r="O10" s="144" t="s">
        <v>196</v>
      </c>
      <c r="P10" s="131">
        <f>+F28</f>
        <v>596224.46</v>
      </c>
      <c r="Q10" s="131">
        <f t="shared" ref="Q10:V10" si="3">+G28</f>
        <v>596224.46</v>
      </c>
      <c r="R10" s="131">
        <f t="shared" si="3"/>
        <v>0</v>
      </c>
      <c r="S10" s="131">
        <f t="shared" si="3"/>
        <v>0</v>
      </c>
      <c r="T10" s="131">
        <f t="shared" si="3"/>
        <v>0</v>
      </c>
      <c r="U10" s="131">
        <f t="shared" si="3"/>
        <v>0</v>
      </c>
      <c r="V10" s="131">
        <f t="shared" si="3"/>
        <v>0</v>
      </c>
      <c r="W10" s="131">
        <f>+'P -Ardh Analiz '!I17</f>
        <v>596224.46</v>
      </c>
      <c r="X10" s="145">
        <f>P10-W10</f>
        <v>0</v>
      </c>
    </row>
    <row r="11" spans="1:24" ht="13.5" thickBot="1">
      <c r="F11" s="138"/>
      <c r="G11" s="138"/>
      <c r="H11" s="138"/>
      <c r="I11" s="138"/>
      <c r="J11" s="138"/>
      <c r="K11" s="138"/>
      <c r="M11" s="138"/>
      <c r="N11" s="143">
        <v>4</v>
      </c>
      <c r="O11" s="144" t="s">
        <v>197</v>
      </c>
      <c r="P11" s="131">
        <f>+F31</f>
        <v>303982.09000000003</v>
      </c>
      <c r="Q11" s="131">
        <f t="shared" ref="Q11:V11" si="4">+G31</f>
        <v>303982.09000000003</v>
      </c>
      <c r="R11" s="131">
        <f t="shared" si="4"/>
        <v>0</v>
      </c>
      <c r="S11" s="131">
        <f t="shared" si="4"/>
        <v>0</v>
      </c>
      <c r="T11" s="131">
        <f t="shared" si="4"/>
        <v>0</v>
      </c>
      <c r="U11" s="131">
        <f t="shared" si="4"/>
        <v>0</v>
      </c>
      <c r="V11" s="131">
        <f t="shared" si="4"/>
        <v>0</v>
      </c>
      <c r="W11" s="131">
        <f>+'P -Ardh Analiz '!I18</f>
        <v>303982</v>
      </c>
      <c r="X11" s="145">
        <f t="shared" si="1"/>
        <v>9.0000000025611371E-2</v>
      </c>
    </row>
    <row r="12" spans="1:24" ht="13.5" thickBot="1">
      <c r="B12" s="1547" t="s">
        <v>1</v>
      </c>
      <c r="C12" s="411" t="s">
        <v>210</v>
      </c>
      <c r="D12" s="1151"/>
      <c r="E12" s="924"/>
      <c r="F12" s="412" t="s">
        <v>211</v>
      </c>
      <c r="G12" s="412" t="s">
        <v>164</v>
      </c>
      <c r="H12" s="412" t="s">
        <v>212</v>
      </c>
      <c r="I12" s="412" t="s">
        <v>213</v>
      </c>
      <c r="J12" s="412" t="s">
        <v>214</v>
      </c>
      <c r="K12" s="413" t="s">
        <v>215</v>
      </c>
      <c r="L12" s="1306" t="s">
        <v>216</v>
      </c>
      <c r="M12" s="412" t="s">
        <v>217</v>
      </c>
      <c r="N12" s="143">
        <v>5</v>
      </c>
      <c r="O12" s="144" t="s">
        <v>198</v>
      </c>
      <c r="P12" s="131">
        <f>+F38</f>
        <v>294529.08999999997</v>
      </c>
      <c r="Q12" s="131">
        <f t="shared" ref="Q12:V12" si="5">+G38</f>
        <v>294529.08999999997</v>
      </c>
      <c r="R12" s="131">
        <f t="shared" si="5"/>
        <v>0</v>
      </c>
      <c r="S12" s="131">
        <f t="shared" si="5"/>
        <v>0</v>
      </c>
      <c r="T12" s="131">
        <f t="shared" si="5"/>
        <v>0</v>
      </c>
      <c r="U12" s="131">
        <f t="shared" si="5"/>
        <v>0</v>
      </c>
      <c r="V12" s="131">
        <f t="shared" si="5"/>
        <v>0</v>
      </c>
      <c r="W12" s="131">
        <f>+'P -Ardh Analiz '!I19</f>
        <v>294529.08999999997</v>
      </c>
      <c r="X12" s="145">
        <f t="shared" si="1"/>
        <v>0</v>
      </c>
    </row>
    <row r="13" spans="1:24" ht="13.5" thickBot="1">
      <c r="B13" s="1548"/>
      <c r="C13" s="414" t="s">
        <v>1</v>
      </c>
      <c r="D13" s="1152" t="s">
        <v>218</v>
      </c>
      <c r="E13" s="1307"/>
      <c r="F13" s="415" t="s">
        <v>219</v>
      </c>
      <c r="G13" s="415" t="s">
        <v>220</v>
      </c>
      <c r="H13" s="415" t="s">
        <v>221</v>
      </c>
      <c r="I13" s="415" t="s">
        <v>207</v>
      </c>
      <c r="J13" s="415"/>
      <c r="K13" s="416" t="s">
        <v>222</v>
      </c>
      <c r="L13" s="1307" t="s">
        <v>223</v>
      </c>
      <c r="M13" s="1313"/>
      <c r="N13" s="143">
        <v>6</v>
      </c>
      <c r="O13" s="144" t="s">
        <v>199</v>
      </c>
      <c r="P13" s="131">
        <f>+F44</f>
        <v>162170.1</v>
      </c>
      <c r="Q13" s="131">
        <f t="shared" ref="Q13:V13" si="6">+G44</f>
        <v>162170.1</v>
      </c>
      <c r="R13" s="131">
        <f t="shared" si="6"/>
        <v>0</v>
      </c>
      <c r="S13" s="131">
        <f t="shared" si="6"/>
        <v>0</v>
      </c>
      <c r="T13" s="131">
        <f t="shared" si="6"/>
        <v>0</v>
      </c>
      <c r="U13" s="131">
        <f t="shared" si="6"/>
        <v>0</v>
      </c>
      <c r="V13" s="131">
        <f t="shared" si="6"/>
        <v>0</v>
      </c>
      <c r="W13" s="131">
        <f>+'P -Ardh Analiz '!I20</f>
        <v>162170.1</v>
      </c>
      <c r="X13" s="145">
        <f t="shared" si="1"/>
        <v>0</v>
      </c>
    </row>
    <row r="14" spans="1:24">
      <c r="B14" s="139">
        <v>1</v>
      </c>
      <c r="C14" s="110"/>
      <c r="D14" s="1153">
        <v>4.01</v>
      </c>
      <c r="E14" s="111" t="s">
        <v>1046</v>
      </c>
      <c r="F14" s="112">
        <v>16027.41</v>
      </c>
      <c r="G14" s="112">
        <f>+F14</f>
        <v>16027.41</v>
      </c>
      <c r="H14" s="112"/>
      <c r="I14" s="112"/>
      <c r="J14" s="112"/>
      <c r="K14" s="112"/>
      <c r="L14" s="111" t="s">
        <v>1101</v>
      </c>
      <c r="M14" s="1314">
        <f t="shared" ref="M14:M22" si="7">F14-(G14+H14+I14+J14)</f>
        <v>0</v>
      </c>
      <c r="N14" s="143">
        <v>7</v>
      </c>
      <c r="O14" s="144" t="s">
        <v>200</v>
      </c>
      <c r="P14" s="131">
        <f>+F46</f>
        <v>13709.37</v>
      </c>
      <c r="Q14" s="131">
        <f t="shared" ref="Q14:V14" si="8">+G46</f>
        <v>13709.37</v>
      </c>
      <c r="R14" s="131">
        <f t="shared" si="8"/>
        <v>0</v>
      </c>
      <c r="S14" s="131">
        <f t="shared" si="8"/>
        <v>0</v>
      </c>
      <c r="T14" s="131">
        <f t="shared" si="8"/>
        <v>0</v>
      </c>
      <c r="U14" s="131">
        <f t="shared" si="8"/>
        <v>0</v>
      </c>
      <c r="V14" s="131">
        <f t="shared" si="8"/>
        <v>0</v>
      </c>
      <c r="W14" s="131">
        <f>+'P -Ardh Analiz '!I21</f>
        <v>13709.37</v>
      </c>
      <c r="X14" s="145">
        <f t="shared" si="1"/>
        <v>0</v>
      </c>
    </row>
    <row r="15" spans="1:24">
      <c r="B15" s="140">
        <v>2</v>
      </c>
      <c r="C15" s="1138">
        <v>14</v>
      </c>
      <c r="D15" s="1154">
        <v>12.12</v>
      </c>
      <c r="E15" s="1138" t="s">
        <v>1102</v>
      </c>
      <c r="F15" s="1139">
        <v>132800</v>
      </c>
      <c r="G15" s="1139">
        <f>+F15</f>
        <v>132800</v>
      </c>
      <c r="H15" s="1139"/>
      <c r="I15" s="1139"/>
      <c r="J15" s="1139"/>
      <c r="K15" s="1139"/>
      <c r="L15" s="1138" t="s">
        <v>1103</v>
      </c>
      <c r="M15" s="141">
        <f t="shared" si="7"/>
        <v>0</v>
      </c>
      <c r="N15" s="143">
        <v>8</v>
      </c>
      <c r="O15" s="144" t="s">
        <v>201</v>
      </c>
      <c r="P15" s="131">
        <f>+F48</f>
        <v>13596.47</v>
      </c>
      <c r="Q15" s="131">
        <f t="shared" ref="Q15:V15" si="9">+G48</f>
        <v>13596.47</v>
      </c>
      <c r="R15" s="131">
        <f t="shared" si="9"/>
        <v>0</v>
      </c>
      <c r="S15" s="131">
        <f t="shared" si="9"/>
        <v>0</v>
      </c>
      <c r="T15" s="131">
        <f t="shared" si="9"/>
        <v>0</v>
      </c>
      <c r="U15" s="131">
        <f t="shared" si="9"/>
        <v>0</v>
      </c>
      <c r="V15" s="131">
        <f t="shared" si="9"/>
        <v>0</v>
      </c>
      <c r="W15" s="131">
        <f>+'P -Ardh Analiz '!I22</f>
        <v>13596.47</v>
      </c>
      <c r="X15" s="145">
        <f t="shared" si="1"/>
        <v>0</v>
      </c>
    </row>
    <row r="16" spans="1:24">
      <c r="B16" s="140">
        <v>3</v>
      </c>
      <c r="C16" s="1138">
        <v>23</v>
      </c>
      <c r="D16" s="1154">
        <v>22.12</v>
      </c>
      <c r="E16" s="1138" t="s">
        <v>1102</v>
      </c>
      <c r="F16" s="1139">
        <v>77700</v>
      </c>
      <c r="G16" s="1139">
        <f t="shared" ref="G16:G50" si="10">+F16</f>
        <v>77700</v>
      </c>
      <c r="H16" s="1139"/>
      <c r="I16" s="1139"/>
      <c r="J16" s="1139"/>
      <c r="K16" s="1139"/>
      <c r="L16" s="1138" t="s">
        <v>1103</v>
      </c>
      <c r="M16" s="141">
        <f t="shared" si="7"/>
        <v>0</v>
      </c>
      <c r="N16" s="143">
        <v>9</v>
      </c>
      <c r="O16" s="144" t="s">
        <v>202</v>
      </c>
      <c r="P16" s="131">
        <f>+F53</f>
        <v>113367.67</v>
      </c>
      <c r="Q16" s="131">
        <f t="shared" ref="Q16:V16" si="11">+G53</f>
        <v>113367.67</v>
      </c>
      <c r="R16" s="131">
        <f t="shared" si="11"/>
        <v>0</v>
      </c>
      <c r="S16" s="131">
        <f t="shared" si="11"/>
        <v>0</v>
      </c>
      <c r="T16" s="131">
        <f t="shared" si="11"/>
        <v>0</v>
      </c>
      <c r="U16" s="131">
        <f t="shared" si="11"/>
        <v>0</v>
      </c>
      <c r="V16" s="131">
        <f t="shared" si="11"/>
        <v>0</v>
      </c>
      <c r="W16" s="131">
        <f>+'P -Ardh Analiz '!I23</f>
        <v>113367.67</v>
      </c>
      <c r="X16" s="145">
        <f t="shared" si="1"/>
        <v>0</v>
      </c>
    </row>
    <row r="17" spans="2:24">
      <c r="B17" s="140">
        <v>4</v>
      </c>
      <c r="C17" s="1138">
        <v>87</v>
      </c>
      <c r="D17" s="1154">
        <v>19.12</v>
      </c>
      <c r="E17" s="1138" t="s">
        <v>1102</v>
      </c>
      <c r="F17" s="1139">
        <v>154500</v>
      </c>
      <c r="G17" s="1139">
        <f t="shared" si="10"/>
        <v>154500</v>
      </c>
      <c r="H17" s="1139"/>
      <c r="I17" s="1139"/>
      <c r="J17" s="1139"/>
      <c r="K17" s="1139"/>
      <c r="L17" s="1138" t="s">
        <v>1103</v>
      </c>
      <c r="M17" s="141">
        <f t="shared" si="7"/>
        <v>0</v>
      </c>
      <c r="N17" s="143">
        <v>10</v>
      </c>
      <c r="O17" s="144" t="s">
        <v>203</v>
      </c>
      <c r="P17" s="131">
        <f>+F59</f>
        <v>640220.37</v>
      </c>
      <c r="Q17" s="131">
        <f t="shared" ref="Q17:V17" si="12">+G59</f>
        <v>640220.37</v>
      </c>
      <c r="R17" s="131">
        <f t="shared" si="12"/>
        <v>0</v>
      </c>
      <c r="S17" s="131">
        <f t="shared" si="12"/>
        <v>0</v>
      </c>
      <c r="T17" s="131">
        <f t="shared" si="12"/>
        <v>0</v>
      </c>
      <c r="U17" s="131">
        <f t="shared" si="12"/>
        <v>0</v>
      </c>
      <c r="V17" s="131">
        <f t="shared" si="12"/>
        <v>0</v>
      </c>
      <c r="W17" s="131">
        <f>+'P -Ardh Analiz '!I24</f>
        <v>640220.37</v>
      </c>
      <c r="X17" s="146">
        <f t="shared" si="1"/>
        <v>0</v>
      </c>
    </row>
    <row r="18" spans="2:24">
      <c r="B18" s="140">
        <v>5</v>
      </c>
      <c r="C18" s="1544" t="s">
        <v>1104</v>
      </c>
      <c r="D18" s="1545"/>
      <c r="E18" s="1546"/>
      <c r="F18" s="1140">
        <f>SUM(F14:F17)</f>
        <v>381027.41000000003</v>
      </c>
      <c r="G18" s="1140">
        <f t="shared" ref="G18:M18" si="13">SUM(G14:G17)</f>
        <v>381027.41000000003</v>
      </c>
      <c r="H18" s="1140">
        <f t="shared" si="13"/>
        <v>0</v>
      </c>
      <c r="I18" s="1140">
        <f t="shared" si="13"/>
        <v>0</v>
      </c>
      <c r="J18" s="1140">
        <f t="shared" si="13"/>
        <v>0</v>
      </c>
      <c r="K18" s="1140">
        <f t="shared" si="13"/>
        <v>0</v>
      </c>
      <c r="L18" s="1140">
        <f t="shared" si="13"/>
        <v>0</v>
      </c>
      <c r="M18" s="1315">
        <f t="shared" si="13"/>
        <v>0</v>
      </c>
      <c r="N18" s="143">
        <v>11</v>
      </c>
      <c r="O18" s="144" t="s">
        <v>204</v>
      </c>
      <c r="P18" s="131">
        <f>+F68</f>
        <v>372175.68</v>
      </c>
      <c r="Q18" s="131">
        <f t="shared" ref="Q18:V18" si="14">+G68</f>
        <v>372175.68</v>
      </c>
      <c r="R18" s="131">
        <f t="shared" si="14"/>
        <v>0</v>
      </c>
      <c r="S18" s="131">
        <f t="shared" si="14"/>
        <v>0</v>
      </c>
      <c r="T18" s="131">
        <f t="shared" si="14"/>
        <v>0</v>
      </c>
      <c r="U18" s="131">
        <f t="shared" si="14"/>
        <v>0</v>
      </c>
      <c r="V18" s="131">
        <f t="shared" si="14"/>
        <v>0</v>
      </c>
      <c r="W18" s="131">
        <f>+'P -Ardh Analiz '!I25</f>
        <v>372175.68</v>
      </c>
      <c r="X18" s="146">
        <f t="shared" si="1"/>
        <v>0</v>
      </c>
    </row>
    <row r="19" spans="2:24">
      <c r="B19" s="140">
        <v>6</v>
      </c>
      <c r="C19" s="113"/>
      <c r="D19" s="1155">
        <v>6.02</v>
      </c>
      <c r="E19" s="113" t="s">
        <v>1046</v>
      </c>
      <c r="F19" s="106">
        <v>14495.21</v>
      </c>
      <c r="G19" s="106">
        <f t="shared" si="10"/>
        <v>14495.21</v>
      </c>
      <c r="H19" s="106"/>
      <c r="I19" s="106"/>
      <c r="J19" s="106"/>
      <c r="K19" s="106"/>
      <c r="L19" s="113" t="s">
        <v>1101</v>
      </c>
      <c r="M19" s="141">
        <f t="shared" si="7"/>
        <v>0</v>
      </c>
      <c r="N19" s="143">
        <v>12</v>
      </c>
      <c r="O19" s="144" t="s">
        <v>205</v>
      </c>
      <c r="P19" s="131">
        <f>+F71</f>
        <v>48915.770000000004</v>
      </c>
      <c r="Q19" s="131">
        <f t="shared" ref="Q19:V19" si="15">+G71</f>
        <v>48915.770000000004</v>
      </c>
      <c r="R19" s="131">
        <f t="shared" si="15"/>
        <v>0</v>
      </c>
      <c r="S19" s="131">
        <f t="shared" si="15"/>
        <v>0</v>
      </c>
      <c r="T19" s="131">
        <f t="shared" si="15"/>
        <v>0</v>
      </c>
      <c r="U19" s="131">
        <f t="shared" si="15"/>
        <v>0</v>
      </c>
      <c r="V19" s="131">
        <f t="shared" si="15"/>
        <v>0</v>
      </c>
      <c r="W19" s="1143">
        <f>+'P -Ardh Analiz '!I26</f>
        <v>48915.770000000004</v>
      </c>
      <c r="X19" s="146">
        <f t="shared" si="1"/>
        <v>0</v>
      </c>
    </row>
    <row r="20" spans="2:24">
      <c r="B20" s="140">
        <v>7</v>
      </c>
      <c r="C20" s="113">
        <v>28</v>
      </c>
      <c r="D20" s="1155">
        <v>24.02</v>
      </c>
      <c r="E20" s="113" t="s">
        <v>1105</v>
      </c>
      <c r="F20" s="106">
        <v>65400</v>
      </c>
      <c r="G20" s="106">
        <f t="shared" si="10"/>
        <v>65400</v>
      </c>
      <c r="H20" s="106"/>
      <c r="I20" s="106"/>
      <c r="J20" s="106"/>
      <c r="K20" s="106"/>
      <c r="L20" s="113" t="s">
        <v>1106</v>
      </c>
      <c r="M20" s="141">
        <f t="shared" si="7"/>
        <v>0</v>
      </c>
      <c r="N20" s="1551" t="s">
        <v>338</v>
      </c>
      <c r="O20" s="1552"/>
      <c r="P20" s="420">
        <f>SUM(P8:P19)</f>
        <v>3751873.6900000009</v>
      </c>
      <c r="Q20" s="420">
        <f t="shared" ref="Q20:X20" si="16">SUM(Q8:Q19)</f>
        <v>3751873.6900000009</v>
      </c>
      <c r="R20" s="420">
        <f t="shared" si="16"/>
        <v>0</v>
      </c>
      <c r="S20" s="420">
        <f t="shared" si="16"/>
        <v>0</v>
      </c>
      <c r="T20" s="420">
        <f t="shared" si="16"/>
        <v>0</v>
      </c>
      <c r="U20" s="420">
        <f t="shared" si="16"/>
        <v>0</v>
      </c>
      <c r="V20" s="420">
        <f t="shared" si="16"/>
        <v>0</v>
      </c>
      <c r="W20" s="420">
        <f t="shared" si="16"/>
        <v>3751873.6000000006</v>
      </c>
      <c r="X20" s="424">
        <f t="shared" si="16"/>
        <v>9.0000000025611371E-2</v>
      </c>
    </row>
    <row r="21" spans="2:24">
      <c r="B21" s="140">
        <v>8</v>
      </c>
      <c r="C21" s="1138">
        <v>27</v>
      </c>
      <c r="D21" s="1154">
        <v>25.02</v>
      </c>
      <c r="E21" s="1138" t="s">
        <v>1107</v>
      </c>
      <c r="F21" s="1139">
        <v>150000</v>
      </c>
      <c r="G21" s="1139">
        <f t="shared" si="10"/>
        <v>150000</v>
      </c>
      <c r="H21" s="1139"/>
      <c r="I21" s="1139"/>
      <c r="J21" s="1139"/>
      <c r="K21" s="1139"/>
      <c r="L21" s="1138" t="s">
        <v>1108</v>
      </c>
      <c r="M21" s="1144">
        <f t="shared" si="7"/>
        <v>0</v>
      </c>
      <c r="N21" s="1551"/>
      <c r="O21" s="1552"/>
      <c r="P21" s="420"/>
      <c r="Q21" s="420"/>
      <c r="R21" s="420"/>
      <c r="S21" s="420"/>
      <c r="T21" s="420"/>
      <c r="U21" s="420"/>
      <c r="V21" s="420"/>
      <c r="W21" s="420"/>
      <c r="X21" s="424"/>
    </row>
    <row r="22" spans="2:24">
      <c r="B22" s="140">
        <v>9</v>
      </c>
      <c r="C22" s="113">
        <v>56</v>
      </c>
      <c r="D22" s="1155">
        <v>25.02</v>
      </c>
      <c r="E22" s="113" t="s">
        <v>1109</v>
      </c>
      <c r="F22" s="106">
        <v>294300</v>
      </c>
      <c r="G22" s="106">
        <f t="shared" si="10"/>
        <v>294300</v>
      </c>
      <c r="H22" s="106"/>
      <c r="I22" s="106"/>
      <c r="J22" s="106"/>
      <c r="K22" s="106"/>
      <c r="L22" s="113" t="s">
        <v>1110</v>
      </c>
      <c r="M22" s="141">
        <f t="shared" si="7"/>
        <v>0</v>
      </c>
      <c r="N22" s="1549" t="s">
        <v>339</v>
      </c>
      <c r="O22" s="1550"/>
      <c r="P22" s="428">
        <f>SUM(P20:P21)</f>
        <v>3751873.6900000009</v>
      </c>
      <c r="Q22" s="428">
        <f t="shared" ref="Q22:X22" si="17">SUM(Q20:Q21)</f>
        <v>3751873.6900000009</v>
      </c>
      <c r="R22" s="428">
        <f t="shared" si="17"/>
        <v>0</v>
      </c>
      <c r="S22" s="428">
        <f t="shared" si="17"/>
        <v>0</v>
      </c>
      <c r="T22" s="428">
        <f t="shared" si="17"/>
        <v>0</v>
      </c>
      <c r="U22" s="428">
        <f t="shared" si="17"/>
        <v>0</v>
      </c>
      <c r="V22" s="428">
        <f t="shared" si="17"/>
        <v>0</v>
      </c>
      <c r="W22" s="428">
        <f t="shared" si="17"/>
        <v>3751873.6000000006</v>
      </c>
      <c r="X22" s="429">
        <f t="shared" si="17"/>
        <v>9.0000000025611371E-2</v>
      </c>
    </row>
    <row r="23" spans="2:24">
      <c r="B23" s="140">
        <v>10</v>
      </c>
      <c r="C23" s="113">
        <v>61</v>
      </c>
      <c r="D23" s="1155">
        <v>29.02</v>
      </c>
      <c r="E23" s="113" t="s">
        <v>1109</v>
      </c>
      <c r="F23" s="106">
        <v>287760</v>
      </c>
      <c r="G23" s="106">
        <f t="shared" si="10"/>
        <v>287760</v>
      </c>
      <c r="H23" s="106"/>
      <c r="I23" s="106"/>
      <c r="J23" s="106"/>
      <c r="K23" s="106"/>
      <c r="L23" s="113" t="s">
        <v>1110</v>
      </c>
      <c r="M23" s="141">
        <f t="shared" ref="M23:M50" si="18">F23-(G23+H23+I23+J23)</f>
        <v>0</v>
      </c>
      <c r="N23" s="143"/>
      <c r="O23" s="1552"/>
      <c r="P23" s="1552"/>
      <c r="Q23" s="131">
        <v>0</v>
      </c>
      <c r="R23" s="131"/>
      <c r="S23" s="131"/>
      <c r="T23" s="131"/>
      <c r="U23" s="131"/>
      <c r="V23" s="131"/>
      <c r="W23" s="131"/>
      <c r="X23" s="132"/>
    </row>
    <row r="24" spans="2:24">
      <c r="B24" s="140">
        <v>11</v>
      </c>
      <c r="C24" s="1544" t="s">
        <v>172</v>
      </c>
      <c r="D24" s="1545"/>
      <c r="E24" s="1546"/>
      <c r="F24" s="1140">
        <f>SUM(F19:F23)</f>
        <v>811955.21</v>
      </c>
      <c r="G24" s="1140">
        <f t="shared" ref="G24:M24" si="19">SUM(G19:G23)</f>
        <v>811955.21</v>
      </c>
      <c r="H24" s="1140">
        <f t="shared" si="19"/>
        <v>0</v>
      </c>
      <c r="I24" s="1140">
        <f t="shared" si="19"/>
        <v>0</v>
      </c>
      <c r="J24" s="1140">
        <f t="shared" si="19"/>
        <v>0</v>
      </c>
      <c r="K24" s="1140">
        <f t="shared" si="19"/>
        <v>0</v>
      </c>
      <c r="L24" s="1140">
        <f t="shared" si="19"/>
        <v>0</v>
      </c>
      <c r="M24" s="1315">
        <f t="shared" si="19"/>
        <v>0</v>
      </c>
      <c r="N24" s="143"/>
      <c r="O24" s="1552"/>
      <c r="P24" s="1552"/>
      <c r="Q24" s="131">
        <v>0</v>
      </c>
      <c r="R24" s="131"/>
      <c r="S24" s="131"/>
      <c r="T24" s="131"/>
      <c r="U24" s="131"/>
      <c r="V24" s="131"/>
      <c r="W24" s="131"/>
      <c r="X24" s="132"/>
    </row>
    <row r="25" spans="2:24">
      <c r="B25" s="140">
        <v>12</v>
      </c>
      <c r="C25" s="113"/>
      <c r="D25" s="1155">
        <v>5.03</v>
      </c>
      <c r="E25" s="113" t="s">
        <v>1046</v>
      </c>
      <c r="F25" s="106">
        <v>14224.46</v>
      </c>
      <c r="G25" s="106">
        <f t="shared" si="10"/>
        <v>14224.46</v>
      </c>
      <c r="H25" s="106"/>
      <c r="I25" s="106"/>
      <c r="J25" s="106"/>
      <c r="K25" s="106"/>
      <c r="L25" s="113" t="s">
        <v>1101</v>
      </c>
      <c r="M25" s="141">
        <f t="shared" si="18"/>
        <v>0</v>
      </c>
      <c r="N25" s="143"/>
      <c r="O25" s="1552"/>
      <c r="P25" s="1552"/>
      <c r="Q25" s="420"/>
      <c r="R25" s="420">
        <f>R53</f>
        <v>0</v>
      </c>
      <c r="S25" s="420">
        <f>S53</f>
        <v>0</v>
      </c>
      <c r="T25" s="420">
        <f>T53</f>
        <v>0</v>
      </c>
      <c r="U25" s="420">
        <f>U53</f>
        <v>0</v>
      </c>
      <c r="V25" s="420"/>
      <c r="W25" s="420"/>
      <c r="X25" s="424"/>
    </row>
    <row r="26" spans="2:24">
      <c r="B26" s="140">
        <v>13</v>
      </c>
      <c r="C26" s="113">
        <v>75</v>
      </c>
      <c r="D26" s="1155">
        <v>14.03</v>
      </c>
      <c r="E26" s="113" t="s">
        <v>1109</v>
      </c>
      <c r="F26" s="106">
        <v>288000</v>
      </c>
      <c r="G26" s="106">
        <f t="shared" si="10"/>
        <v>288000</v>
      </c>
      <c r="H26" s="106"/>
      <c r="I26" s="106"/>
      <c r="J26" s="106"/>
      <c r="K26" s="106"/>
      <c r="L26" s="113" t="s">
        <v>1110</v>
      </c>
      <c r="M26" s="141">
        <f t="shared" si="18"/>
        <v>0</v>
      </c>
      <c r="N26" s="143"/>
      <c r="O26" s="1542"/>
      <c r="P26" s="1543"/>
      <c r="Q26" s="131"/>
      <c r="R26" s="131"/>
      <c r="S26" s="131"/>
      <c r="T26" s="131"/>
      <c r="U26" s="131"/>
      <c r="V26" s="131"/>
      <c r="W26" s="131"/>
      <c r="X26" s="132"/>
    </row>
    <row r="27" spans="2:24">
      <c r="B27" s="140">
        <v>14</v>
      </c>
      <c r="C27" s="113">
        <v>68</v>
      </c>
      <c r="D27" s="1155">
        <v>6.03</v>
      </c>
      <c r="E27" s="113" t="s">
        <v>1109</v>
      </c>
      <c r="F27" s="106">
        <v>294000</v>
      </c>
      <c r="G27" s="106">
        <f t="shared" si="10"/>
        <v>294000</v>
      </c>
      <c r="H27" s="106"/>
      <c r="I27" s="106"/>
      <c r="J27" s="106"/>
      <c r="K27" s="106"/>
      <c r="L27" s="113" t="s">
        <v>1110</v>
      </c>
      <c r="M27" s="141">
        <f t="shared" si="18"/>
        <v>0</v>
      </c>
      <c r="N27" s="143"/>
      <c r="O27" s="1542"/>
      <c r="P27" s="1543"/>
      <c r="Q27" s="131"/>
      <c r="R27" s="131"/>
      <c r="S27" s="131"/>
      <c r="T27" s="131"/>
      <c r="U27" s="131"/>
      <c r="V27" s="131"/>
      <c r="W27" s="131"/>
      <c r="X27" s="132"/>
    </row>
    <row r="28" spans="2:24">
      <c r="B28" s="140">
        <v>15</v>
      </c>
      <c r="C28" s="1544" t="s">
        <v>173</v>
      </c>
      <c r="D28" s="1545"/>
      <c r="E28" s="1546"/>
      <c r="F28" s="1140">
        <f>SUM(F25:F27)</f>
        <v>596224.46</v>
      </c>
      <c r="G28" s="1140">
        <f t="shared" ref="G28:M28" si="20">SUM(G25:G27)</f>
        <v>596224.46</v>
      </c>
      <c r="H28" s="1140">
        <f t="shared" si="20"/>
        <v>0</v>
      </c>
      <c r="I28" s="1140">
        <f t="shared" si="20"/>
        <v>0</v>
      </c>
      <c r="J28" s="1140">
        <f t="shared" si="20"/>
        <v>0</v>
      </c>
      <c r="K28" s="1140">
        <f t="shared" si="20"/>
        <v>0</v>
      </c>
      <c r="L28" s="1140">
        <f t="shared" si="20"/>
        <v>0</v>
      </c>
      <c r="M28" s="1315">
        <f t="shared" si="20"/>
        <v>0</v>
      </c>
      <c r="N28" s="143"/>
      <c r="O28" s="1542"/>
      <c r="P28" s="1543"/>
      <c r="Q28" s="131"/>
      <c r="R28" s="131"/>
      <c r="S28" s="131"/>
      <c r="T28" s="131"/>
      <c r="U28" s="131"/>
      <c r="V28" s="131"/>
      <c r="W28" s="131"/>
      <c r="X28" s="132"/>
    </row>
    <row r="29" spans="2:24" ht="13.5" thickBot="1">
      <c r="B29" s="140">
        <v>16</v>
      </c>
      <c r="C29" s="113"/>
      <c r="D29" s="1155">
        <v>5.04</v>
      </c>
      <c r="E29" s="113" t="s">
        <v>1046</v>
      </c>
      <c r="F29" s="106">
        <v>13982.09</v>
      </c>
      <c r="G29" s="106">
        <f t="shared" si="10"/>
        <v>13982.09</v>
      </c>
      <c r="H29" s="106"/>
      <c r="I29" s="106"/>
      <c r="J29" s="106"/>
      <c r="K29" s="106"/>
      <c r="L29" s="113" t="s">
        <v>1101</v>
      </c>
      <c r="M29" s="141">
        <f t="shared" si="18"/>
        <v>0</v>
      </c>
      <c r="N29" s="425"/>
      <c r="O29" s="1541" t="s">
        <v>775</v>
      </c>
      <c r="P29" s="1541"/>
      <c r="Q29" s="426">
        <f>Q53+R53+S53+T53</f>
        <v>1154800</v>
      </c>
      <c r="R29" s="426">
        <f t="shared" ref="R29:X29" si="21">R25</f>
        <v>0</v>
      </c>
      <c r="S29" s="426">
        <f t="shared" si="21"/>
        <v>0</v>
      </c>
      <c r="T29" s="426">
        <f t="shared" si="21"/>
        <v>0</v>
      </c>
      <c r="U29" s="426">
        <f t="shared" si="21"/>
        <v>0</v>
      </c>
      <c r="V29" s="426">
        <f t="shared" si="21"/>
        <v>0</v>
      </c>
      <c r="W29" s="426">
        <f t="shared" si="21"/>
        <v>0</v>
      </c>
      <c r="X29" s="427">
        <f t="shared" si="21"/>
        <v>0</v>
      </c>
    </row>
    <row r="30" spans="2:24">
      <c r="B30" s="140">
        <v>17</v>
      </c>
      <c r="C30" s="113">
        <v>6640</v>
      </c>
      <c r="D30" s="1155">
        <v>10.039999999999999</v>
      </c>
      <c r="E30" s="113" t="s">
        <v>1111</v>
      </c>
      <c r="F30" s="106">
        <v>290000</v>
      </c>
      <c r="G30" s="106">
        <f t="shared" si="10"/>
        <v>290000</v>
      </c>
      <c r="H30" s="106"/>
      <c r="I30" s="106"/>
      <c r="J30" s="106"/>
      <c r="K30" s="106"/>
      <c r="L30" s="113" t="s">
        <v>1112</v>
      </c>
      <c r="M30" s="141">
        <f t="shared" si="18"/>
        <v>0</v>
      </c>
      <c r="N30" s="1529" t="s">
        <v>237</v>
      </c>
      <c r="O30" s="1530"/>
      <c r="P30" s="1531"/>
      <c r="Q30" s="1537">
        <f>+Q22+R22+S22+T22-Q53</f>
        <v>2597073.6900000009</v>
      </c>
      <c r="R30" s="1537"/>
      <c r="S30" s="1537"/>
      <c r="T30" s="1537"/>
      <c r="U30" s="1537">
        <f>U22-U29</f>
        <v>0</v>
      </c>
      <c r="V30" s="1537"/>
      <c r="W30" s="1537"/>
      <c r="X30" s="1537"/>
    </row>
    <row r="31" spans="2:24" ht="13.5" thickBot="1">
      <c r="B31" s="140">
        <v>18</v>
      </c>
      <c r="C31" s="1544" t="s">
        <v>174</v>
      </c>
      <c r="D31" s="1545"/>
      <c r="E31" s="1546"/>
      <c r="F31" s="1140">
        <f>SUM(F29:F30)</f>
        <v>303982.09000000003</v>
      </c>
      <c r="G31" s="1140">
        <f t="shared" ref="G31:M31" si="22">SUM(G29:G30)</f>
        <v>303982.09000000003</v>
      </c>
      <c r="H31" s="1140">
        <f t="shared" si="22"/>
        <v>0</v>
      </c>
      <c r="I31" s="1140">
        <f t="shared" si="22"/>
        <v>0</v>
      </c>
      <c r="J31" s="1140">
        <f t="shared" si="22"/>
        <v>0</v>
      </c>
      <c r="K31" s="1140">
        <f t="shared" si="22"/>
        <v>0</v>
      </c>
      <c r="L31" s="1140">
        <f t="shared" si="22"/>
        <v>0</v>
      </c>
      <c r="M31" s="1315">
        <f t="shared" si="22"/>
        <v>0</v>
      </c>
      <c r="N31" s="1532"/>
      <c r="O31" s="1533"/>
      <c r="P31" s="1534"/>
      <c r="Q31" s="1538"/>
      <c r="R31" s="1538"/>
      <c r="S31" s="1538"/>
      <c r="T31" s="1538"/>
      <c r="U31" s="1538"/>
      <c r="V31" s="1538"/>
      <c r="W31" s="1538"/>
      <c r="X31" s="1538"/>
    </row>
    <row r="32" spans="2:24">
      <c r="B32" s="140">
        <v>19</v>
      </c>
      <c r="C32" s="113">
        <v>3803</v>
      </c>
      <c r="D32" s="1155">
        <v>4.05</v>
      </c>
      <c r="E32" s="113" t="s">
        <v>1113</v>
      </c>
      <c r="F32" s="106">
        <v>140400</v>
      </c>
      <c r="G32" s="106">
        <f t="shared" si="10"/>
        <v>140400</v>
      </c>
      <c r="H32" s="106"/>
      <c r="I32" s="106"/>
      <c r="J32" s="106"/>
      <c r="K32" s="106"/>
      <c r="L32" s="113" t="s">
        <v>1106</v>
      </c>
      <c r="M32" s="141">
        <f t="shared" si="18"/>
        <v>0</v>
      </c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</row>
    <row r="33" spans="2:24">
      <c r="B33" s="140">
        <v>20</v>
      </c>
      <c r="C33" s="113"/>
      <c r="D33" s="1155">
        <v>4.05</v>
      </c>
      <c r="E33" s="113" t="s">
        <v>1046</v>
      </c>
      <c r="F33" s="106">
        <v>14547.21</v>
      </c>
      <c r="G33" s="106">
        <f t="shared" si="10"/>
        <v>14547.21</v>
      </c>
      <c r="H33" s="106"/>
      <c r="I33" s="106"/>
      <c r="J33" s="106"/>
      <c r="K33" s="106"/>
      <c r="L33" s="113" t="s">
        <v>1101</v>
      </c>
      <c r="M33" s="141">
        <f t="shared" si="18"/>
        <v>0</v>
      </c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</row>
    <row r="34" spans="2:24">
      <c r="B34" s="140">
        <v>21</v>
      </c>
      <c r="C34" s="113">
        <v>72</v>
      </c>
      <c r="D34" s="1155">
        <v>17.05</v>
      </c>
      <c r="E34" s="113" t="s">
        <v>1105</v>
      </c>
      <c r="F34" s="106">
        <v>74880</v>
      </c>
      <c r="G34" s="106">
        <f t="shared" si="10"/>
        <v>74880</v>
      </c>
      <c r="H34" s="106"/>
      <c r="I34" s="106"/>
      <c r="J34" s="106"/>
      <c r="K34" s="106"/>
      <c r="L34" s="113" t="s">
        <v>1106</v>
      </c>
      <c r="M34" s="141">
        <f t="shared" si="18"/>
        <v>0</v>
      </c>
      <c r="N34" s="57"/>
      <c r="O34" s="57"/>
      <c r="P34" s="57"/>
      <c r="Q34" s="155"/>
      <c r="R34" s="57"/>
      <c r="S34" s="57"/>
      <c r="T34" s="57"/>
      <c r="U34" s="57"/>
      <c r="V34" s="57"/>
      <c r="W34" s="57"/>
      <c r="X34" s="57"/>
    </row>
    <row r="35" spans="2:24">
      <c r="B35" s="140">
        <v>22</v>
      </c>
      <c r="C35" s="113">
        <v>6787</v>
      </c>
      <c r="D35" s="1155">
        <v>25.05</v>
      </c>
      <c r="E35" s="113" t="s">
        <v>1111</v>
      </c>
      <c r="F35" s="106">
        <v>18000</v>
      </c>
      <c r="G35" s="106">
        <f t="shared" si="10"/>
        <v>18000</v>
      </c>
      <c r="H35" s="106"/>
      <c r="I35" s="106"/>
      <c r="J35" s="106"/>
      <c r="K35" s="106"/>
      <c r="L35" s="113" t="s">
        <v>1112</v>
      </c>
      <c r="M35" s="141">
        <f t="shared" si="18"/>
        <v>0</v>
      </c>
      <c r="N35" s="57"/>
      <c r="O35" s="57"/>
      <c r="P35" s="142" t="s">
        <v>776</v>
      </c>
      <c r="Q35" s="142"/>
      <c r="R35" s="142"/>
      <c r="S35" s="57"/>
      <c r="T35" s="57"/>
      <c r="U35" s="57"/>
      <c r="V35" s="57"/>
      <c r="W35" s="57"/>
      <c r="X35" s="57"/>
    </row>
    <row r="36" spans="2:24" ht="13.5" thickBot="1">
      <c r="B36" s="140">
        <v>23</v>
      </c>
      <c r="C36" s="113">
        <v>6742</v>
      </c>
      <c r="D36" s="1155">
        <v>11.05</v>
      </c>
      <c r="E36" s="113" t="s">
        <v>1111</v>
      </c>
      <c r="F36" s="106">
        <v>28201.88</v>
      </c>
      <c r="G36" s="106">
        <f t="shared" si="10"/>
        <v>28201.88</v>
      </c>
      <c r="H36" s="106"/>
      <c r="I36" s="106"/>
      <c r="J36" s="106"/>
      <c r="K36" s="106"/>
      <c r="L36" s="113" t="s">
        <v>1112</v>
      </c>
      <c r="M36" s="141">
        <f t="shared" si="18"/>
        <v>0</v>
      </c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2:24" ht="13.5" thickBot="1">
      <c r="B37" s="140">
        <v>24</v>
      </c>
      <c r="C37" s="113">
        <v>6776</v>
      </c>
      <c r="D37" s="1155">
        <v>21.05</v>
      </c>
      <c r="E37" s="113" t="s">
        <v>1111</v>
      </c>
      <c r="F37" s="106">
        <v>18500</v>
      </c>
      <c r="G37" s="106">
        <f t="shared" si="10"/>
        <v>18500</v>
      </c>
      <c r="H37" s="106"/>
      <c r="I37" s="106"/>
      <c r="J37" s="106"/>
      <c r="K37" s="106"/>
      <c r="L37" s="113" t="s">
        <v>1112</v>
      </c>
      <c r="M37" s="141">
        <f t="shared" si="18"/>
        <v>0</v>
      </c>
      <c r="N37" s="1535" t="s">
        <v>1</v>
      </c>
      <c r="O37" s="433" t="s">
        <v>231</v>
      </c>
      <c r="P37" s="434"/>
      <c r="Q37" s="1304" t="s">
        <v>232</v>
      </c>
      <c r="R37" s="1304" t="s">
        <v>212</v>
      </c>
      <c r="S37" s="1304" t="s">
        <v>233</v>
      </c>
      <c r="T37" s="1304" t="s">
        <v>214</v>
      </c>
      <c r="U37" s="1304" t="s">
        <v>215</v>
      </c>
      <c r="V37" s="1304" t="s">
        <v>234</v>
      </c>
      <c r="W37" s="107"/>
      <c r="X37" s="108"/>
    </row>
    <row r="38" spans="2:24" ht="13.5" thickBot="1">
      <c r="B38" s="140">
        <v>25</v>
      </c>
      <c r="C38" s="1544" t="s">
        <v>175</v>
      </c>
      <c r="D38" s="1545"/>
      <c r="E38" s="1546"/>
      <c r="F38" s="1140">
        <f>SUM(F32:F37)</f>
        <v>294529.08999999997</v>
      </c>
      <c r="G38" s="1140">
        <f t="shared" ref="G38:M38" si="23">SUM(G32:G37)</f>
        <v>294529.08999999997</v>
      </c>
      <c r="H38" s="1140">
        <f t="shared" si="23"/>
        <v>0</v>
      </c>
      <c r="I38" s="1140">
        <f t="shared" si="23"/>
        <v>0</v>
      </c>
      <c r="J38" s="1140">
        <f t="shared" si="23"/>
        <v>0</v>
      </c>
      <c r="K38" s="1140">
        <f t="shared" si="23"/>
        <v>0</v>
      </c>
      <c r="L38" s="1140">
        <f t="shared" si="23"/>
        <v>0</v>
      </c>
      <c r="M38" s="1315">
        <f t="shared" si="23"/>
        <v>0</v>
      </c>
      <c r="N38" s="1536"/>
      <c r="O38" s="434" t="s">
        <v>1</v>
      </c>
      <c r="P38" s="435" t="s">
        <v>218</v>
      </c>
      <c r="Q38" s="418" t="s">
        <v>235</v>
      </c>
      <c r="R38" s="418" t="s">
        <v>236</v>
      </c>
      <c r="S38" s="418"/>
      <c r="T38" s="418"/>
      <c r="U38" s="418" t="s">
        <v>222</v>
      </c>
      <c r="V38" s="418"/>
      <c r="W38" s="108"/>
      <c r="X38" s="108"/>
    </row>
    <row r="39" spans="2:24">
      <c r="B39" s="140">
        <v>26</v>
      </c>
      <c r="C39" s="113"/>
      <c r="D39" s="1155">
        <v>4.0599999999999996</v>
      </c>
      <c r="E39" s="113" t="s">
        <v>1046</v>
      </c>
      <c r="F39" s="106">
        <v>14070.1</v>
      </c>
      <c r="G39" s="106">
        <f t="shared" si="10"/>
        <v>14070.1</v>
      </c>
      <c r="H39" s="106"/>
      <c r="I39" s="106"/>
      <c r="J39" s="106"/>
      <c r="K39" s="106"/>
      <c r="L39" s="113" t="s">
        <v>1101</v>
      </c>
      <c r="M39" s="141">
        <f t="shared" si="18"/>
        <v>0</v>
      </c>
      <c r="N39" s="1310">
        <v>1</v>
      </c>
      <c r="O39" s="1161">
        <v>14</v>
      </c>
      <c r="P39" s="1159">
        <v>12.12</v>
      </c>
      <c r="Q39" s="1162">
        <v>132800</v>
      </c>
      <c r="R39" s="431"/>
      <c r="S39" s="431"/>
      <c r="T39" s="431"/>
      <c r="U39" s="432"/>
      <c r="V39" s="1163" t="s">
        <v>1103</v>
      </c>
      <c r="W39" s="108"/>
      <c r="X39" s="108"/>
    </row>
    <row r="40" spans="2:24">
      <c r="B40" s="140">
        <v>27</v>
      </c>
      <c r="C40" s="113">
        <v>86</v>
      </c>
      <c r="D40" s="1155">
        <v>9.06</v>
      </c>
      <c r="E40" s="113" t="s">
        <v>1105</v>
      </c>
      <c r="F40" s="106">
        <v>44400</v>
      </c>
      <c r="G40" s="106">
        <f t="shared" si="10"/>
        <v>44400</v>
      </c>
      <c r="H40" s="106"/>
      <c r="I40" s="106"/>
      <c r="J40" s="106"/>
      <c r="K40" s="106"/>
      <c r="L40" s="113" t="s">
        <v>1114</v>
      </c>
      <c r="M40" s="141">
        <f t="shared" si="18"/>
        <v>0</v>
      </c>
      <c r="N40" s="1311">
        <v>2</v>
      </c>
      <c r="O40" s="147">
        <v>23</v>
      </c>
      <c r="P40" s="1160">
        <v>22.12</v>
      </c>
      <c r="Q40" s="1162">
        <v>77700</v>
      </c>
      <c r="R40" s="147"/>
      <c r="S40" s="147"/>
      <c r="T40" s="147"/>
      <c r="U40" s="70"/>
      <c r="V40" s="1164" t="s">
        <v>1103</v>
      </c>
      <c r="W40" s="108"/>
      <c r="X40" s="108"/>
    </row>
    <row r="41" spans="2:24">
      <c r="B41" s="140">
        <v>28</v>
      </c>
      <c r="C41" s="113">
        <v>6828</v>
      </c>
      <c r="D41" s="1155">
        <v>10.06</v>
      </c>
      <c r="E41" s="113" t="s">
        <v>1111</v>
      </c>
      <c r="F41" s="106">
        <v>53100</v>
      </c>
      <c r="G41" s="106">
        <f t="shared" si="10"/>
        <v>53100</v>
      </c>
      <c r="H41" s="106"/>
      <c r="I41" s="106"/>
      <c r="J41" s="106"/>
      <c r="K41" s="106"/>
      <c r="L41" s="113" t="s">
        <v>1112</v>
      </c>
      <c r="M41" s="141">
        <f t="shared" si="18"/>
        <v>0</v>
      </c>
      <c r="N41" s="1311">
        <v>3</v>
      </c>
      <c r="O41" s="147">
        <v>87</v>
      </c>
      <c r="P41" s="1160">
        <v>19.12</v>
      </c>
      <c r="Q41" s="1162">
        <v>154500</v>
      </c>
      <c r="R41" s="70"/>
      <c r="S41" s="70"/>
      <c r="T41" s="70"/>
      <c r="U41" s="70"/>
      <c r="V41" s="1164" t="s">
        <v>1103</v>
      </c>
      <c r="W41" s="108"/>
      <c r="X41" s="108"/>
    </row>
    <row r="42" spans="2:24">
      <c r="B42" s="140">
        <v>29</v>
      </c>
      <c r="C42" s="1138">
        <v>42</v>
      </c>
      <c r="D42" s="1154">
        <v>19.059999999999999</v>
      </c>
      <c r="E42" s="1138" t="s">
        <v>1102</v>
      </c>
      <c r="F42" s="1139">
        <v>31400</v>
      </c>
      <c r="G42" s="1139">
        <f t="shared" si="10"/>
        <v>31400</v>
      </c>
      <c r="H42" s="1139"/>
      <c r="I42" s="1139"/>
      <c r="J42" s="1139"/>
      <c r="K42" s="1139"/>
      <c r="L42" s="1138" t="s">
        <v>1115</v>
      </c>
      <c r="M42" s="141">
        <f t="shared" si="18"/>
        <v>0</v>
      </c>
      <c r="N42" s="1311">
        <v>4</v>
      </c>
      <c r="O42" s="147">
        <v>27</v>
      </c>
      <c r="P42" s="1160">
        <v>25.02</v>
      </c>
      <c r="Q42" s="1162">
        <v>150000</v>
      </c>
      <c r="R42" s="70"/>
      <c r="S42" s="70"/>
      <c r="T42" s="70"/>
      <c r="U42" s="70"/>
      <c r="V42" s="1164" t="s">
        <v>1108</v>
      </c>
      <c r="W42" s="108"/>
      <c r="X42" s="108"/>
    </row>
    <row r="43" spans="2:24">
      <c r="B43" s="140">
        <v>30</v>
      </c>
      <c r="C43" s="113">
        <v>90</v>
      </c>
      <c r="D43" s="1155">
        <v>26.06</v>
      </c>
      <c r="E43" s="113" t="s">
        <v>1105</v>
      </c>
      <c r="F43" s="106">
        <v>19200</v>
      </c>
      <c r="G43" s="106">
        <f t="shared" si="10"/>
        <v>19200</v>
      </c>
      <c r="H43" s="106"/>
      <c r="I43" s="106"/>
      <c r="J43" s="106"/>
      <c r="K43" s="106"/>
      <c r="L43" s="113" t="s">
        <v>1116</v>
      </c>
      <c r="M43" s="141">
        <f t="shared" si="18"/>
        <v>0</v>
      </c>
      <c r="N43" s="1311">
        <v>5</v>
      </c>
      <c r="O43" s="147">
        <v>42</v>
      </c>
      <c r="P43" s="1160">
        <v>19.059999999999999</v>
      </c>
      <c r="Q43" s="1162">
        <f>18300+12900</f>
        <v>31200</v>
      </c>
      <c r="R43" s="70"/>
      <c r="S43" s="70"/>
      <c r="T43" s="70"/>
      <c r="U43" s="70"/>
      <c r="V43" s="1164" t="s">
        <v>1115</v>
      </c>
      <c r="W43" s="62"/>
      <c r="X43" s="114"/>
    </row>
    <row r="44" spans="2:24">
      <c r="B44" s="140">
        <v>31</v>
      </c>
      <c r="C44" s="1544" t="s">
        <v>176</v>
      </c>
      <c r="D44" s="1545"/>
      <c r="E44" s="1546"/>
      <c r="F44" s="1140">
        <f>SUM(F39:F43)</f>
        <v>162170.1</v>
      </c>
      <c r="G44" s="1140">
        <f t="shared" ref="G44:M44" si="24">SUM(G39:G43)</f>
        <v>162170.1</v>
      </c>
      <c r="H44" s="1140">
        <f t="shared" si="24"/>
        <v>0</v>
      </c>
      <c r="I44" s="1140">
        <f t="shared" si="24"/>
        <v>0</v>
      </c>
      <c r="J44" s="1140">
        <f t="shared" si="24"/>
        <v>0</v>
      </c>
      <c r="K44" s="1140">
        <f t="shared" si="24"/>
        <v>0</v>
      </c>
      <c r="L44" s="1140">
        <f t="shared" si="24"/>
        <v>0</v>
      </c>
      <c r="M44" s="1315">
        <f t="shared" si="24"/>
        <v>0</v>
      </c>
      <c r="N44" s="1311">
        <v>6</v>
      </c>
      <c r="O44" s="147">
        <v>12</v>
      </c>
      <c r="P44" s="1160">
        <v>3.1</v>
      </c>
      <c r="Q44" s="1162">
        <v>287000</v>
      </c>
      <c r="R44" s="70"/>
      <c r="S44" s="70"/>
      <c r="T44" s="70"/>
      <c r="U44" s="70"/>
      <c r="V44" s="1164" t="s">
        <v>1118</v>
      </c>
      <c r="W44" s="108"/>
      <c r="X44" s="108"/>
    </row>
    <row r="45" spans="2:24">
      <c r="B45" s="140">
        <v>32</v>
      </c>
      <c r="C45" s="113"/>
      <c r="D45" s="1155">
        <v>3.07</v>
      </c>
      <c r="E45" s="113" t="s">
        <v>1046</v>
      </c>
      <c r="F45" s="106">
        <v>13709.37</v>
      </c>
      <c r="G45" s="106">
        <f t="shared" si="10"/>
        <v>13709.37</v>
      </c>
      <c r="H45" s="106"/>
      <c r="I45" s="106"/>
      <c r="J45" s="106"/>
      <c r="K45" s="106"/>
      <c r="L45" s="113" t="s">
        <v>1101</v>
      </c>
      <c r="M45" s="141">
        <f t="shared" si="18"/>
        <v>0</v>
      </c>
      <c r="N45" s="1311">
        <v>7</v>
      </c>
      <c r="O45" s="147">
        <v>13</v>
      </c>
      <c r="P45" s="1160">
        <v>3.1</v>
      </c>
      <c r="Q45" s="1162">
        <v>203000</v>
      </c>
      <c r="R45" s="70"/>
      <c r="S45" s="70"/>
      <c r="T45" s="70"/>
      <c r="U45" s="70"/>
      <c r="V45" s="1164" t="s">
        <v>1118</v>
      </c>
      <c r="W45" s="108"/>
      <c r="X45" s="108"/>
    </row>
    <row r="46" spans="2:24">
      <c r="B46" s="140">
        <v>33</v>
      </c>
      <c r="C46" s="1544" t="s">
        <v>177</v>
      </c>
      <c r="D46" s="1545"/>
      <c r="E46" s="1546"/>
      <c r="F46" s="1140">
        <f>SUM(F45)</f>
        <v>13709.37</v>
      </c>
      <c r="G46" s="1140">
        <f t="shared" ref="G46:M46" si="25">SUM(G45)</f>
        <v>13709.37</v>
      </c>
      <c r="H46" s="1140">
        <f t="shared" si="25"/>
        <v>0</v>
      </c>
      <c r="I46" s="1140">
        <f t="shared" si="25"/>
        <v>0</v>
      </c>
      <c r="J46" s="1140">
        <f t="shared" si="25"/>
        <v>0</v>
      </c>
      <c r="K46" s="1140">
        <f t="shared" si="25"/>
        <v>0</v>
      </c>
      <c r="L46" s="1140">
        <f t="shared" si="25"/>
        <v>0</v>
      </c>
      <c r="M46" s="1315">
        <f t="shared" si="25"/>
        <v>0</v>
      </c>
      <c r="N46" s="1311">
        <v>8</v>
      </c>
      <c r="O46" s="147">
        <v>1442</v>
      </c>
      <c r="P46" s="1160">
        <v>9.11</v>
      </c>
      <c r="Q46" s="1162">
        <v>118600</v>
      </c>
      <c r="R46" s="70"/>
      <c r="S46" s="70"/>
      <c r="T46" s="70"/>
      <c r="U46" s="70"/>
      <c r="V46" s="1164" t="s">
        <v>1121</v>
      </c>
      <c r="W46" s="108"/>
      <c r="X46" s="108"/>
    </row>
    <row r="47" spans="2:24">
      <c r="B47" s="140">
        <v>34</v>
      </c>
      <c r="C47" s="113"/>
      <c r="D47" s="1155">
        <v>3.08</v>
      </c>
      <c r="E47" s="113" t="s">
        <v>1046</v>
      </c>
      <c r="F47" s="106">
        <v>13596.47</v>
      </c>
      <c r="G47" s="106">
        <f t="shared" si="10"/>
        <v>13596.47</v>
      </c>
      <c r="H47" s="106"/>
      <c r="I47" s="106"/>
      <c r="J47" s="106"/>
      <c r="K47" s="106"/>
      <c r="L47" s="113" t="s">
        <v>1101</v>
      </c>
      <c r="M47" s="141">
        <f t="shared" si="18"/>
        <v>0</v>
      </c>
      <c r="N47" s="1311">
        <v>9</v>
      </c>
      <c r="O47" s="77"/>
      <c r="P47" s="1165"/>
      <c r="Q47" s="1162"/>
      <c r="R47" s="70"/>
      <c r="S47" s="70"/>
      <c r="T47" s="70"/>
      <c r="U47" s="70"/>
      <c r="V47" s="1166"/>
      <c r="W47" s="108"/>
      <c r="X47" s="108"/>
    </row>
    <row r="48" spans="2:24">
      <c r="B48" s="140">
        <v>35</v>
      </c>
      <c r="C48" s="1544" t="s">
        <v>178</v>
      </c>
      <c r="D48" s="1545"/>
      <c r="E48" s="1546"/>
      <c r="F48" s="1140">
        <f>SUM(F47)</f>
        <v>13596.47</v>
      </c>
      <c r="G48" s="1140">
        <f t="shared" ref="G48:M48" si="26">SUM(G47)</f>
        <v>13596.47</v>
      </c>
      <c r="H48" s="1140">
        <f t="shared" si="26"/>
        <v>0</v>
      </c>
      <c r="I48" s="1140">
        <f t="shared" si="26"/>
        <v>0</v>
      </c>
      <c r="J48" s="1140">
        <f t="shared" si="26"/>
        <v>0</v>
      </c>
      <c r="K48" s="1140">
        <f t="shared" si="26"/>
        <v>0</v>
      </c>
      <c r="L48" s="1140">
        <f t="shared" si="26"/>
        <v>0</v>
      </c>
      <c r="M48" s="1315">
        <f t="shared" si="26"/>
        <v>0</v>
      </c>
      <c r="N48" s="1311"/>
      <c r="O48" s="77"/>
      <c r="P48" s="1165"/>
      <c r="Q48" s="1162"/>
      <c r="R48" s="77"/>
      <c r="S48" s="77"/>
      <c r="T48" s="77"/>
      <c r="U48" s="77"/>
      <c r="V48" s="1166"/>
      <c r="W48" s="108"/>
      <c r="X48" s="108"/>
    </row>
    <row r="49" spans="1:24">
      <c r="B49" s="140">
        <v>36</v>
      </c>
      <c r="C49" s="113"/>
      <c r="D49" s="1155">
        <v>4.09</v>
      </c>
      <c r="E49" s="113" t="s">
        <v>1046</v>
      </c>
      <c r="F49" s="106">
        <v>13237.67</v>
      </c>
      <c r="G49" s="106">
        <f t="shared" si="10"/>
        <v>13237.67</v>
      </c>
      <c r="H49" s="106"/>
      <c r="I49" s="106"/>
      <c r="J49" s="106"/>
      <c r="K49" s="106"/>
      <c r="L49" s="113" t="s">
        <v>1101</v>
      </c>
      <c r="M49" s="141">
        <f t="shared" si="18"/>
        <v>0</v>
      </c>
      <c r="N49" s="1311"/>
      <c r="O49" s="77"/>
      <c r="P49" s="1165"/>
      <c r="Q49" s="1162"/>
      <c r="R49" s="77"/>
      <c r="S49" s="77"/>
      <c r="T49" s="77"/>
      <c r="U49" s="77"/>
      <c r="V49" s="1166"/>
      <c r="W49" s="108"/>
      <c r="X49" s="108"/>
    </row>
    <row r="50" spans="1:24">
      <c r="B50" s="140">
        <v>37</v>
      </c>
      <c r="C50" s="113">
        <v>5636</v>
      </c>
      <c r="D50" s="1155">
        <v>19.09</v>
      </c>
      <c r="E50" s="113" t="s">
        <v>1111</v>
      </c>
      <c r="F50" s="106">
        <v>61940</v>
      </c>
      <c r="G50" s="106">
        <f t="shared" si="10"/>
        <v>61940</v>
      </c>
      <c r="H50" s="106"/>
      <c r="I50" s="106"/>
      <c r="J50" s="106"/>
      <c r="K50" s="106"/>
      <c r="L50" s="113" t="s">
        <v>1112</v>
      </c>
      <c r="M50" s="141">
        <f t="shared" si="18"/>
        <v>0</v>
      </c>
      <c r="N50" s="1311"/>
      <c r="O50" s="77"/>
      <c r="P50" s="1165"/>
      <c r="Q50" s="1162"/>
      <c r="R50" s="77"/>
      <c r="S50" s="77"/>
      <c r="T50" s="77"/>
      <c r="U50" s="77"/>
      <c r="V50" s="1166"/>
      <c r="W50" s="108"/>
      <c r="X50" s="108"/>
    </row>
    <row r="51" spans="1:24">
      <c r="B51" s="140">
        <v>38</v>
      </c>
      <c r="C51" s="113">
        <v>5649</v>
      </c>
      <c r="D51" s="1155">
        <v>22.09</v>
      </c>
      <c r="E51" s="113" t="s">
        <v>1111</v>
      </c>
      <c r="F51" s="106">
        <v>19570</v>
      </c>
      <c r="G51" s="106">
        <f t="shared" ref="G51:G70" si="27">+F51</f>
        <v>19570</v>
      </c>
      <c r="H51" s="106"/>
      <c r="I51" s="106"/>
      <c r="J51" s="106"/>
      <c r="K51" s="106"/>
      <c r="L51" s="113" t="s">
        <v>1112</v>
      </c>
      <c r="M51" s="141">
        <f t="shared" ref="M51:M70" si="28">F51-(G51+H51+I51+J51)</f>
        <v>0</v>
      </c>
      <c r="N51" s="1311"/>
      <c r="O51" s="77"/>
      <c r="P51" s="1165"/>
      <c r="Q51" s="1162"/>
      <c r="R51" s="77"/>
      <c r="S51" s="77"/>
      <c r="T51" s="77"/>
      <c r="U51" s="77"/>
      <c r="V51" s="1166"/>
      <c r="W51" s="108"/>
      <c r="X51" s="108"/>
    </row>
    <row r="52" spans="1:24" ht="13.5" thickBot="1">
      <c r="B52" s="140">
        <v>39</v>
      </c>
      <c r="C52" s="113">
        <v>5668</v>
      </c>
      <c r="D52" s="1155">
        <v>28.09</v>
      </c>
      <c r="E52" s="113" t="s">
        <v>1111</v>
      </c>
      <c r="F52" s="106">
        <v>18620</v>
      </c>
      <c r="G52" s="106">
        <f t="shared" si="27"/>
        <v>18620</v>
      </c>
      <c r="H52" s="106"/>
      <c r="I52" s="106"/>
      <c r="J52" s="106"/>
      <c r="K52" s="106"/>
      <c r="L52" s="113" t="s">
        <v>1112</v>
      </c>
      <c r="M52" s="141">
        <f t="shared" si="28"/>
        <v>0</v>
      </c>
      <c r="N52" s="1312"/>
      <c r="O52" s="148"/>
      <c r="P52" s="148"/>
      <c r="Q52" s="430"/>
      <c r="R52" s="149"/>
      <c r="S52" s="149"/>
      <c r="T52" s="149"/>
      <c r="U52" s="149"/>
      <c r="V52" s="436"/>
      <c r="W52" s="108"/>
      <c r="X52" s="108"/>
    </row>
    <row r="53" spans="1:24" ht="13.5" thickBot="1">
      <c r="B53" s="140">
        <v>40</v>
      </c>
      <c r="C53" s="1544" t="s">
        <v>179</v>
      </c>
      <c r="D53" s="1545"/>
      <c r="E53" s="1546"/>
      <c r="F53" s="1140">
        <f>SUM(F49:F52)</f>
        <v>113367.67</v>
      </c>
      <c r="G53" s="1140">
        <f t="shared" ref="G53:M53" si="29">SUM(G49:G52)</f>
        <v>113367.67</v>
      </c>
      <c r="H53" s="1140">
        <f t="shared" si="29"/>
        <v>0</v>
      </c>
      <c r="I53" s="1140">
        <f t="shared" si="29"/>
        <v>0</v>
      </c>
      <c r="J53" s="1140">
        <f t="shared" si="29"/>
        <v>0</v>
      </c>
      <c r="K53" s="1140">
        <f t="shared" si="29"/>
        <v>0</v>
      </c>
      <c r="L53" s="1140">
        <f t="shared" si="29"/>
        <v>0</v>
      </c>
      <c r="M53" s="1315">
        <f t="shared" si="29"/>
        <v>0</v>
      </c>
      <c r="N53" s="1526" t="s">
        <v>340</v>
      </c>
      <c r="O53" s="1527"/>
      <c r="P53" s="1528"/>
      <c r="Q53" s="437">
        <f>SUM(Q39:Q52)</f>
        <v>1154800</v>
      </c>
      <c r="R53" s="437">
        <f>SUM(R39:R52)</f>
        <v>0</v>
      </c>
      <c r="S53" s="437">
        <f>SUM(S39:S52)</f>
        <v>0</v>
      </c>
      <c r="T53" s="437">
        <f>SUM(T39:T52)</f>
        <v>0</v>
      </c>
      <c r="U53" s="437">
        <f>SUM(U39:U52)</f>
        <v>0</v>
      </c>
      <c r="V53" s="402"/>
      <c r="W53" s="108"/>
      <c r="X53" s="108"/>
    </row>
    <row r="54" spans="1:24">
      <c r="B54" s="140">
        <v>41</v>
      </c>
      <c r="C54" s="1138">
        <v>12</v>
      </c>
      <c r="D54" s="1154">
        <v>3.1</v>
      </c>
      <c r="E54" s="1138" t="s">
        <v>1117</v>
      </c>
      <c r="F54" s="1139">
        <v>287000</v>
      </c>
      <c r="G54" s="1139">
        <f t="shared" si="27"/>
        <v>287000</v>
      </c>
      <c r="H54" s="1139"/>
      <c r="I54" s="1139"/>
      <c r="J54" s="1139"/>
      <c r="K54" s="1139"/>
      <c r="L54" s="1138" t="s">
        <v>1118</v>
      </c>
      <c r="M54" s="1144">
        <f t="shared" si="28"/>
        <v>0</v>
      </c>
      <c r="N54" s="115"/>
      <c r="O54" s="115"/>
      <c r="P54" s="115"/>
      <c r="Q54" s="107"/>
      <c r="R54" s="107"/>
      <c r="S54" s="107"/>
      <c r="T54" s="107"/>
      <c r="U54" s="107"/>
      <c r="V54" s="107"/>
      <c r="W54" s="115"/>
      <c r="X54" s="115"/>
    </row>
    <row r="55" spans="1:24">
      <c r="B55" s="140">
        <v>42</v>
      </c>
      <c r="C55" s="1138">
        <v>13</v>
      </c>
      <c r="D55" s="1154">
        <v>3.1</v>
      </c>
      <c r="E55" s="1138" t="s">
        <v>1117</v>
      </c>
      <c r="F55" s="1139">
        <v>203000</v>
      </c>
      <c r="G55" s="1139">
        <f t="shared" si="27"/>
        <v>203000</v>
      </c>
      <c r="H55" s="1139"/>
      <c r="I55" s="1139"/>
      <c r="J55" s="1139"/>
      <c r="K55" s="1139"/>
      <c r="L55" s="1138" t="s">
        <v>1118</v>
      </c>
      <c r="M55" s="141">
        <f t="shared" si="28"/>
        <v>0</v>
      </c>
      <c r="N55" s="115"/>
      <c r="O55" s="115"/>
      <c r="P55" s="115"/>
      <c r="Q55" s="107"/>
      <c r="R55" s="107"/>
      <c r="S55" s="107"/>
      <c r="T55" s="107"/>
      <c r="U55" s="107"/>
      <c r="V55" s="107"/>
      <c r="W55" s="57"/>
      <c r="X55" s="57"/>
    </row>
    <row r="56" spans="1:24">
      <c r="A56" s="59"/>
      <c r="B56" s="140">
        <v>43</v>
      </c>
      <c r="C56" s="113"/>
      <c r="D56" s="1155">
        <v>3.1</v>
      </c>
      <c r="E56" s="113" t="s">
        <v>1046</v>
      </c>
      <c r="F56" s="106">
        <v>13440.37</v>
      </c>
      <c r="G56" s="106">
        <f t="shared" si="27"/>
        <v>13440.37</v>
      </c>
      <c r="H56" s="106"/>
      <c r="I56" s="106"/>
      <c r="J56" s="106"/>
      <c r="K56" s="106"/>
      <c r="L56" s="113" t="s">
        <v>1101</v>
      </c>
      <c r="M56" s="141">
        <f t="shared" si="28"/>
        <v>0</v>
      </c>
      <c r="N56" s="115"/>
      <c r="O56" s="115"/>
      <c r="P56" s="115"/>
      <c r="Q56" s="107"/>
      <c r="R56" s="107"/>
      <c r="S56" s="107"/>
      <c r="T56" s="107"/>
      <c r="U56" s="107"/>
      <c r="V56" s="107"/>
      <c r="W56" s="57"/>
      <c r="X56" s="57"/>
    </row>
    <row r="57" spans="1:24">
      <c r="A57" s="59"/>
      <c r="B57" s="140">
        <v>44</v>
      </c>
      <c r="C57" s="113">
        <v>2408</v>
      </c>
      <c r="D57" s="1155">
        <v>9.1</v>
      </c>
      <c r="E57" s="113" t="s">
        <v>1051</v>
      </c>
      <c r="F57" s="106">
        <v>86380</v>
      </c>
      <c r="G57" s="106">
        <f t="shared" si="27"/>
        <v>86380</v>
      </c>
      <c r="H57" s="106"/>
      <c r="I57" s="106"/>
      <c r="J57" s="106"/>
      <c r="K57" s="106"/>
      <c r="L57" s="113" t="s">
        <v>1119</v>
      </c>
      <c r="M57" s="141">
        <f t="shared" si="28"/>
        <v>0</v>
      </c>
      <c r="N57" s="115"/>
      <c r="O57" s="150"/>
      <c r="P57" s="115"/>
      <c r="Q57" s="107"/>
      <c r="R57" s="107"/>
      <c r="S57" s="107"/>
      <c r="T57" s="107"/>
      <c r="U57" s="107"/>
      <c r="V57" s="107"/>
      <c r="W57" s="57"/>
      <c r="X57" s="57"/>
    </row>
    <row r="58" spans="1:24">
      <c r="A58" s="59"/>
      <c r="B58" s="140">
        <v>45</v>
      </c>
      <c r="C58" s="113">
        <v>128</v>
      </c>
      <c r="D58" s="1155">
        <v>13.1</v>
      </c>
      <c r="E58" s="113" t="s">
        <v>1105</v>
      </c>
      <c r="F58" s="106">
        <v>50400</v>
      </c>
      <c r="G58" s="106">
        <f t="shared" si="27"/>
        <v>50400</v>
      </c>
      <c r="H58" s="106"/>
      <c r="I58" s="106"/>
      <c r="J58" s="106"/>
      <c r="K58" s="106"/>
      <c r="L58" s="113" t="s">
        <v>1106</v>
      </c>
      <c r="M58" s="141">
        <f t="shared" si="28"/>
        <v>0</v>
      </c>
      <c r="N58" s="115"/>
      <c r="O58" s="115"/>
      <c r="P58" s="115"/>
      <c r="Q58" s="107"/>
      <c r="R58" s="107"/>
      <c r="S58" s="107"/>
      <c r="T58" s="107"/>
      <c r="U58" s="107"/>
      <c r="V58" s="107"/>
      <c r="W58" s="57"/>
      <c r="X58" s="57"/>
    </row>
    <row r="59" spans="1:24">
      <c r="A59" s="59"/>
      <c r="B59" s="140">
        <v>46</v>
      </c>
      <c r="C59" s="1544" t="s">
        <v>180</v>
      </c>
      <c r="D59" s="1545"/>
      <c r="E59" s="1546"/>
      <c r="F59" s="1140">
        <f>SUM(F54:F58)</f>
        <v>640220.37</v>
      </c>
      <c r="G59" s="1140">
        <f t="shared" ref="G59:M59" si="30">SUM(G54:G58)</f>
        <v>640220.37</v>
      </c>
      <c r="H59" s="1140">
        <f t="shared" si="30"/>
        <v>0</v>
      </c>
      <c r="I59" s="1140">
        <f t="shared" si="30"/>
        <v>0</v>
      </c>
      <c r="J59" s="1140">
        <f t="shared" si="30"/>
        <v>0</v>
      </c>
      <c r="K59" s="1140">
        <f t="shared" si="30"/>
        <v>0</v>
      </c>
      <c r="L59" s="1140">
        <f t="shared" si="30"/>
        <v>0</v>
      </c>
      <c r="M59" s="1315">
        <f t="shared" si="30"/>
        <v>0</v>
      </c>
      <c r="N59" s="115"/>
      <c r="O59" s="115"/>
      <c r="P59" s="115"/>
      <c r="Q59" s="107"/>
      <c r="R59" s="107"/>
      <c r="S59" s="107"/>
      <c r="T59" s="107"/>
      <c r="U59" s="107"/>
      <c r="V59" s="107"/>
      <c r="W59" s="57"/>
      <c r="X59" s="57"/>
    </row>
    <row r="60" spans="1:24">
      <c r="A60" s="59"/>
      <c r="B60" s="140">
        <v>47</v>
      </c>
      <c r="C60" s="113"/>
      <c r="D60" s="1155">
        <v>2.11</v>
      </c>
      <c r="E60" s="113" t="s">
        <v>1046</v>
      </c>
      <c r="F60" s="106">
        <v>13383.56</v>
      </c>
      <c r="G60" s="106">
        <f t="shared" si="27"/>
        <v>13383.56</v>
      </c>
      <c r="H60" s="106"/>
      <c r="I60" s="106"/>
      <c r="J60" s="106"/>
      <c r="K60" s="106"/>
      <c r="L60" s="113" t="s">
        <v>1101</v>
      </c>
      <c r="M60" s="141">
        <f t="shared" si="28"/>
        <v>0</v>
      </c>
      <c r="N60" s="115"/>
      <c r="O60" s="115"/>
      <c r="P60" s="115"/>
      <c r="Q60" s="107"/>
      <c r="R60" s="107"/>
      <c r="S60" s="107"/>
      <c r="T60" s="107"/>
      <c r="U60" s="107"/>
      <c r="V60" s="107"/>
      <c r="W60" s="57"/>
      <c r="X60" s="57"/>
    </row>
    <row r="61" spans="1:24">
      <c r="A61" s="59"/>
      <c r="B61" s="140">
        <v>48</v>
      </c>
      <c r="C61" s="113">
        <v>2688</v>
      </c>
      <c r="D61" s="1155">
        <v>7.11</v>
      </c>
      <c r="E61" s="113" t="s">
        <v>1051</v>
      </c>
      <c r="F61" s="106">
        <v>56000</v>
      </c>
      <c r="G61" s="106">
        <f t="shared" si="27"/>
        <v>56000</v>
      </c>
      <c r="H61" s="106"/>
      <c r="I61" s="106"/>
      <c r="J61" s="106"/>
      <c r="K61" s="106"/>
      <c r="L61" s="113" t="s">
        <v>1119</v>
      </c>
      <c r="M61" s="141">
        <f t="shared" si="28"/>
        <v>0</v>
      </c>
      <c r="N61" s="115"/>
      <c r="O61" s="115"/>
      <c r="P61" s="115"/>
      <c r="Q61" s="107"/>
      <c r="R61" s="107"/>
      <c r="S61" s="107"/>
      <c r="T61" s="107"/>
      <c r="U61" s="107"/>
      <c r="V61" s="107"/>
      <c r="W61" s="57"/>
      <c r="X61" s="57"/>
    </row>
    <row r="62" spans="1:24">
      <c r="A62" s="59"/>
      <c r="B62" s="140">
        <v>49</v>
      </c>
      <c r="C62" s="1138">
        <v>1442</v>
      </c>
      <c r="D62" s="1154">
        <v>9.11</v>
      </c>
      <c r="E62" s="1138" t="s">
        <v>1120</v>
      </c>
      <c r="F62" s="1139">
        <v>118600</v>
      </c>
      <c r="G62" s="1139">
        <f t="shared" si="27"/>
        <v>118600</v>
      </c>
      <c r="H62" s="1139"/>
      <c r="I62" s="1139"/>
      <c r="J62" s="1139"/>
      <c r="K62" s="1139"/>
      <c r="L62" s="1138" t="s">
        <v>1121</v>
      </c>
      <c r="M62" s="141">
        <f t="shared" si="28"/>
        <v>0</v>
      </c>
      <c r="N62" s="115"/>
      <c r="O62" s="115"/>
      <c r="P62" s="115"/>
      <c r="Q62" s="107"/>
      <c r="R62" s="107"/>
      <c r="S62" s="107"/>
      <c r="T62" s="107"/>
      <c r="U62" s="107"/>
      <c r="V62" s="107"/>
      <c r="W62" s="57"/>
      <c r="X62" s="57"/>
    </row>
    <row r="63" spans="1:24">
      <c r="A63" s="59"/>
      <c r="B63" s="140">
        <v>50</v>
      </c>
      <c r="C63" s="113">
        <v>2830</v>
      </c>
      <c r="D63" s="1155">
        <v>16.11</v>
      </c>
      <c r="E63" s="113" t="s">
        <v>1051</v>
      </c>
      <c r="F63" s="106">
        <v>28000</v>
      </c>
      <c r="G63" s="106">
        <f t="shared" si="27"/>
        <v>28000</v>
      </c>
      <c r="H63" s="106"/>
      <c r="I63" s="106"/>
      <c r="J63" s="106"/>
      <c r="K63" s="106"/>
      <c r="L63" s="113" t="s">
        <v>1101</v>
      </c>
      <c r="M63" s="141">
        <f t="shared" si="28"/>
        <v>0</v>
      </c>
      <c r="N63" s="115"/>
      <c r="O63" s="115"/>
      <c r="P63" s="115"/>
      <c r="Q63" s="107"/>
      <c r="R63" s="107"/>
      <c r="S63" s="107"/>
      <c r="T63" s="107"/>
      <c r="U63" s="107"/>
      <c r="V63" s="107"/>
      <c r="W63" s="57"/>
      <c r="X63" s="57"/>
    </row>
    <row r="64" spans="1:24">
      <c r="A64" s="59"/>
      <c r="B64" s="140">
        <v>51</v>
      </c>
      <c r="C64" s="113">
        <v>5791</v>
      </c>
      <c r="D64" s="1155">
        <v>11.11</v>
      </c>
      <c r="E64" s="113" t="s">
        <v>1111</v>
      </c>
      <c r="F64" s="106">
        <v>27545.1</v>
      </c>
      <c r="G64" s="106">
        <f t="shared" si="27"/>
        <v>27545.1</v>
      </c>
      <c r="H64" s="106"/>
      <c r="I64" s="106"/>
      <c r="J64" s="106"/>
      <c r="K64" s="106"/>
      <c r="L64" s="113" t="s">
        <v>1112</v>
      </c>
      <c r="M64" s="141">
        <f t="shared" si="28"/>
        <v>0</v>
      </c>
      <c r="N64" s="115"/>
      <c r="O64" s="115"/>
      <c r="P64" s="115"/>
      <c r="Q64" s="107"/>
      <c r="R64" s="107"/>
      <c r="S64" s="107"/>
      <c r="T64" s="107"/>
      <c r="U64" s="107"/>
      <c r="V64" s="107"/>
      <c r="W64" s="57"/>
      <c r="X64" s="57"/>
    </row>
    <row r="65" spans="1:24">
      <c r="A65" s="59"/>
      <c r="B65" s="140">
        <v>52</v>
      </c>
      <c r="C65" s="113">
        <v>5810</v>
      </c>
      <c r="D65" s="1155">
        <v>17.11</v>
      </c>
      <c r="E65" s="113" t="s">
        <v>1111</v>
      </c>
      <c r="F65" s="106">
        <v>75447.02</v>
      </c>
      <c r="G65" s="106">
        <f t="shared" si="27"/>
        <v>75447.02</v>
      </c>
      <c r="H65" s="106"/>
      <c r="I65" s="106"/>
      <c r="J65" s="106"/>
      <c r="K65" s="106"/>
      <c r="L65" s="113" t="s">
        <v>1112</v>
      </c>
      <c r="M65" s="141">
        <f t="shared" si="28"/>
        <v>0</v>
      </c>
      <c r="N65" s="115"/>
      <c r="O65" s="115"/>
      <c r="P65" s="115"/>
      <c r="Q65" s="107"/>
      <c r="R65" s="107"/>
      <c r="S65" s="107"/>
      <c r="T65" s="107"/>
      <c r="U65" s="107"/>
      <c r="V65" s="107"/>
      <c r="W65" s="57"/>
      <c r="X65" s="57"/>
    </row>
    <row r="66" spans="1:24">
      <c r="A66" s="59"/>
      <c r="B66" s="140">
        <v>53</v>
      </c>
      <c r="C66" s="113">
        <v>5851</v>
      </c>
      <c r="D66" s="1155">
        <v>20.11</v>
      </c>
      <c r="E66" s="113" t="s">
        <v>1051</v>
      </c>
      <c r="F66" s="106">
        <v>34500</v>
      </c>
      <c r="G66" s="106">
        <f t="shared" si="27"/>
        <v>34500</v>
      </c>
      <c r="H66" s="106"/>
      <c r="I66" s="106"/>
      <c r="J66" s="106"/>
      <c r="K66" s="106"/>
      <c r="L66" s="113" t="s">
        <v>1119</v>
      </c>
      <c r="M66" s="141">
        <f t="shared" si="28"/>
        <v>0</v>
      </c>
      <c r="N66" s="115"/>
      <c r="O66" s="115"/>
      <c r="P66" s="115"/>
      <c r="Q66" s="107"/>
      <c r="R66" s="107"/>
      <c r="S66" s="107"/>
      <c r="T66" s="107"/>
      <c r="U66" s="107"/>
      <c r="V66" s="107"/>
      <c r="W66" s="57"/>
      <c r="X66" s="57"/>
    </row>
    <row r="67" spans="1:24">
      <c r="A67" s="59"/>
      <c r="B67" s="140">
        <v>54</v>
      </c>
      <c r="C67" s="113">
        <v>5823</v>
      </c>
      <c r="D67" s="1155">
        <v>22.11</v>
      </c>
      <c r="E67" s="113" t="s">
        <v>1111</v>
      </c>
      <c r="F67" s="106">
        <v>18700</v>
      </c>
      <c r="G67" s="106">
        <f t="shared" si="27"/>
        <v>18700</v>
      </c>
      <c r="H67" s="106"/>
      <c r="I67" s="106"/>
      <c r="J67" s="106"/>
      <c r="K67" s="106"/>
      <c r="L67" s="113" t="s">
        <v>1112</v>
      </c>
      <c r="M67" s="141">
        <f t="shared" si="28"/>
        <v>0</v>
      </c>
      <c r="N67" s="151"/>
      <c r="O67" s="115"/>
      <c r="P67" s="115"/>
      <c r="Q67" s="107"/>
      <c r="R67" s="107"/>
      <c r="S67" s="107"/>
      <c r="T67" s="107"/>
      <c r="U67" s="107"/>
      <c r="V67" s="107"/>
      <c r="W67" s="57"/>
      <c r="X67" s="57"/>
    </row>
    <row r="68" spans="1:24">
      <c r="A68" s="59"/>
      <c r="B68" s="140">
        <v>55</v>
      </c>
      <c r="C68" s="1544" t="s">
        <v>181</v>
      </c>
      <c r="D68" s="1545"/>
      <c r="E68" s="1546"/>
      <c r="F68" s="1140">
        <f>SUM(F60:F67)</f>
        <v>372175.68</v>
      </c>
      <c r="G68" s="1140">
        <f t="shared" ref="G68:M68" si="31">SUM(G60:G67)</f>
        <v>372175.68</v>
      </c>
      <c r="H68" s="1140">
        <f t="shared" si="31"/>
        <v>0</v>
      </c>
      <c r="I68" s="1140">
        <f t="shared" si="31"/>
        <v>0</v>
      </c>
      <c r="J68" s="1140">
        <f t="shared" si="31"/>
        <v>0</v>
      </c>
      <c r="K68" s="1140">
        <f t="shared" si="31"/>
        <v>0</v>
      </c>
      <c r="L68" s="1140">
        <f t="shared" si="31"/>
        <v>0</v>
      </c>
      <c r="M68" s="1315">
        <f t="shared" si="31"/>
        <v>0</v>
      </c>
      <c r="N68" s="115"/>
      <c r="O68" s="115"/>
      <c r="P68" s="115"/>
      <c r="Q68" s="107"/>
      <c r="R68" s="107"/>
      <c r="S68" s="107"/>
      <c r="T68" s="107"/>
      <c r="U68" s="107"/>
      <c r="V68" s="107"/>
      <c r="W68" s="57"/>
      <c r="X68" s="57"/>
    </row>
    <row r="69" spans="1:24">
      <c r="A69" s="59"/>
      <c r="B69" s="140">
        <v>56</v>
      </c>
      <c r="C69" s="113"/>
      <c r="D69" s="1155">
        <v>4.12</v>
      </c>
      <c r="E69" s="113" t="s">
        <v>1046</v>
      </c>
      <c r="F69" s="106">
        <v>13915.77</v>
      </c>
      <c r="G69" s="106">
        <f t="shared" si="27"/>
        <v>13915.77</v>
      </c>
      <c r="H69" s="106"/>
      <c r="I69" s="106"/>
      <c r="J69" s="106"/>
      <c r="K69" s="106"/>
      <c r="L69" s="113" t="s">
        <v>1101</v>
      </c>
      <c r="M69" s="141">
        <f t="shared" si="28"/>
        <v>0</v>
      </c>
      <c r="N69" s="115"/>
      <c r="O69" s="115"/>
      <c r="P69" s="115"/>
      <c r="Q69" s="107"/>
      <c r="R69" s="107"/>
      <c r="S69" s="107"/>
      <c r="T69" s="107"/>
      <c r="U69" s="107"/>
      <c r="V69" s="107"/>
      <c r="W69" s="57"/>
      <c r="X69" s="57"/>
    </row>
    <row r="70" spans="1:24">
      <c r="A70" s="59"/>
      <c r="B70" s="140">
        <v>57</v>
      </c>
      <c r="C70" s="113">
        <v>2920</v>
      </c>
      <c r="D70" s="1155">
        <v>3.12</v>
      </c>
      <c r="E70" s="113" t="s">
        <v>1051</v>
      </c>
      <c r="F70" s="106">
        <v>35000</v>
      </c>
      <c r="G70" s="106">
        <f t="shared" si="27"/>
        <v>35000</v>
      </c>
      <c r="H70" s="106"/>
      <c r="I70" s="106"/>
      <c r="J70" s="106"/>
      <c r="K70" s="106"/>
      <c r="L70" s="113" t="s">
        <v>1119</v>
      </c>
      <c r="M70" s="141">
        <f t="shared" si="28"/>
        <v>0</v>
      </c>
      <c r="N70" s="115"/>
      <c r="O70" s="115"/>
      <c r="P70" s="115"/>
      <c r="Q70" s="107"/>
      <c r="R70" s="107"/>
      <c r="S70" s="107"/>
      <c r="T70" s="107"/>
      <c r="U70" s="107"/>
      <c r="V70" s="107"/>
      <c r="W70" s="57"/>
      <c r="X70" s="57"/>
    </row>
    <row r="71" spans="1:24" ht="13.5" thickBot="1">
      <c r="A71" s="59"/>
      <c r="B71" s="1316">
        <v>58</v>
      </c>
      <c r="C71" s="1553" t="s">
        <v>182</v>
      </c>
      <c r="D71" s="1554"/>
      <c r="E71" s="1555"/>
      <c r="F71" s="1317">
        <f>SUM(F69:F70)</f>
        <v>48915.770000000004</v>
      </c>
      <c r="G71" s="1317">
        <f t="shared" ref="G71:M71" si="32">SUM(G69:G70)</f>
        <v>48915.770000000004</v>
      </c>
      <c r="H71" s="1317">
        <f t="shared" si="32"/>
        <v>0</v>
      </c>
      <c r="I71" s="1317">
        <f t="shared" si="32"/>
        <v>0</v>
      </c>
      <c r="J71" s="1317">
        <f t="shared" si="32"/>
        <v>0</v>
      </c>
      <c r="K71" s="1317">
        <f t="shared" si="32"/>
        <v>0</v>
      </c>
      <c r="L71" s="1317">
        <f t="shared" si="32"/>
        <v>0</v>
      </c>
      <c r="M71" s="1318">
        <f t="shared" si="32"/>
        <v>0</v>
      </c>
      <c r="N71" s="115"/>
      <c r="O71" s="115"/>
      <c r="P71" s="115"/>
      <c r="Q71" s="107"/>
      <c r="R71" s="107"/>
      <c r="S71" s="107"/>
      <c r="T71" s="107"/>
      <c r="U71" s="107"/>
      <c r="V71" s="107"/>
      <c r="W71" s="57"/>
      <c r="X71" s="57"/>
    </row>
    <row r="72" spans="1:24">
      <c r="A72" s="59"/>
      <c r="B72" s="281"/>
      <c r="C72" s="281"/>
      <c r="D72" s="1157"/>
      <c r="E72" s="281"/>
      <c r="F72" s="282"/>
      <c r="G72" s="282"/>
      <c r="H72" s="282"/>
      <c r="I72" s="282"/>
      <c r="J72" s="282"/>
      <c r="K72" s="282"/>
      <c r="L72" s="281"/>
      <c r="M72" s="282"/>
      <c r="N72" s="115"/>
      <c r="O72" s="115"/>
      <c r="P72" s="115"/>
      <c r="Q72" s="115"/>
      <c r="R72" s="115"/>
      <c r="S72" s="115"/>
      <c r="T72" s="115"/>
      <c r="U72" s="115"/>
      <c r="V72" s="115"/>
      <c r="W72" s="57"/>
      <c r="X72" s="57"/>
    </row>
    <row r="73" spans="1:24">
      <c r="A73" s="59"/>
      <c r="B73" s="281"/>
      <c r="C73" s="281"/>
      <c r="D73" s="1157"/>
      <c r="E73" s="281"/>
      <c r="F73" s="282"/>
      <c r="G73" s="282"/>
      <c r="H73" s="282"/>
      <c r="I73" s="282"/>
      <c r="J73" s="282"/>
      <c r="K73" s="282"/>
      <c r="L73" s="281"/>
      <c r="M73" s="282"/>
      <c r="N73" s="115"/>
      <c r="O73" s="115"/>
      <c r="P73" s="115"/>
      <c r="Q73" s="115"/>
      <c r="R73" s="115"/>
      <c r="S73" s="115"/>
      <c r="T73" s="115"/>
      <c r="U73" s="115"/>
      <c r="V73" s="115"/>
      <c r="W73" s="57"/>
      <c r="X73" s="57"/>
    </row>
    <row r="74" spans="1:24">
      <c r="A74" s="59"/>
      <c r="B74" s="281"/>
      <c r="C74" s="281"/>
      <c r="D74" s="1157"/>
      <c r="E74" s="281"/>
      <c r="F74" s="282"/>
      <c r="G74" s="282"/>
      <c r="H74" s="282"/>
      <c r="I74" s="282"/>
      <c r="J74" s="282"/>
      <c r="K74" s="282"/>
      <c r="L74" s="281"/>
      <c r="M74" s="282"/>
      <c r="N74" s="115"/>
      <c r="O74" s="115"/>
      <c r="P74" s="115"/>
      <c r="Q74" s="115"/>
      <c r="R74" s="115"/>
      <c r="S74" s="115"/>
      <c r="T74" s="115"/>
      <c r="U74" s="115"/>
      <c r="V74" s="115"/>
      <c r="W74" s="57"/>
      <c r="X74" s="57"/>
    </row>
    <row r="75" spans="1:24">
      <c r="A75" s="59"/>
      <c r="B75" s="281"/>
      <c r="C75" s="281"/>
      <c r="D75" s="1157"/>
      <c r="E75" s="281"/>
      <c r="F75" s="282"/>
      <c r="G75" s="282"/>
      <c r="H75" s="282"/>
      <c r="I75" s="282"/>
      <c r="J75" s="282"/>
      <c r="K75" s="282"/>
      <c r="L75" s="281"/>
      <c r="M75" s="282"/>
      <c r="N75" s="115"/>
      <c r="O75" s="115"/>
      <c r="P75" s="115"/>
      <c r="Q75" s="115"/>
      <c r="R75" s="115"/>
      <c r="S75" s="115"/>
      <c r="T75" s="115"/>
      <c r="U75" s="115"/>
      <c r="V75" s="115"/>
      <c r="W75" s="57"/>
      <c r="X75" s="57"/>
    </row>
    <row r="76" spans="1:24">
      <c r="A76" s="59"/>
      <c r="B76" s="281"/>
      <c r="C76" s="281"/>
      <c r="D76" s="1157"/>
      <c r="E76" s="281"/>
      <c r="F76" s="282"/>
      <c r="G76" s="282"/>
      <c r="H76" s="282"/>
      <c r="I76" s="282"/>
      <c r="J76" s="282"/>
      <c r="K76" s="282"/>
      <c r="L76" s="281"/>
      <c r="M76" s="282"/>
      <c r="N76" s="115"/>
      <c r="O76" s="115"/>
      <c r="P76" s="115"/>
      <c r="Q76" s="115"/>
      <c r="R76" s="115"/>
      <c r="S76" s="115"/>
      <c r="T76" s="115"/>
      <c r="U76" s="115"/>
      <c r="V76" s="115"/>
      <c r="W76" s="57"/>
      <c r="X76" s="57"/>
    </row>
    <row r="77" spans="1:24">
      <c r="A77" s="59"/>
      <c r="B77" s="281"/>
      <c r="C77" s="281"/>
      <c r="D77" s="1157"/>
      <c r="E77" s="281"/>
      <c r="F77" s="282"/>
      <c r="G77" s="282"/>
      <c r="H77" s="282"/>
      <c r="I77" s="282"/>
      <c r="J77" s="282"/>
      <c r="K77" s="282"/>
      <c r="L77" s="281"/>
      <c r="M77" s="282"/>
      <c r="N77" s="115"/>
      <c r="O77" s="115"/>
      <c r="P77" s="115"/>
      <c r="Q77" s="115"/>
      <c r="R77" s="115"/>
      <c r="S77" s="115"/>
      <c r="T77" s="115"/>
      <c r="U77" s="115"/>
      <c r="V77" s="115"/>
      <c r="W77" s="57"/>
      <c r="X77" s="57"/>
    </row>
    <row r="78" spans="1:24">
      <c r="A78" s="59"/>
      <c r="B78" s="281"/>
      <c r="C78" s="281"/>
      <c r="D78" s="1157"/>
      <c r="E78" s="281"/>
      <c r="F78" s="282"/>
      <c r="G78" s="282"/>
      <c r="H78" s="282"/>
      <c r="I78" s="282"/>
      <c r="J78" s="282"/>
      <c r="K78" s="282"/>
      <c r="L78" s="281"/>
      <c r="M78" s="282"/>
      <c r="N78" s="115"/>
      <c r="O78" s="115"/>
      <c r="P78" s="115"/>
      <c r="Q78" s="115"/>
      <c r="R78" s="115"/>
      <c r="S78" s="115"/>
      <c r="T78" s="115"/>
      <c r="U78" s="115"/>
      <c r="V78" s="115"/>
      <c r="W78" s="57"/>
      <c r="X78" s="57"/>
    </row>
    <row r="79" spans="1:24">
      <c r="A79" s="59"/>
      <c r="B79" s="281"/>
      <c r="C79" s="281"/>
      <c r="D79" s="1157"/>
      <c r="E79" s="281"/>
      <c r="F79" s="282"/>
      <c r="G79" s="282"/>
      <c r="H79" s="282"/>
      <c r="I79" s="282"/>
      <c r="J79" s="282"/>
      <c r="K79" s="282"/>
      <c r="L79" s="281"/>
      <c r="M79" s="282"/>
      <c r="N79" s="115"/>
      <c r="O79" s="115"/>
      <c r="P79" s="115"/>
      <c r="Q79" s="115"/>
      <c r="R79" s="115"/>
      <c r="S79" s="115"/>
      <c r="T79" s="115"/>
      <c r="U79" s="115"/>
      <c r="V79" s="115"/>
      <c r="W79" s="57"/>
      <c r="X79" s="57"/>
    </row>
    <row r="80" spans="1:24">
      <c r="A80" s="59"/>
      <c r="B80" s="281"/>
      <c r="C80" s="281"/>
      <c r="D80" s="1157"/>
      <c r="E80" s="281"/>
      <c r="F80" s="282"/>
      <c r="G80" s="282"/>
      <c r="H80" s="282"/>
      <c r="I80" s="282"/>
      <c r="J80" s="282"/>
      <c r="K80" s="282"/>
      <c r="L80" s="281"/>
      <c r="M80" s="282"/>
      <c r="N80" s="115"/>
      <c r="O80" s="115"/>
      <c r="P80" s="115"/>
      <c r="Q80" s="115"/>
      <c r="R80" s="115"/>
      <c r="S80" s="115"/>
      <c r="T80" s="115"/>
      <c r="U80" s="115"/>
      <c r="V80" s="115"/>
      <c r="W80" s="57"/>
      <c r="X80" s="57"/>
    </row>
    <row r="81" spans="1:24">
      <c r="A81" s="59"/>
      <c r="B81" s="281"/>
      <c r="C81" s="281"/>
      <c r="D81" s="1157"/>
      <c r="E81" s="281"/>
      <c r="F81" s="282"/>
      <c r="G81" s="282"/>
      <c r="H81" s="282"/>
      <c r="I81" s="282"/>
      <c r="J81" s="282"/>
      <c r="K81" s="282"/>
      <c r="L81" s="281"/>
      <c r="M81" s="282"/>
      <c r="N81" s="115"/>
      <c r="O81" s="115"/>
      <c r="P81" s="115"/>
      <c r="Q81" s="115"/>
      <c r="R81" s="115"/>
      <c r="S81" s="115"/>
      <c r="T81" s="115"/>
      <c r="U81" s="115"/>
      <c r="V81" s="115"/>
      <c r="W81" s="57"/>
      <c r="X81" s="57"/>
    </row>
    <row r="82" spans="1:24">
      <c r="A82" s="59"/>
      <c r="B82" s="281"/>
      <c r="C82" s="281"/>
      <c r="D82" s="1157"/>
      <c r="E82" s="281"/>
      <c r="F82" s="282"/>
      <c r="G82" s="282"/>
      <c r="H82" s="282"/>
      <c r="I82" s="282"/>
      <c r="J82" s="282"/>
      <c r="K82" s="282"/>
      <c r="L82" s="281"/>
      <c r="M82" s="282"/>
      <c r="N82" s="115"/>
      <c r="O82" s="115"/>
      <c r="P82" s="115"/>
      <c r="Q82" s="115"/>
      <c r="R82" s="115"/>
      <c r="S82" s="115"/>
      <c r="T82" s="115"/>
      <c r="U82" s="115"/>
      <c r="V82" s="115"/>
      <c r="W82" s="57"/>
      <c r="X82" s="57"/>
    </row>
    <row r="83" spans="1:24" ht="14.25">
      <c r="A83" s="59"/>
      <c r="B83" s="281"/>
      <c r="C83" s="288"/>
      <c r="D83" s="1158"/>
      <c r="E83" s="288"/>
      <c r="F83" s="284"/>
      <c r="G83" s="284"/>
      <c r="H83" s="284"/>
      <c r="I83" s="284"/>
      <c r="J83" s="284"/>
      <c r="K83" s="284"/>
      <c r="L83" s="284"/>
      <c r="M83" s="284"/>
      <c r="N83" s="115"/>
      <c r="O83" s="115"/>
      <c r="P83" s="115"/>
      <c r="Q83" s="115"/>
      <c r="R83" s="115"/>
      <c r="S83" s="115"/>
      <c r="T83" s="115"/>
      <c r="U83" s="115"/>
      <c r="V83" s="115"/>
      <c r="W83" s="57"/>
      <c r="X83" s="57"/>
    </row>
    <row r="84" spans="1:24">
      <c r="A84" s="59"/>
      <c r="B84" s="281"/>
      <c r="C84" s="281"/>
      <c r="D84" s="1157"/>
      <c r="E84" s="281"/>
      <c r="F84" s="282"/>
      <c r="G84" s="282"/>
      <c r="H84" s="282"/>
      <c r="I84" s="282"/>
      <c r="J84" s="282"/>
      <c r="K84" s="282"/>
      <c r="L84" s="281"/>
      <c r="M84" s="282"/>
      <c r="N84" s="115"/>
      <c r="O84" s="115"/>
      <c r="P84" s="115"/>
      <c r="Q84" s="115"/>
      <c r="R84" s="115"/>
      <c r="S84" s="115"/>
      <c r="T84" s="115"/>
      <c r="U84" s="115"/>
      <c r="V84" s="115"/>
      <c r="W84" s="57"/>
      <c r="X84" s="57"/>
    </row>
    <row r="85" spans="1:24">
      <c r="A85" s="59"/>
      <c r="B85" s="281"/>
      <c r="C85" s="281"/>
      <c r="D85" s="1157"/>
      <c r="E85" s="281"/>
      <c r="F85" s="282"/>
      <c r="G85" s="282"/>
      <c r="H85" s="282"/>
      <c r="I85" s="282"/>
      <c r="J85" s="282"/>
      <c r="K85" s="282"/>
      <c r="L85" s="281"/>
      <c r="M85" s="282"/>
      <c r="N85" s="115"/>
      <c r="O85" s="115"/>
      <c r="P85" s="115"/>
      <c r="Q85" s="115"/>
      <c r="R85" s="115"/>
      <c r="S85" s="115"/>
      <c r="T85" s="115"/>
      <c r="U85" s="115"/>
      <c r="V85" s="115"/>
      <c r="W85" s="57"/>
      <c r="X85" s="57"/>
    </row>
    <row r="86" spans="1:24">
      <c r="A86" s="59"/>
      <c r="B86" s="281"/>
      <c r="C86" s="281"/>
      <c r="D86" s="1157"/>
      <c r="E86" s="281"/>
      <c r="F86" s="282"/>
      <c r="G86" s="282"/>
      <c r="H86" s="282"/>
      <c r="I86" s="282"/>
      <c r="J86" s="282"/>
      <c r="K86" s="282"/>
      <c r="L86" s="281"/>
      <c r="M86" s="282"/>
      <c r="N86" s="115"/>
      <c r="O86" s="115"/>
      <c r="P86" s="115"/>
      <c r="Q86" s="115"/>
      <c r="R86" s="115"/>
      <c r="S86" s="115"/>
      <c r="T86" s="115"/>
      <c r="U86" s="115"/>
      <c r="V86" s="115"/>
      <c r="W86" s="57"/>
      <c r="X86" s="57"/>
    </row>
    <row r="87" spans="1:24">
      <c r="A87" s="59"/>
      <c r="B87" s="281"/>
      <c r="C87" s="281"/>
      <c r="D87" s="1157"/>
      <c r="E87" s="281"/>
      <c r="F87" s="282"/>
      <c r="G87" s="282"/>
      <c r="H87" s="282"/>
      <c r="I87" s="282"/>
      <c r="J87" s="282"/>
      <c r="K87" s="282"/>
      <c r="L87" s="281"/>
      <c r="M87" s="282"/>
      <c r="N87" s="151"/>
      <c r="O87" s="115"/>
      <c r="P87" s="115"/>
      <c r="Q87" s="115"/>
      <c r="R87" s="115"/>
      <c r="S87" s="115"/>
      <c r="T87" s="115"/>
      <c r="U87" s="115"/>
      <c r="V87" s="115"/>
      <c r="W87" s="57"/>
      <c r="X87" s="57"/>
    </row>
    <row r="88" spans="1:24">
      <c r="A88" s="59"/>
      <c r="B88" s="281"/>
      <c r="C88" s="281"/>
      <c r="D88" s="1157"/>
      <c r="E88" s="281"/>
      <c r="F88" s="282"/>
      <c r="G88" s="282"/>
      <c r="H88" s="282"/>
      <c r="I88" s="282"/>
      <c r="J88" s="282"/>
      <c r="K88" s="282"/>
      <c r="L88" s="281"/>
      <c r="M88" s="282"/>
      <c r="N88" s="115"/>
      <c r="O88" s="115"/>
      <c r="P88" s="115"/>
      <c r="Q88" s="115"/>
      <c r="R88" s="115"/>
      <c r="S88" s="115"/>
      <c r="T88" s="115"/>
      <c r="U88" s="115"/>
      <c r="V88" s="115"/>
      <c r="W88" s="57"/>
      <c r="X88" s="57"/>
    </row>
    <row r="89" spans="1:24">
      <c r="A89" s="59"/>
      <c r="B89" s="281"/>
      <c r="C89" s="281"/>
      <c r="D89" s="1157"/>
      <c r="E89" s="281"/>
      <c r="F89" s="282"/>
      <c r="G89" s="282"/>
      <c r="H89" s="282"/>
      <c r="I89" s="282"/>
      <c r="J89" s="282"/>
      <c r="K89" s="282"/>
      <c r="L89" s="281"/>
      <c r="M89" s="282"/>
      <c r="N89" s="115"/>
      <c r="O89" s="115"/>
      <c r="P89" s="115"/>
      <c r="Q89" s="115"/>
      <c r="R89" s="115"/>
      <c r="S89" s="115"/>
      <c r="T89" s="115"/>
      <c r="U89" s="115"/>
      <c r="V89" s="115"/>
      <c r="W89" s="57"/>
      <c r="X89" s="57"/>
    </row>
    <row r="90" spans="1:24">
      <c r="A90" s="59"/>
      <c r="B90" s="281"/>
      <c r="C90" s="281"/>
      <c r="D90" s="1157"/>
      <c r="E90" s="281"/>
      <c r="F90" s="282"/>
      <c r="G90" s="282"/>
      <c r="H90" s="282"/>
      <c r="I90" s="282"/>
      <c r="J90" s="282"/>
      <c r="K90" s="282"/>
      <c r="L90" s="281"/>
      <c r="M90" s="282"/>
      <c r="N90" s="115"/>
      <c r="O90" s="115"/>
      <c r="P90" s="115"/>
      <c r="Q90" s="115"/>
      <c r="R90" s="115"/>
      <c r="S90" s="115"/>
      <c r="T90" s="115"/>
      <c r="U90" s="115"/>
      <c r="V90" s="115"/>
      <c r="W90" s="57"/>
      <c r="X90" s="57"/>
    </row>
    <row r="91" spans="1:24">
      <c r="A91" s="59"/>
      <c r="B91" s="281"/>
      <c r="C91" s="281"/>
      <c r="D91" s="1157"/>
      <c r="E91" s="281"/>
      <c r="F91" s="282"/>
      <c r="G91" s="282"/>
      <c r="H91" s="282"/>
      <c r="I91" s="282"/>
      <c r="J91" s="282"/>
      <c r="K91" s="282"/>
      <c r="L91" s="281"/>
      <c r="M91" s="282"/>
      <c r="N91" s="115"/>
      <c r="O91" s="115"/>
      <c r="P91" s="115"/>
      <c r="Q91" s="115"/>
      <c r="R91" s="115"/>
      <c r="S91" s="115"/>
      <c r="T91" s="115"/>
      <c r="U91" s="115"/>
      <c r="V91" s="115"/>
      <c r="W91" s="57"/>
      <c r="X91" s="57"/>
    </row>
    <row r="92" spans="1:24">
      <c r="A92" s="59"/>
      <c r="B92" s="281"/>
      <c r="C92" s="281"/>
      <c r="D92" s="1157"/>
      <c r="E92" s="281"/>
      <c r="F92" s="282"/>
      <c r="G92" s="282"/>
      <c r="H92" s="282"/>
      <c r="I92" s="282"/>
      <c r="J92" s="282"/>
      <c r="K92" s="282"/>
      <c r="L92" s="281"/>
      <c r="M92" s="282"/>
      <c r="N92" s="115"/>
      <c r="O92" s="115"/>
      <c r="P92" s="115"/>
      <c r="Q92" s="115"/>
      <c r="R92" s="115"/>
      <c r="S92" s="115"/>
      <c r="T92" s="115"/>
      <c r="U92" s="115"/>
      <c r="V92" s="115"/>
      <c r="W92" s="57"/>
      <c r="X92" s="57"/>
    </row>
    <row r="93" spans="1:24">
      <c r="A93" s="59"/>
      <c r="B93" s="281"/>
      <c r="C93" s="281"/>
      <c r="D93" s="1157"/>
      <c r="E93" s="281"/>
      <c r="F93" s="282"/>
      <c r="G93" s="282"/>
      <c r="H93" s="282"/>
      <c r="I93" s="282"/>
      <c r="J93" s="282"/>
      <c r="K93" s="282"/>
      <c r="L93" s="281"/>
      <c r="M93" s="282"/>
      <c r="N93" s="115"/>
      <c r="O93" s="115"/>
      <c r="P93" s="115"/>
      <c r="Q93" s="115"/>
      <c r="R93" s="115"/>
      <c r="S93" s="115"/>
      <c r="T93" s="115"/>
      <c r="U93" s="115"/>
      <c r="V93" s="115"/>
      <c r="W93" s="57"/>
      <c r="X93" s="57"/>
    </row>
    <row r="94" spans="1:24">
      <c r="A94" s="59"/>
      <c r="B94" s="281"/>
      <c r="C94" s="281"/>
      <c r="D94" s="1157"/>
      <c r="E94" s="281"/>
      <c r="F94" s="282"/>
      <c r="G94" s="282"/>
      <c r="H94" s="282"/>
      <c r="I94" s="282"/>
      <c r="J94" s="282"/>
      <c r="K94" s="282"/>
      <c r="L94" s="281"/>
      <c r="M94" s="282"/>
      <c r="N94" s="115"/>
      <c r="O94" s="115"/>
      <c r="P94" s="115"/>
      <c r="Q94" s="115"/>
      <c r="R94" s="115"/>
      <c r="S94" s="115"/>
      <c r="T94" s="115"/>
      <c r="U94" s="115"/>
      <c r="V94" s="115"/>
      <c r="W94" s="57"/>
      <c r="X94" s="57"/>
    </row>
    <row r="95" spans="1:24">
      <c r="A95" s="59"/>
      <c r="B95" s="281"/>
      <c r="C95" s="281"/>
      <c r="D95" s="1157"/>
      <c r="E95" s="281"/>
      <c r="F95" s="282"/>
      <c r="G95" s="282"/>
      <c r="H95" s="282"/>
      <c r="I95" s="282"/>
      <c r="J95" s="282"/>
      <c r="K95" s="282"/>
      <c r="L95" s="281"/>
      <c r="M95" s="282"/>
      <c r="N95" s="115"/>
      <c r="O95" s="115"/>
      <c r="P95" s="115"/>
      <c r="Q95" s="115"/>
      <c r="R95" s="115"/>
      <c r="S95" s="115"/>
      <c r="T95" s="115"/>
      <c r="U95" s="115"/>
      <c r="V95" s="115"/>
      <c r="W95" s="57"/>
      <c r="X95" s="57"/>
    </row>
    <row r="96" spans="1:24">
      <c r="A96" s="59"/>
      <c r="B96" s="281"/>
      <c r="C96" s="281"/>
      <c r="D96" s="1157"/>
      <c r="E96" s="281"/>
      <c r="F96" s="282"/>
      <c r="G96" s="282"/>
      <c r="H96" s="282"/>
      <c r="I96" s="282"/>
      <c r="J96" s="282"/>
      <c r="K96" s="282"/>
      <c r="L96" s="281"/>
      <c r="M96" s="282"/>
      <c r="N96" s="115"/>
      <c r="O96" s="115"/>
      <c r="P96" s="115"/>
      <c r="Q96" s="115"/>
      <c r="R96" s="115"/>
      <c r="S96" s="115"/>
      <c r="T96" s="115"/>
      <c r="U96" s="115"/>
      <c r="V96" s="115"/>
      <c r="W96" s="57"/>
      <c r="X96" s="57"/>
    </row>
    <row r="97" spans="1:24">
      <c r="A97" s="59"/>
      <c r="B97" s="281"/>
      <c r="C97" s="281"/>
      <c r="D97" s="1157"/>
      <c r="E97" s="281"/>
      <c r="F97" s="282"/>
      <c r="G97" s="282"/>
      <c r="H97" s="282"/>
      <c r="I97" s="282"/>
      <c r="J97" s="282"/>
      <c r="K97" s="282"/>
      <c r="L97" s="281"/>
      <c r="M97" s="282"/>
      <c r="N97" s="115"/>
      <c r="O97" s="115"/>
      <c r="P97" s="115"/>
      <c r="Q97" s="115"/>
      <c r="R97" s="115"/>
      <c r="S97" s="115"/>
      <c r="T97" s="115"/>
      <c r="U97" s="115"/>
      <c r="V97" s="115"/>
      <c r="W97" s="57"/>
      <c r="X97" s="57"/>
    </row>
    <row r="98" spans="1:24">
      <c r="A98" s="59"/>
      <c r="B98" s="281"/>
      <c r="C98" s="281"/>
      <c r="D98" s="1157"/>
      <c r="E98" s="281"/>
      <c r="F98" s="282"/>
      <c r="G98" s="282"/>
      <c r="H98" s="282"/>
      <c r="I98" s="282"/>
      <c r="J98" s="282"/>
      <c r="K98" s="282"/>
      <c r="L98" s="281"/>
      <c r="M98" s="282"/>
      <c r="N98" s="115"/>
      <c r="O98" s="115"/>
      <c r="P98" s="115"/>
      <c r="Q98" s="115"/>
      <c r="R98" s="115"/>
      <c r="S98" s="115"/>
      <c r="T98" s="115"/>
      <c r="U98" s="115"/>
      <c r="V98" s="115"/>
      <c r="W98" s="57"/>
      <c r="X98" s="57"/>
    </row>
    <row r="99" spans="1:24">
      <c r="A99" s="59"/>
      <c r="B99" s="281"/>
      <c r="C99" s="287"/>
      <c r="D99" s="1156"/>
      <c r="E99" s="287"/>
      <c r="F99" s="283"/>
      <c r="G99" s="283"/>
      <c r="H99" s="283"/>
      <c r="I99" s="283"/>
      <c r="J99" s="283"/>
      <c r="K99" s="283"/>
      <c r="L99" s="285"/>
      <c r="M99" s="283"/>
      <c r="N99" s="115"/>
      <c r="O99" s="115"/>
      <c r="P99" s="115"/>
      <c r="Q99" s="115"/>
      <c r="R99" s="115"/>
      <c r="S99" s="115"/>
      <c r="T99" s="115"/>
      <c r="U99" s="115"/>
      <c r="V99" s="115"/>
      <c r="W99" s="57"/>
      <c r="X99" s="57"/>
    </row>
    <row r="100" spans="1:24">
      <c r="A100" s="59"/>
      <c r="B100" s="281"/>
      <c r="C100" s="281"/>
      <c r="D100" s="1157"/>
      <c r="E100" s="281"/>
      <c r="F100" s="282"/>
      <c r="G100" s="282"/>
      <c r="H100" s="282"/>
      <c r="I100" s="282"/>
      <c r="J100" s="282"/>
      <c r="K100" s="282"/>
      <c r="L100" s="281"/>
      <c r="M100" s="282"/>
      <c r="N100" s="115"/>
      <c r="O100" s="115"/>
      <c r="P100" s="115"/>
      <c r="Q100" s="115"/>
      <c r="R100" s="115"/>
      <c r="S100" s="115"/>
      <c r="T100" s="115"/>
      <c r="U100" s="115"/>
      <c r="V100" s="115"/>
      <c r="W100" s="57"/>
      <c r="X100" s="57"/>
    </row>
    <row r="101" spans="1:24">
      <c r="A101" s="59"/>
      <c r="B101" s="281"/>
      <c r="C101" s="281"/>
      <c r="D101" s="1157"/>
      <c r="E101" s="281"/>
      <c r="F101" s="282"/>
      <c r="G101" s="282"/>
      <c r="H101" s="282"/>
      <c r="I101" s="282"/>
      <c r="J101" s="282"/>
      <c r="K101" s="282"/>
      <c r="L101" s="281"/>
      <c r="M101" s="282"/>
      <c r="N101" s="115"/>
      <c r="O101" s="115"/>
      <c r="P101" s="115"/>
      <c r="Q101" s="115"/>
      <c r="R101" s="115"/>
      <c r="S101" s="115"/>
      <c r="T101" s="115"/>
      <c r="U101" s="115"/>
      <c r="V101" s="115"/>
      <c r="W101" s="57"/>
      <c r="X101" s="57"/>
    </row>
    <row r="102" spans="1:24">
      <c r="A102" s="59"/>
      <c r="B102" s="281"/>
      <c r="C102" s="281"/>
      <c r="D102" s="1157"/>
      <c r="E102" s="281"/>
      <c r="F102" s="282"/>
      <c r="G102" s="282"/>
      <c r="H102" s="282"/>
      <c r="I102" s="282"/>
      <c r="J102" s="282"/>
      <c r="K102" s="282"/>
      <c r="L102" s="281"/>
      <c r="M102" s="282"/>
      <c r="N102" s="115"/>
      <c r="O102" s="115"/>
      <c r="P102" s="115"/>
      <c r="Q102" s="115"/>
      <c r="R102" s="115"/>
      <c r="S102" s="115"/>
      <c r="T102" s="115"/>
      <c r="U102" s="115"/>
      <c r="V102" s="115"/>
      <c r="W102" s="57"/>
      <c r="X102" s="57"/>
    </row>
    <row r="103" spans="1:24">
      <c r="A103" s="59"/>
      <c r="B103" s="281"/>
      <c r="C103" s="281"/>
      <c r="D103" s="1157"/>
      <c r="E103" s="281"/>
      <c r="F103" s="282"/>
      <c r="G103" s="282"/>
      <c r="H103" s="282"/>
      <c r="I103" s="282"/>
      <c r="J103" s="282"/>
      <c r="K103" s="282"/>
      <c r="L103" s="281"/>
      <c r="M103" s="282"/>
      <c r="N103" s="115"/>
      <c r="O103" s="115"/>
      <c r="P103" s="115"/>
      <c r="Q103" s="115"/>
      <c r="R103" s="115"/>
      <c r="S103" s="115"/>
      <c r="T103" s="115"/>
      <c r="U103" s="115"/>
      <c r="V103" s="115"/>
      <c r="W103" s="57"/>
      <c r="X103" s="57"/>
    </row>
    <row r="104" spans="1:24">
      <c r="A104" s="59"/>
      <c r="B104" s="281"/>
      <c r="C104" s="281"/>
      <c r="D104" s="1157"/>
      <c r="E104" s="281"/>
      <c r="F104" s="282"/>
      <c r="G104" s="282"/>
      <c r="H104" s="282"/>
      <c r="I104" s="282"/>
      <c r="J104" s="282"/>
      <c r="K104" s="282"/>
      <c r="L104" s="281"/>
      <c r="M104" s="282"/>
      <c r="N104" s="115"/>
      <c r="O104" s="115"/>
      <c r="P104" s="115"/>
      <c r="Q104" s="115"/>
      <c r="R104" s="115"/>
      <c r="S104" s="115"/>
      <c r="T104" s="115"/>
      <c r="U104" s="115"/>
      <c r="V104" s="115"/>
      <c r="W104" s="57"/>
      <c r="X104" s="57"/>
    </row>
    <row r="105" spans="1:24">
      <c r="A105" s="59"/>
      <c r="B105" s="281"/>
      <c r="C105" s="281"/>
      <c r="D105" s="1157"/>
      <c r="E105" s="281"/>
      <c r="F105" s="282"/>
      <c r="G105" s="282"/>
      <c r="H105" s="282"/>
      <c r="I105" s="282"/>
      <c r="J105" s="282"/>
      <c r="K105" s="282"/>
      <c r="L105" s="281"/>
      <c r="M105" s="282"/>
      <c r="N105" s="115"/>
      <c r="O105" s="115"/>
      <c r="P105" s="115"/>
      <c r="Q105" s="115"/>
      <c r="R105" s="115"/>
      <c r="S105" s="115"/>
      <c r="T105" s="115"/>
      <c r="U105" s="115"/>
      <c r="V105" s="115"/>
      <c r="W105" s="57"/>
      <c r="X105" s="57"/>
    </row>
    <row r="106" spans="1:24">
      <c r="A106" s="59"/>
      <c r="B106" s="281"/>
      <c r="C106" s="281"/>
      <c r="D106" s="1157"/>
      <c r="E106" s="281"/>
      <c r="F106" s="282"/>
      <c r="G106" s="282"/>
      <c r="H106" s="282"/>
      <c r="I106" s="282"/>
      <c r="J106" s="282"/>
      <c r="K106" s="282"/>
      <c r="L106" s="281"/>
      <c r="M106" s="282"/>
      <c r="N106" s="115"/>
      <c r="O106" s="115"/>
      <c r="P106" s="115"/>
      <c r="Q106" s="115"/>
      <c r="R106" s="115"/>
      <c r="S106" s="115"/>
      <c r="T106" s="115"/>
      <c r="U106" s="115"/>
      <c r="V106" s="115"/>
      <c r="W106" s="57"/>
      <c r="X106" s="57"/>
    </row>
    <row r="107" spans="1:24">
      <c r="A107" s="59"/>
      <c r="B107" s="281"/>
      <c r="C107" s="281"/>
      <c r="D107" s="1157"/>
      <c r="E107" s="281"/>
      <c r="F107" s="282"/>
      <c r="G107" s="282"/>
      <c r="H107" s="282"/>
      <c r="I107" s="282"/>
      <c r="J107" s="282"/>
      <c r="K107" s="282"/>
      <c r="L107" s="281"/>
      <c r="M107" s="282"/>
      <c r="N107" s="115"/>
      <c r="O107" s="115"/>
      <c r="P107" s="115"/>
      <c r="Q107" s="115"/>
      <c r="R107" s="115"/>
      <c r="S107" s="115"/>
      <c r="T107" s="115"/>
      <c r="U107" s="115"/>
      <c r="V107" s="115"/>
      <c r="W107" s="57"/>
      <c r="X107" s="57"/>
    </row>
    <row r="108" spans="1:24">
      <c r="A108" s="59"/>
      <c r="B108" s="281"/>
      <c r="C108" s="281"/>
      <c r="D108" s="1157"/>
      <c r="E108" s="281"/>
      <c r="F108" s="282"/>
      <c r="G108" s="282"/>
      <c r="H108" s="282"/>
      <c r="I108" s="282"/>
      <c r="J108" s="282"/>
      <c r="K108" s="282"/>
      <c r="L108" s="281"/>
      <c r="M108" s="282"/>
      <c r="N108" s="115"/>
      <c r="O108" s="115"/>
      <c r="P108" s="115"/>
      <c r="Q108" s="115"/>
      <c r="R108" s="115"/>
      <c r="S108" s="115"/>
      <c r="T108" s="115"/>
      <c r="U108" s="115"/>
      <c r="V108" s="115"/>
      <c r="W108" s="57"/>
      <c r="X108" s="57"/>
    </row>
    <row r="109" spans="1:24">
      <c r="A109" s="59"/>
      <c r="B109" s="281"/>
      <c r="C109" s="281"/>
      <c r="D109" s="1157"/>
      <c r="E109" s="281"/>
      <c r="F109" s="282"/>
      <c r="G109" s="282"/>
      <c r="H109" s="282"/>
      <c r="I109" s="282"/>
      <c r="J109" s="282"/>
      <c r="K109" s="282"/>
      <c r="L109" s="281"/>
      <c r="M109" s="282"/>
      <c r="N109" s="115"/>
      <c r="O109" s="115"/>
      <c r="P109" s="115"/>
      <c r="Q109" s="115"/>
      <c r="R109" s="115"/>
      <c r="S109" s="115"/>
      <c r="T109" s="115"/>
      <c r="U109" s="115"/>
      <c r="V109" s="115"/>
      <c r="W109" s="57"/>
      <c r="X109" s="57"/>
    </row>
    <row r="110" spans="1:24">
      <c r="A110" s="59"/>
      <c r="B110" s="281"/>
      <c r="C110" s="281"/>
      <c r="D110" s="1157"/>
      <c r="E110" s="281"/>
      <c r="F110" s="282"/>
      <c r="G110" s="282"/>
      <c r="H110" s="282"/>
      <c r="I110" s="282"/>
      <c r="J110" s="282"/>
      <c r="K110" s="282"/>
      <c r="L110" s="281"/>
      <c r="M110" s="282"/>
      <c r="N110" s="115"/>
      <c r="O110" s="115"/>
      <c r="P110" s="115"/>
      <c r="Q110" s="115"/>
      <c r="R110" s="115"/>
      <c r="S110" s="115"/>
      <c r="T110" s="115"/>
      <c r="U110" s="115"/>
      <c r="V110" s="115"/>
      <c r="W110" s="57"/>
      <c r="X110" s="57"/>
    </row>
    <row r="111" spans="1:24">
      <c r="A111" s="59"/>
      <c r="B111" s="281"/>
      <c r="C111" s="281"/>
      <c r="D111" s="1157"/>
      <c r="E111" s="281"/>
      <c r="F111" s="282"/>
      <c r="G111" s="282"/>
      <c r="H111" s="282"/>
      <c r="I111" s="282"/>
      <c r="J111" s="282"/>
      <c r="K111" s="282"/>
      <c r="L111" s="281"/>
      <c r="M111" s="282"/>
      <c r="N111" s="115"/>
      <c r="O111" s="115"/>
      <c r="P111" s="115"/>
      <c r="Q111" s="115"/>
      <c r="R111" s="115"/>
      <c r="S111" s="115"/>
      <c r="T111" s="115"/>
      <c r="U111" s="115"/>
      <c r="V111" s="115"/>
      <c r="W111" s="57"/>
      <c r="X111" s="57"/>
    </row>
    <row r="112" spans="1:24">
      <c r="A112" s="59"/>
      <c r="B112" s="281"/>
      <c r="C112" s="287"/>
      <c r="D112" s="1156"/>
      <c r="E112" s="287"/>
      <c r="F112" s="283"/>
      <c r="G112" s="283"/>
      <c r="H112" s="283"/>
      <c r="I112" s="283"/>
      <c r="J112" s="283"/>
      <c r="K112" s="283"/>
      <c r="L112" s="283"/>
      <c r="M112" s="283"/>
      <c r="N112" s="151"/>
      <c r="O112" s="115"/>
      <c r="P112" s="115"/>
      <c r="Q112" s="115"/>
      <c r="R112" s="115"/>
      <c r="S112" s="115"/>
      <c r="T112" s="115"/>
      <c r="U112" s="115"/>
      <c r="V112" s="115"/>
      <c r="W112" s="57"/>
      <c r="X112" s="57"/>
    </row>
    <row r="113" spans="1:24">
      <c r="A113" s="59"/>
      <c r="B113" s="281"/>
      <c r="C113" s="281"/>
      <c r="D113" s="1157"/>
      <c r="E113" s="281"/>
      <c r="F113" s="282"/>
      <c r="G113" s="282"/>
      <c r="H113" s="282"/>
      <c r="I113" s="282"/>
      <c r="J113" s="282"/>
      <c r="K113" s="282"/>
      <c r="L113" s="281"/>
      <c r="M113" s="282"/>
      <c r="N113" s="115"/>
      <c r="O113" s="115"/>
      <c r="P113" s="115"/>
      <c r="Q113" s="115"/>
      <c r="R113" s="115"/>
      <c r="S113" s="115"/>
      <c r="T113" s="115"/>
      <c r="U113" s="115"/>
      <c r="V113" s="115"/>
      <c r="W113" s="57"/>
      <c r="X113" s="57"/>
    </row>
    <row r="114" spans="1:24">
      <c r="A114" s="59"/>
      <c r="B114" s="281"/>
      <c r="C114" s="281"/>
      <c r="D114" s="1157"/>
      <c r="E114" s="281"/>
      <c r="F114" s="282"/>
      <c r="G114" s="282"/>
      <c r="H114" s="282"/>
      <c r="I114" s="282"/>
      <c r="J114" s="282"/>
      <c r="K114" s="282"/>
      <c r="L114" s="281"/>
      <c r="M114" s="282"/>
      <c r="N114" s="115"/>
      <c r="O114" s="115"/>
      <c r="P114" s="115"/>
      <c r="Q114" s="115"/>
      <c r="R114" s="115"/>
      <c r="S114" s="115"/>
      <c r="T114" s="115"/>
      <c r="U114" s="115"/>
      <c r="V114" s="115"/>
      <c r="W114" s="57"/>
      <c r="X114" s="57"/>
    </row>
    <row r="115" spans="1:24">
      <c r="A115" s="59"/>
      <c r="B115" s="281"/>
      <c r="C115" s="281"/>
      <c r="D115" s="1157"/>
      <c r="E115" s="281"/>
      <c r="F115" s="282"/>
      <c r="G115" s="282"/>
      <c r="H115" s="282"/>
      <c r="I115" s="282"/>
      <c r="J115" s="282"/>
      <c r="K115" s="282"/>
      <c r="L115" s="281"/>
      <c r="M115" s="282"/>
      <c r="N115" s="115"/>
      <c r="O115" s="115"/>
      <c r="P115" s="115"/>
      <c r="Q115" s="115"/>
      <c r="R115" s="115"/>
      <c r="S115" s="115"/>
      <c r="T115" s="115"/>
      <c r="U115" s="115"/>
      <c r="V115" s="115"/>
      <c r="W115" s="57"/>
      <c r="X115" s="57"/>
    </row>
    <row r="116" spans="1:24">
      <c r="A116" s="59"/>
      <c r="B116" s="281"/>
      <c r="C116" s="281"/>
      <c r="D116" s="1157"/>
      <c r="E116" s="281"/>
      <c r="F116" s="282"/>
      <c r="G116" s="282"/>
      <c r="H116" s="282"/>
      <c r="I116" s="282"/>
      <c r="J116" s="282"/>
      <c r="K116" s="282"/>
      <c r="L116" s="281"/>
      <c r="M116" s="282"/>
      <c r="N116" s="115"/>
      <c r="O116" s="115"/>
      <c r="P116" s="115"/>
      <c r="Q116" s="115"/>
      <c r="R116" s="115"/>
      <c r="S116" s="115"/>
      <c r="T116" s="115"/>
      <c r="U116" s="115"/>
      <c r="V116" s="115"/>
      <c r="W116" s="57"/>
      <c r="X116" s="57"/>
    </row>
    <row r="117" spans="1:24">
      <c r="A117" s="59"/>
      <c r="B117" s="281"/>
      <c r="C117" s="281"/>
      <c r="D117" s="1157"/>
      <c r="E117" s="281"/>
      <c r="F117" s="282"/>
      <c r="G117" s="282"/>
      <c r="H117" s="282"/>
      <c r="I117" s="282"/>
      <c r="J117" s="282"/>
      <c r="K117" s="282"/>
      <c r="L117" s="281"/>
      <c r="M117" s="282"/>
      <c r="N117" s="115"/>
      <c r="O117" s="115"/>
      <c r="P117" s="115"/>
      <c r="Q117" s="115"/>
      <c r="R117" s="115"/>
      <c r="S117" s="115"/>
      <c r="T117" s="115"/>
      <c r="U117" s="115"/>
      <c r="V117" s="115"/>
      <c r="W117" s="57"/>
      <c r="X117" s="57"/>
    </row>
    <row r="118" spans="1:24">
      <c r="A118" s="59"/>
      <c r="B118" s="281"/>
      <c r="C118" s="281"/>
      <c r="D118" s="1157"/>
      <c r="E118" s="281"/>
      <c r="F118" s="282"/>
      <c r="G118" s="282"/>
      <c r="H118" s="282"/>
      <c r="I118" s="282"/>
      <c r="J118" s="282"/>
      <c r="K118" s="282"/>
      <c r="L118" s="281"/>
      <c r="M118" s="282"/>
      <c r="N118" s="115"/>
      <c r="O118" s="115"/>
      <c r="P118" s="115"/>
      <c r="Q118" s="115"/>
      <c r="R118" s="115"/>
      <c r="S118" s="115"/>
      <c r="T118" s="115"/>
      <c r="U118" s="115"/>
      <c r="V118" s="115"/>
      <c r="W118" s="57"/>
      <c r="X118" s="57"/>
    </row>
    <row r="119" spans="1:24">
      <c r="A119" s="59"/>
      <c r="B119" s="281"/>
      <c r="C119" s="281"/>
      <c r="D119" s="1157"/>
      <c r="E119" s="281"/>
      <c r="F119" s="282"/>
      <c r="G119" s="282"/>
      <c r="H119" s="282"/>
      <c r="I119" s="282"/>
      <c r="J119" s="282"/>
      <c r="K119" s="282"/>
      <c r="L119" s="281"/>
      <c r="M119" s="282"/>
      <c r="N119" s="115"/>
      <c r="O119" s="115"/>
      <c r="P119" s="115"/>
      <c r="Q119" s="115"/>
      <c r="R119" s="115"/>
      <c r="S119" s="115"/>
      <c r="T119" s="115"/>
      <c r="U119" s="115"/>
      <c r="V119" s="115"/>
      <c r="W119" s="57"/>
      <c r="X119" s="57"/>
    </row>
    <row r="120" spans="1:24">
      <c r="A120" s="59"/>
      <c r="B120" s="281"/>
      <c r="C120" s="281"/>
      <c r="D120" s="1157"/>
      <c r="E120" s="281"/>
      <c r="F120" s="282"/>
      <c r="G120" s="282"/>
      <c r="H120" s="282"/>
      <c r="I120" s="282"/>
      <c r="J120" s="282"/>
      <c r="K120" s="282"/>
      <c r="L120" s="281"/>
      <c r="M120" s="282"/>
      <c r="N120" s="115"/>
      <c r="O120" s="115"/>
      <c r="P120" s="115"/>
      <c r="Q120" s="115"/>
      <c r="R120" s="115"/>
      <c r="S120" s="115"/>
      <c r="T120" s="115"/>
      <c r="U120" s="115"/>
      <c r="V120" s="115"/>
      <c r="W120" s="57"/>
      <c r="X120" s="57"/>
    </row>
    <row r="121" spans="1:24">
      <c r="A121" s="59"/>
      <c r="B121" s="281"/>
      <c r="C121" s="281"/>
      <c r="D121" s="1157"/>
      <c r="E121" s="281"/>
      <c r="F121" s="282"/>
      <c r="G121" s="282"/>
      <c r="H121" s="282"/>
      <c r="I121" s="282"/>
      <c r="J121" s="282"/>
      <c r="K121" s="282"/>
      <c r="L121" s="281"/>
      <c r="M121" s="282"/>
      <c r="N121" s="115"/>
      <c r="O121" s="115"/>
      <c r="P121" s="115"/>
      <c r="Q121" s="115"/>
      <c r="R121" s="115"/>
      <c r="S121" s="115"/>
      <c r="T121" s="115"/>
      <c r="U121" s="115"/>
      <c r="V121" s="115"/>
      <c r="W121" s="57"/>
      <c r="X121" s="57"/>
    </row>
    <row r="122" spans="1:24">
      <c r="A122" s="59"/>
      <c r="B122" s="281"/>
      <c r="C122" s="281"/>
      <c r="D122" s="1157"/>
      <c r="E122" s="281"/>
      <c r="F122" s="282"/>
      <c r="G122" s="282"/>
      <c r="H122" s="282"/>
      <c r="I122" s="282"/>
      <c r="J122" s="282"/>
      <c r="K122" s="282"/>
      <c r="L122" s="281"/>
      <c r="M122" s="282"/>
      <c r="N122" s="115"/>
      <c r="O122" s="115"/>
      <c r="P122" s="115"/>
      <c r="Q122" s="115"/>
      <c r="R122" s="115"/>
      <c r="S122" s="115"/>
      <c r="T122" s="115"/>
      <c r="U122" s="115"/>
      <c r="V122" s="115"/>
      <c r="W122" s="57"/>
      <c r="X122" s="57"/>
    </row>
    <row r="123" spans="1:24">
      <c r="A123" s="59"/>
      <c r="B123" s="281"/>
      <c r="C123" s="281"/>
      <c r="D123" s="1157"/>
      <c r="E123" s="281"/>
      <c r="F123" s="282"/>
      <c r="G123" s="282"/>
      <c r="H123" s="282"/>
      <c r="I123" s="282"/>
      <c r="J123" s="282"/>
      <c r="K123" s="282"/>
      <c r="L123" s="281"/>
      <c r="M123" s="282"/>
      <c r="N123" s="115"/>
      <c r="O123" s="115"/>
      <c r="P123" s="115"/>
      <c r="Q123" s="115"/>
      <c r="R123" s="115"/>
      <c r="S123" s="115"/>
      <c r="T123" s="115"/>
      <c r="U123" s="115"/>
      <c r="V123" s="115"/>
      <c r="W123" s="57"/>
      <c r="X123" s="57"/>
    </row>
    <row r="124" spans="1:24">
      <c r="A124" s="59"/>
      <c r="B124" s="281"/>
      <c r="C124" s="281"/>
      <c r="D124" s="1157"/>
      <c r="E124" s="281"/>
      <c r="F124" s="282"/>
      <c r="G124" s="282"/>
      <c r="H124" s="282"/>
      <c r="I124" s="282"/>
      <c r="J124" s="282"/>
      <c r="K124" s="282"/>
      <c r="L124" s="281"/>
      <c r="M124" s="282"/>
      <c r="N124" s="115"/>
      <c r="O124" s="115"/>
      <c r="P124" s="115"/>
      <c r="Q124" s="115"/>
      <c r="R124" s="115"/>
      <c r="S124" s="115"/>
      <c r="T124" s="115"/>
      <c r="U124" s="115"/>
      <c r="V124" s="115"/>
      <c r="W124" s="57"/>
      <c r="X124" s="57"/>
    </row>
    <row r="125" spans="1:24">
      <c r="A125" s="59"/>
      <c r="B125" s="281"/>
      <c r="C125" s="281"/>
      <c r="D125" s="1157"/>
      <c r="E125" s="281"/>
      <c r="F125" s="282"/>
      <c r="G125" s="282"/>
      <c r="H125" s="282"/>
      <c r="I125" s="282"/>
      <c r="J125" s="282"/>
      <c r="K125" s="282"/>
      <c r="L125" s="281"/>
      <c r="M125" s="282"/>
      <c r="N125" s="115"/>
      <c r="O125" s="115"/>
      <c r="P125" s="115"/>
      <c r="Q125" s="115"/>
      <c r="R125" s="115"/>
      <c r="S125" s="115"/>
      <c r="T125" s="115"/>
      <c r="U125" s="115"/>
      <c r="V125" s="115"/>
      <c r="W125" s="57"/>
      <c r="X125" s="57"/>
    </row>
    <row r="126" spans="1:24">
      <c r="A126" s="59"/>
      <c r="B126" s="281"/>
      <c r="C126" s="281"/>
      <c r="D126" s="1157"/>
      <c r="E126" s="281"/>
      <c r="F126" s="282"/>
      <c r="G126" s="282"/>
      <c r="H126" s="282"/>
      <c r="I126" s="282"/>
      <c r="J126" s="282"/>
      <c r="K126" s="282"/>
      <c r="L126" s="281"/>
      <c r="M126" s="282"/>
      <c r="N126" s="115"/>
      <c r="O126" s="115"/>
      <c r="P126" s="115"/>
      <c r="Q126" s="115"/>
      <c r="R126" s="115"/>
      <c r="S126" s="115"/>
      <c r="T126" s="115"/>
      <c r="U126" s="115"/>
      <c r="V126" s="115"/>
      <c r="W126" s="57"/>
      <c r="X126" s="57"/>
    </row>
    <row r="127" spans="1:24">
      <c r="A127" s="59"/>
      <c r="B127" s="281"/>
      <c r="C127" s="281"/>
      <c r="D127" s="1157"/>
      <c r="E127" s="281"/>
      <c r="F127" s="282"/>
      <c r="G127" s="282"/>
      <c r="H127" s="282"/>
      <c r="I127" s="282"/>
      <c r="J127" s="282"/>
      <c r="K127" s="282"/>
      <c r="L127" s="281"/>
      <c r="M127" s="282"/>
      <c r="N127" s="115"/>
      <c r="O127" s="115"/>
      <c r="P127" s="115"/>
      <c r="Q127" s="115"/>
      <c r="R127" s="115"/>
      <c r="S127" s="115"/>
      <c r="T127" s="115"/>
      <c r="U127" s="115"/>
      <c r="V127" s="115"/>
      <c r="W127" s="57"/>
      <c r="X127" s="57"/>
    </row>
    <row r="128" spans="1:24">
      <c r="A128" s="59"/>
      <c r="B128" s="281"/>
      <c r="C128" s="281"/>
      <c r="D128" s="1157"/>
      <c r="E128" s="281"/>
      <c r="F128" s="282"/>
      <c r="G128" s="282"/>
      <c r="H128" s="282"/>
      <c r="I128" s="282"/>
      <c r="J128" s="282"/>
      <c r="K128" s="282"/>
      <c r="L128" s="281"/>
      <c r="M128" s="282"/>
      <c r="N128" s="115"/>
      <c r="O128" s="115"/>
      <c r="P128" s="115"/>
      <c r="Q128" s="115"/>
      <c r="R128" s="115"/>
      <c r="S128" s="115"/>
      <c r="T128" s="115"/>
      <c r="U128" s="115"/>
      <c r="V128" s="115"/>
      <c r="W128" s="57"/>
      <c r="X128" s="57"/>
    </row>
    <row r="129" spans="1:24">
      <c r="A129" s="59"/>
      <c r="B129" s="281"/>
      <c r="C129" s="281"/>
      <c r="D129" s="1157"/>
      <c r="E129" s="281"/>
      <c r="F129" s="282"/>
      <c r="G129" s="282"/>
      <c r="H129" s="282"/>
      <c r="I129" s="282"/>
      <c r="J129" s="282"/>
      <c r="K129" s="282"/>
      <c r="L129" s="281"/>
      <c r="M129" s="282"/>
      <c r="N129" s="115"/>
      <c r="O129" s="115"/>
      <c r="P129" s="115"/>
      <c r="Q129" s="115"/>
      <c r="R129" s="115"/>
      <c r="S129" s="115"/>
      <c r="T129" s="115"/>
      <c r="U129" s="115"/>
      <c r="V129" s="115"/>
      <c r="W129" s="57"/>
      <c r="X129" s="57"/>
    </row>
    <row r="130" spans="1:24">
      <c r="A130" s="59"/>
      <c r="B130" s="281"/>
      <c r="C130" s="281"/>
      <c r="D130" s="1157"/>
      <c r="E130" s="281"/>
      <c r="F130" s="282"/>
      <c r="G130" s="282"/>
      <c r="H130" s="282"/>
      <c r="I130" s="282"/>
      <c r="J130" s="282"/>
      <c r="K130" s="282"/>
      <c r="L130" s="281"/>
      <c r="M130" s="282"/>
      <c r="N130" s="115"/>
      <c r="O130" s="115"/>
      <c r="P130" s="115"/>
      <c r="Q130" s="115"/>
      <c r="R130" s="115"/>
      <c r="S130" s="115"/>
      <c r="T130" s="115"/>
      <c r="U130" s="115"/>
      <c r="V130" s="115"/>
      <c r="W130" s="57"/>
      <c r="X130" s="57"/>
    </row>
    <row r="131" spans="1:24">
      <c r="A131" s="59"/>
      <c r="B131" s="281"/>
      <c r="C131" s="281"/>
      <c r="D131" s="1157"/>
      <c r="E131" s="281"/>
      <c r="F131" s="282"/>
      <c r="G131" s="282"/>
      <c r="H131" s="282"/>
      <c r="I131" s="282"/>
      <c r="J131" s="282"/>
      <c r="K131" s="282"/>
      <c r="L131" s="281"/>
      <c r="M131" s="282"/>
      <c r="N131" s="115"/>
      <c r="O131" s="115"/>
      <c r="P131" s="115"/>
      <c r="Q131" s="115"/>
      <c r="R131" s="115"/>
      <c r="S131" s="115"/>
      <c r="T131" s="115"/>
      <c r="U131" s="115"/>
      <c r="V131" s="115"/>
      <c r="W131" s="57"/>
      <c r="X131" s="57"/>
    </row>
    <row r="132" spans="1:24">
      <c r="A132" s="59"/>
      <c r="B132" s="281"/>
      <c r="C132" s="281"/>
      <c r="D132" s="1157"/>
      <c r="E132" s="281"/>
      <c r="F132" s="282"/>
      <c r="G132" s="282"/>
      <c r="H132" s="282"/>
      <c r="I132" s="282"/>
      <c r="J132" s="282"/>
      <c r="K132" s="282"/>
      <c r="L132" s="281"/>
      <c r="M132" s="282"/>
      <c r="N132" s="115"/>
      <c r="O132" s="115"/>
      <c r="P132" s="115"/>
      <c r="Q132" s="115"/>
      <c r="R132" s="115"/>
      <c r="S132" s="115"/>
      <c r="T132" s="115"/>
      <c r="U132" s="115"/>
      <c r="V132" s="115"/>
      <c r="W132" s="57"/>
      <c r="X132" s="57"/>
    </row>
    <row r="133" spans="1:24">
      <c r="A133" s="59"/>
      <c r="B133" s="281"/>
      <c r="C133" s="281"/>
      <c r="D133" s="1157"/>
      <c r="E133" s="281"/>
      <c r="F133" s="282"/>
      <c r="G133" s="282"/>
      <c r="H133" s="282"/>
      <c r="I133" s="282"/>
      <c r="J133" s="282"/>
      <c r="K133" s="282"/>
      <c r="L133" s="281"/>
      <c r="M133" s="282"/>
      <c r="N133" s="115"/>
      <c r="O133" s="115"/>
      <c r="P133" s="115"/>
      <c r="Q133" s="115"/>
      <c r="R133" s="115"/>
      <c r="S133" s="115"/>
      <c r="T133" s="115"/>
      <c r="U133" s="115"/>
      <c r="V133" s="115"/>
      <c r="W133" s="57"/>
      <c r="X133" s="57"/>
    </row>
    <row r="134" spans="1:24">
      <c r="A134" s="59"/>
      <c r="B134" s="281"/>
      <c r="C134" s="287"/>
      <c r="D134" s="1156"/>
      <c r="E134" s="287"/>
      <c r="F134" s="283"/>
      <c r="G134" s="283"/>
      <c r="H134" s="283"/>
      <c r="I134" s="283"/>
      <c r="J134" s="283"/>
      <c r="K134" s="283"/>
      <c r="L134" s="283"/>
      <c r="M134" s="283"/>
      <c r="N134" s="115"/>
      <c r="O134" s="115"/>
      <c r="P134" s="115"/>
      <c r="Q134" s="115"/>
      <c r="R134" s="115"/>
      <c r="S134" s="115"/>
      <c r="T134" s="115"/>
      <c r="U134" s="115"/>
      <c r="V134" s="115"/>
      <c r="W134" s="57"/>
      <c r="X134" s="57"/>
    </row>
    <row r="135" spans="1:24">
      <c r="A135" s="59"/>
      <c r="B135" s="281"/>
      <c r="C135" s="281"/>
      <c r="D135" s="1157"/>
      <c r="E135" s="281"/>
      <c r="F135" s="282"/>
      <c r="G135" s="282"/>
      <c r="H135" s="282"/>
      <c r="I135" s="282"/>
      <c r="J135" s="282"/>
      <c r="K135" s="282"/>
      <c r="L135" s="281"/>
      <c r="M135" s="282"/>
      <c r="N135" s="115"/>
      <c r="O135" s="115"/>
      <c r="P135" s="115"/>
      <c r="Q135" s="115"/>
      <c r="R135" s="115"/>
      <c r="S135" s="115"/>
      <c r="T135" s="115"/>
      <c r="U135" s="115"/>
      <c r="V135" s="115"/>
      <c r="W135" s="57"/>
      <c r="X135" s="57"/>
    </row>
    <row r="136" spans="1:24">
      <c r="A136" s="59"/>
      <c r="B136" s="281"/>
      <c r="C136" s="281"/>
      <c r="D136" s="1157"/>
      <c r="E136" s="286"/>
      <c r="F136" s="282"/>
      <c r="G136" s="282"/>
      <c r="H136" s="282"/>
      <c r="I136" s="282"/>
      <c r="J136" s="282"/>
      <c r="K136" s="282"/>
      <c r="L136" s="281"/>
      <c r="M136" s="282"/>
      <c r="N136" s="115"/>
      <c r="O136" s="115"/>
      <c r="P136" s="115"/>
      <c r="Q136" s="115"/>
      <c r="R136" s="115"/>
      <c r="S136" s="115"/>
      <c r="T136" s="115"/>
      <c r="U136" s="115"/>
      <c r="V136" s="115"/>
      <c r="W136" s="57"/>
      <c r="X136" s="57"/>
    </row>
    <row r="137" spans="1:24">
      <c r="A137" s="59"/>
      <c r="B137" s="281"/>
      <c r="C137" s="281"/>
      <c r="D137" s="1157"/>
      <c r="E137" s="286"/>
      <c r="F137" s="282"/>
      <c r="G137" s="282"/>
      <c r="H137" s="282"/>
      <c r="I137" s="282"/>
      <c r="J137" s="282"/>
      <c r="K137" s="282"/>
      <c r="L137" s="281"/>
      <c r="M137" s="282"/>
      <c r="N137" s="115"/>
      <c r="O137" s="115"/>
      <c r="P137" s="115"/>
      <c r="Q137" s="115"/>
      <c r="R137" s="115"/>
      <c r="S137" s="115"/>
      <c r="T137" s="115"/>
      <c r="U137" s="115"/>
      <c r="V137" s="115"/>
      <c r="W137" s="57"/>
      <c r="X137" s="57"/>
    </row>
    <row r="138" spans="1:24">
      <c r="A138" s="59"/>
      <c r="B138" s="281"/>
      <c r="C138" s="281"/>
      <c r="D138" s="1157"/>
      <c r="E138" s="286"/>
      <c r="F138" s="282"/>
      <c r="G138" s="282"/>
      <c r="H138" s="282"/>
      <c r="I138" s="282"/>
      <c r="J138" s="282"/>
      <c r="K138" s="282"/>
      <c r="L138" s="281"/>
      <c r="M138" s="282"/>
      <c r="N138" s="115"/>
      <c r="O138" s="115"/>
      <c r="P138" s="115"/>
      <c r="Q138" s="115"/>
      <c r="R138" s="115"/>
      <c r="S138" s="115"/>
      <c r="T138" s="115"/>
      <c r="U138" s="115"/>
      <c r="V138" s="115"/>
      <c r="W138" s="57"/>
      <c r="X138" s="57"/>
    </row>
    <row r="139" spans="1:24">
      <c r="A139" s="59"/>
      <c r="B139" s="281"/>
      <c r="C139" s="281"/>
      <c r="D139" s="1157"/>
      <c r="E139" s="286"/>
      <c r="F139" s="282"/>
      <c r="G139" s="282"/>
      <c r="H139" s="282"/>
      <c r="I139" s="282"/>
      <c r="J139" s="282"/>
      <c r="K139" s="282"/>
      <c r="L139" s="281"/>
      <c r="M139" s="282"/>
      <c r="N139" s="115"/>
      <c r="O139" s="115"/>
      <c r="P139" s="115"/>
      <c r="Q139" s="115"/>
      <c r="R139" s="115"/>
      <c r="S139" s="115"/>
      <c r="T139" s="115"/>
      <c r="U139" s="115"/>
      <c r="V139" s="115"/>
      <c r="W139" s="57"/>
      <c r="X139" s="57"/>
    </row>
    <row r="140" spans="1:24">
      <c r="A140" s="59"/>
      <c r="B140" s="281"/>
      <c r="C140" s="281"/>
      <c r="D140" s="1157"/>
      <c r="E140" s="286"/>
      <c r="F140" s="282"/>
      <c r="G140" s="282"/>
      <c r="H140" s="282"/>
      <c r="I140" s="282"/>
      <c r="J140" s="282"/>
      <c r="K140" s="282"/>
      <c r="L140" s="281"/>
      <c r="M140" s="282"/>
      <c r="N140" s="115"/>
      <c r="O140" s="115"/>
      <c r="P140" s="115"/>
      <c r="Q140" s="115"/>
      <c r="R140" s="115"/>
      <c r="S140" s="115"/>
      <c r="T140" s="115"/>
      <c r="U140" s="115"/>
      <c r="V140" s="115"/>
      <c r="W140" s="57"/>
      <c r="X140" s="57"/>
    </row>
    <row r="141" spans="1:24">
      <c r="A141" s="59"/>
      <c r="B141" s="281"/>
      <c r="C141" s="281"/>
      <c r="D141" s="1157"/>
      <c r="E141" s="286"/>
      <c r="F141" s="282"/>
      <c r="G141" s="282"/>
      <c r="H141" s="282"/>
      <c r="I141" s="282"/>
      <c r="J141" s="282"/>
      <c r="K141" s="282"/>
      <c r="L141" s="281"/>
      <c r="M141" s="282"/>
      <c r="N141" s="115"/>
      <c r="O141" s="115"/>
      <c r="P141" s="115"/>
      <c r="Q141" s="115"/>
      <c r="R141" s="115"/>
      <c r="S141" s="115"/>
      <c r="T141" s="115"/>
      <c r="U141" s="115"/>
      <c r="V141" s="115"/>
      <c r="W141" s="57"/>
      <c r="X141" s="57"/>
    </row>
    <row r="142" spans="1:24">
      <c r="A142" s="59"/>
      <c r="B142" s="281"/>
      <c r="C142" s="281"/>
      <c r="D142" s="1157"/>
      <c r="E142" s="286"/>
      <c r="F142" s="282"/>
      <c r="G142" s="282"/>
      <c r="H142" s="282"/>
      <c r="I142" s="282"/>
      <c r="J142" s="282"/>
      <c r="K142" s="282"/>
      <c r="L142" s="281"/>
      <c r="M142" s="282"/>
      <c r="N142" s="115"/>
      <c r="O142" s="115"/>
      <c r="P142" s="115"/>
      <c r="Q142" s="115"/>
      <c r="R142" s="115"/>
      <c r="S142" s="115"/>
      <c r="T142" s="115"/>
      <c r="U142" s="115"/>
      <c r="V142" s="115"/>
      <c r="W142" s="57"/>
      <c r="X142" s="57"/>
    </row>
    <row r="143" spans="1:24">
      <c r="A143" s="59"/>
      <c r="B143" s="281"/>
      <c r="C143" s="281"/>
      <c r="D143" s="1157"/>
      <c r="E143" s="286"/>
      <c r="F143" s="282"/>
      <c r="G143" s="282"/>
      <c r="H143" s="282"/>
      <c r="I143" s="282"/>
      <c r="J143" s="282"/>
      <c r="K143" s="282"/>
      <c r="L143" s="281"/>
      <c r="M143" s="282"/>
      <c r="N143" s="115"/>
      <c r="O143" s="115"/>
      <c r="P143" s="115"/>
      <c r="Q143" s="115"/>
      <c r="R143" s="115"/>
      <c r="S143" s="115"/>
      <c r="T143" s="115"/>
      <c r="U143" s="115"/>
      <c r="V143" s="115"/>
      <c r="W143" s="57"/>
      <c r="X143" s="57"/>
    </row>
    <row r="144" spans="1:24">
      <c r="A144" s="59"/>
      <c r="B144" s="281"/>
      <c r="C144" s="281"/>
      <c r="D144" s="1157"/>
      <c r="E144" s="286"/>
      <c r="F144" s="282"/>
      <c r="G144" s="282"/>
      <c r="H144" s="282"/>
      <c r="I144" s="282"/>
      <c r="J144" s="282"/>
      <c r="K144" s="282"/>
      <c r="L144" s="281"/>
      <c r="M144" s="282"/>
      <c r="N144" s="115"/>
      <c r="O144" s="115"/>
      <c r="P144" s="115"/>
      <c r="Q144" s="115"/>
      <c r="R144" s="115"/>
      <c r="S144" s="115"/>
      <c r="T144" s="115"/>
      <c r="U144" s="115"/>
      <c r="V144" s="115"/>
      <c r="W144" s="57"/>
      <c r="X144" s="57"/>
    </row>
    <row r="145" spans="1:24">
      <c r="A145" s="59"/>
      <c r="B145" s="281"/>
      <c r="C145" s="281"/>
      <c r="D145" s="1157"/>
      <c r="E145" s="286"/>
      <c r="F145" s="282"/>
      <c r="G145" s="282"/>
      <c r="H145" s="282"/>
      <c r="I145" s="282"/>
      <c r="J145" s="282"/>
      <c r="K145" s="282"/>
      <c r="L145" s="281"/>
      <c r="M145" s="282"/>
      <c r="N145" s="115"/>
      <c r="O145" s="115"/>
      <c r="P145" s="115"/>
      <c r="Q145" s="115"/>
      <c r="R145" s="115"/>
      <c r="S145" s="115"/>
      <c r="T145" s="115"/>
      <c r="U145" s="115"/>
      <c r="V145" s="115"/>
      <c r="W145" s="57"/>
      <c r="X145" s="57"/>
    </row>
    <row r="146" spans="1:24">
      <c r="A146" s="59"/>
      <c r="B146" s="281"/>
      <c r="C146" s="281"/>
      <c r="D146" s="1157"/>
      <c r="E146" s="286"/>
      <c r="F146" s="282"/>
      <c r="G146" s="282"/>
      <c r="H146" s="282"/>
      <c r="I146" s="282"/>
      <c r="J146" s="282"/>
      <c r="K146" s="282"/>
      <c r="L146" s="281"/>
      <c r="M146" s="282"/>
      <c r="N146" s="115"/>
      <c r="O146" s="115"/>
      <c r="P146" s="115"/>
      <c r="Q146" s="115"/>
      <c r="R146" s="115"/>
      <c r="S146" s="115"/>
      <c r="T146" s="115"/>
      <c r="U146" s="115"/>
      <c r="V146" s="115"/>
      <c r="W146" s="57"/>
      <c r="X146" s="57"/>
    </row>
    <row r="147" spans="1:24">
      <c r="A147" s="59"/>
      <c r="B147" s="281"/>
      <c r="C147" s="281"/>
      <c r="D147" s="1157"/>
      <c r="E147" s="286"/>
      <c r="F147" s="282"/>
      <c r="G147" s="282"/>
      <c r="H147" s="282"/>
      <c r="I147" s="282"/>
      <c r="J147" s="282"/>
      <c r="K147" s="282"/>
      <c r="L147" s="281"/>
      <c r="M147" s="282"/>
      <c r="N147" s="115"/>
      <c r="O147" s="115"/>
      <c r="P147" s="115"/>
      <c r="Q147" s="115"/>
      <c r="R147" s="115"/>
      <c r="S147" s="115"/>
      <c r="T147" s="115"/>
      <c r="U147" s="115"/>
      <c r="V147" s="115"/>
      <c r="W147" s="57"/>
      <c r="X147" s="57"/>
    </row>
    <row r="148" spans="1:24">
      <c r="A148" s="59"/>
      <c r="B148" s="281"/>
      <c r="C148" s="281"/>
      <c r="D148" s="1157"/>
      <c r="E148" s="286"/>
      <c r="F148" s="282"/>
      <c r="G148" s="282"/>
      <c r="H148" s="282"/>
      <c r="I148" s="282"/>
      <c r="J148" s="282"/>
      <c r="K148" s="282"/>
      <c r="L148" s="281"/>
      <c r="M148" s="282"/>
      <c r="N148" s="115"/>
      <c r="O148" s="115"/>
      <c r="P148" s="115"/>
      <c r="Q148" s="115"/>
      <c r="R148" s="115"/>
      <c r="S148" s="115"/>
      <c r="T148" s="115"/>
      <c r="U148" s="115"/>
      <c r="V148" s="115"/>
      <c r="W148" s="57"/>
      <c r="X148" s="57"/>
    </row>
    <row r="149" spans="1:24">
      <c r="A149" s="59"/>
      <c r="B149" s="281"/>
      <c r="C149" s="281"/>
      <c r="D149" s="1157"/>
      <c r="E149" s="286"/>
      <c r="F149" s="282"/>
      <c r="G149" s="282"/>
      <c r="H149" s="282"/>
      <c r="I149" s="282"/>
      <c r="J149" s="282"/>
      <c r="K149" s="282"/>
      <c r="L149" s="281"/>
      <c r="M149" s="282"/>
      <c r="N149" s="115"/>
      <c r="O149" s="115"/>
      <c r="P149" s="115"/>
      <c r="Q149" s="115"/>
      <c r="R149" s="115"/>
      <c r="S149" s="115"/>
      <c r="T149" s="115"/>
      <c r="U149" s="115"/>
      <c r="V149" s="115"/>
      <c r="W149" s="57"/>
      <c r="X149" s="57"/>
    </row>
    <row r="150" spans="1:24">
      <c r="A150" s="59"/>
      <c r="B150" s="281"/>
      <c r="C150" s="281"/>
      <c r="D150" s="1157"/>
      <c r="E150" s="286"/>
      <c r="F150" s="282"/>
      <c r="G150" s="282"/>
      <c r="H150" s="282"/>
      <c r="I150" s="282"/>
      <c r="J150" s="282"/>
      <c r="K150" s="282"/>
      <c r="L150" s="281"/>
      <c r="M150" s="282"/>
      <c r="N150" s="115"/>
      <c r="O150" s="115"/>
      <c r="P150" s="115"/>
      <c r="Q150" s="115"/>
      <c r="R150" s="115"/>
      <c r="S150" s="115"/>
      <c r="T150" s="115"/>
      <c r="U150" s="115"/>
      <c r="V150" s="115"/>
      <c r="W150" s="57"/>
      <c r="X150" s="57"/>
    </row>
    <row r="151" spans="1:24">
      <c r="A151" s="59"/>
      <c r="B151" s="281"/>
      <c r="C151" s="287"/>
      <c r="D151" s="1156"/>
      <c r="E151" s="287"/>
      <c r="F151" s="283"/>
      <c r="G151" s="283"/>
      <c r="H151" s="283"/>
      <c r="I151" s="283"/>
      <c r="J151" s="283"/>
      <c r="K151" s="283"/>
      <c r="L151" s="283"/>
      <c r="M151" s="283"/>
      <c r="N151" s="115"/>
      <c r="O151" s="115"/>
      <c r="P151" s="115"/>
      <c r="Q151" s="115"/>
      <c r="R151" s="115"/>
      <c r="S151" s="115"/>
      <c r="T151" s="115"/>
      <c r="U151" s="115"/>
      <c r="V151" s="115"/>
      <c r="W151" s="57"/>
      <c r="X151" s="57"/>
    </row>
    <row r="152" spans="1:24">
      <c r="A152" s="59"/>
      <c r="B152" s="281"/>
      <c r="C152" s="281"/>
      <c r="D152" s="1157"/>
      <c r="E152" s="281"/>
      <c r="F152" s="282"/>
      <c r="G152" s="282"/>
      <c r="H152" s="282"/>
      <c r="I152" s="282"/>
      <c r="J152" s="282"/>
      <c r="K152" s="282"/>
      <c r="L152" s="281"/>
      <c r="M152" s="282"/>
      <c r="N152" s="115"/>
      <c r="O152" s="115"/>
      <c r="P152" s="115"/>
      <c r="Q152" s="115"/>
      <c r="R152" s="115"/>
      <c r="S152" s="115"/>
      <c r="T152" s="115"/>
      <c r="U152" s="115"/>
      <c r="V152" s="115"/>
      <c r="W152" s="57"/>
      <c r="X152" s="57"/>
    </row>
    <row r="153" spans="1:24">
      <c r="A153" s="59"/>
      <c r="B153" s="281"/>
      <c r="C153" s="281"/>
      <c r="D153" s="1157"/>
      <c r="E153" s="286"/>
      <c r="F153" s="282"/>
      <c r="G153" s="282"/>
      <c r="H153" s="282"/>
      <c r="I153" s="282"/>
      <c r="J153" s="282"/>
      <c r="K153" s="282"/>
      <c r="L153" s="281"/>
      <c r="M153" s="282"/>
      <c r="N153" s="151"/>
      <c r="O153" s="115"/>
      <c r="P153" s="115"/>
      <c r="Q153" s="115"/>
      <c r="R153" s="115"/>
      <c r="S153" s="115"/>
      <c r="T153" s="115"/>
      <c r="U153" s="115"/>
      <c r="V153" s="115"/>
      <c r="W153" s="57"/>
      <c r="X153" s="57"/>
    </row>
    <row r="154" spans="1:24">
      <c r="A154" s="59"/>
      <c r="B154" s="281"/>
      <c r="C154" s="281"/>
      <c r="D154" s="1157"/>
      <c r="E154" s="286"/>
      <c r="F154" s="282"/>
      <c r="G154" s="282"/>
      <c r="H154" s="282"/>
      <c r="I154" s="282"/>
      <c r="J154" s="282"/>
      <c r="K154" s="282"/>
      <c r="L154" s="281"/>
      <c r="M154" s="282"/>
      <c r="O154" s="115"/>
      <c r="P154" s="115"/>
      <c r="Q154" s="115"/>
      <c r="R154" s="115"/>
      <c r="S154" s="115"/>
      <c r="T154" s="115"/>
      <c r="U154" s="115"/>
      <c r="V154" s="115"/>
      <c r="W154" s="57"/>
      <c r="X154" s="57"/>
    </row>
    <row r="155" spans="1:24">
      <c r="A155" s="59"/>
      <c r="B155" s="281"/>
      <c r="C155" s="281"/>
      <c r="D155" s="1157"/>
      <c r="E155" s="286"/>
      <c r="F155" s="282"/>
      <c r="G155" s="282"/>
      <c r="H155" s="282"/>
      <c r="I155" s="282"/>
      <c r="J155" s="282"/>
      <c r="K155" s="282"/>
      <c r="L155" s="281"/>
      <c r="M155" s="282"/>
      <c r="N155" s="115"/>
      <c r="O155" s="115"/>
      <c r="P155" s="115"/>
      <c r="Q155" s="115"/>
      <c r="R155" s="115"/>
      <c r="S155" s="115"/>
      <c r="T155" s="115"/>
      <c r="U155" s="115"/>
      <c r="V155" s="115"/>
      <c r="W155" s="57"/>
      <c r="X155" s="57"/>
    </row>
    <row r="156" spans="1:24">
      <c r="A156" s="59"/>
      <c r="B156" s="281"/>
      <c r="C156" s="281"/>
      <c r="D156" s="1157"/>
      <c r="E156" s="286"/>
      <c r="F156" s="282"/>
      <c r="G156" s="282"/>
      <c r="H156" s="282"/>
      <c r="I156" s="282"/>
      <c r="J156" s="282"/>
      <c r="K156" s="282"/>
      <c r="L156" s="281"/>
      <c r="M156" s="282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</row>
    <row r="157" spans="1:24" ht="13.5" customHeight="1">
      <c r="A157" s="59"/>
      <c r="B157" s="281"/>
      <c r="C157" s="281"/>
      <c r="D157" s="1157"/>
      <c r="E157" s="286"/>
      <c r="F157" s="282"/>
      <c r="G157" s="282"/>
      <c r="H157" s="282"/>
      <c r="I157" s="282"/>
      <c r="J157" s="282"/>
      <c r="K157" s="282"/>
      <c r="L157" s="281"/>
      <c r="M157" s="282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</row>
    <row r="158" spans="1:24">
      <c r="A158" s="59"/>
      <c r="B158" s="281"/>
      <c r="C158" s="281"/>
      <c r="D158" s="1157"/>
      <c r="E158" s="286"/>
      <c r="F158" s="282"/>
      <c r="G158" s="282"/>
      <c r="H158" s="282"/>
      <c r="I158" s="282"/>
      <c r="J158" s="282"/>
      <c r="K158" s="282"/>
      <c r="L158" s="281"/>
      <c r="M158" s="282"/>
      <c r="N158" s="57"/>
      <c r="O158" s="57"/>
      <c r="P158" s="58"/>
      <c r="Q158" s="58"/>
      <c r="R158" s="58"/>
      <c r="S158" s="58"/>
      <c r="T158" s="58"/>
      <c r="U158" s="58"/>
      <c r="V158" s="58"/>
      <c r="W158" s="58"/>
      <c r="X158" s="58"/>
    </row>
    <row r="159" spans="1:24">
      <c r="A159" s="59"/>
      <c r="B159" s="281"/>
      <c r="C159" s="281"/>
      <c r="D159" s="1157"/>
      <c r="E159" s="286"/>
      <c r="F159" s="282"/>
      <c r="G159" s="282"/>
      <c r="H159" s="282"/>
      <c r="I159" s="282"/>
      <c r="J159" s="282"/>
      <c r="K159" s="282"/>
      <c r="L159" s="281"/>
      <c r="M159" s="282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</row>
    <row r="160" spans="1:24">
      <c r="A160" s="59"/>
      <c r="B160" s="281"/>
      <c r="C160" s="281"/>
      <c r="D160" s="1157"/>
      <c r="E160" s="281"/>
      <c r="F160" s="282"/>
      <c r="G160" s="282"/>
      <c r="H160" s="282"/>
      <c r="I160" s="282"/>
      <c r="J160" s="282"/>
      <c r="K160" s="282"/>
      <c r="L160" s="281"/>
      <c r="M160" s="282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</row>
    <row r="161" spans="1:28">
      <c r="A161" s="59"/>
      <c r="B161" s="281"/>
      <c r="C161" s="281"/>
      <c r="D161" s="1157"/>
      <c r="E161" s="286"/>
      <c r="F161" s="282"/>
      <c r="G161" s="282"/>
      <c r="H161" s="282"/>
      <c r="I161" s="282"/>
      <c r="J161" s="282"/>
      <c r="K161" s="282"/>
      <c r="L161" s="281"/>
      <c r="M161" s="282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</row>
    <row r="162" spans="1:28">
      <c r="A162" s="59"/>
      <c r="B162" s="281"/>
      <c r="C162" s="281"/>
      <c r="D162" s="1157"/>
      <c r="E162" s="286"/>
      <c r="F162" s="282"/>
      <c r="G162" s="282"/>
      <c r="H162" s="282"/>
      <c r="I162" s="282"/>
      <c r="J162" s="282"/>
      <c r="K162" s="282"/>
      <c r="L162" s="281"/>
      <c r="M162" s="282"/>
    </row>
    <row r="163" spans="1:28">
      <c r="A163" s="59"/>
      <c r="B163" s="281"/>
      <c r="C163" s="281"/>
      <c r="D163" s="1157"/>
      <c r="E163" s="281"/>
      <c r="F163" s="282"/>
      <c r="G163" s="282"/>
      <c r="H163" s="282"/>
      <c r="I163" s="282"/>
      <c r="J163" s="282"/>
      <c r="K163" s="282"/>
      <c r="L163" s="281"/>
      <c r="M163" s="282"/>
    </row>
    <row r="164" spans="1:28">
      <c r="A164" s="59"/>
      <c r="B164" s="281"/>
      <c r="C164" s="281"/>
      <c r="D164" s="1157"/>
      <c r="E164" s="286"/>
      <c r="F164" s="282"/>
      <c r="G164" s="282"/>
      <c r="H164" s="282"/>
      <c r="I164" s="282"/>
      <c r="J164" s="282"/>
      <c r="K164" s="282"/>
      <c r="L164" s="281"/>
      <c r="M164" s="282"/>
    </row>
    <row r="165" spans="1:28">
      <c r="A165" s="59"/>
      <c r="B165" s="281"/>
      <c r="C165" s="281"/>
      <c r="D165" s="1157"/>
      <c r="E165" s="286"/>
      <c r="F165" s="282"/>
      <c r="G165" s="282"/>
      <c r="H165" s="282"/>
      <c r="I165" s="282"/>
      <c r="J165" s="282"/>
      <c r="K165" s="282"/>
      <c r="L165" s="281"/>
      <c r="M165" s="282"/>
    </row>
    <row r="166" spans="1:28">
      <c r="A166" s="59"/>
      <c r="B166" s="281"/>
      <c r="C166" s="281"/>
      <c r="D166" s="1157"/>
      <c r="E166" s="281"/>
      <c r="F166" s="282"/>
      <c r="G166" s="282"/>
      <c r="H166" s="282"/>
      <c r="I166" s="282"/>
      <c r="J166" s="282"/>
      <c r="K166" s="282"/>
      <c r="L166" s="281"/>
      <c r="M166" s="282"/>
    </row>
    <row r="167" spans="1:28">
      <c r="A167" s="59"/>
      <c r="B167" s="281"/>
      <c r="C167" s="281"/>
      <c r="D167" s="1157"/>
      <c r="E167" s="286"/>
      <c r="F167" s="282"/>
      <c r="G167" s="282"/>
      <c r="H167" s="282"/>
      <c r="I167" s="282"/>
      <c r="J167" s="282"/>
      <c r="K167" s="282"/>
      <c r="L167" s="281"/>
      <c r="M167" s="282"/>
    </row>
    <row r="168" spans="1:28">
      <c r="A168" s="59"/>
      <c r="B168" s="281"/>
      <c r="C168" s="281"/>
      <c r="D168" s="1157"/>
      <c r="E168" s="286"/>
      <c r="F168" s="282"/>
      <c r="G168" s="282"/>
      <c r="H168" s="282"/>
      <c r="I168" s="282"/>
      <c r="J168" s="282"/>
      <c r="K168" s="282"/>
      <c r="L168" s="281"/>
      <c r="M168" s="282"/>
    </row>
    <row r="169" spans="1:28">
      <c r="A169" s="59"/>
      <c r="B169" s="281"/>
      <c r="C169" s="281"/>
      <c r="D169" s="1157"/>
      <c r="E169" s="281"/>
      <c r="F169" s="282"/>
      <c r="G169" s="282"/>
      <c r="H169" s="282"/>
      <c r="I169" s="282"/>
      <c r="J169" s="282"/>
      <c r="K169" s="282"/>
      <c r="L169" s="281"/>
      <c r="M169" s="282"/>
    </row>
    <row r="170" spans="1:28">
      <c r="A170" s="59"/>
      <c r="B170" s="281"/>
      <c r="C170" s="281"/>
      <c r="D170" s="1157"/>
      <c r="E170" s="286"/>
      <c r="F170" s="282"/>
      <c r="G170" s="282"/>
      <c r="H170" s="282"/>
      <c r="I170" s="282"/>
      <c r="J170" s="282"/>
      <c r="K170" s="282"/>
      <c r="L170" s="281"/>
      <c r="M170" s="282"/>
    </row>
    <row r="171" spans="1:28">
      <c r="A171" s="59"/>
      <c r="B171" s="281"/>
      <c r="C171" s="287"/>
      <c r="D171" s="1156"/>
      <c r="E171" s="287"/>
      <c r="F171" s="283"/>
      <c r="G171" s="283"/>
      <c r="H171" s="283"/>
      <c r="I171" s="283"/>
      <c r="J171" s="283"/>
      <c r="K171" s="283"/>
      <c r="L171" s="283"/>
      <c r="M171" s="283"/>
    </row>
    <row r="172" spans="1:28">
      <c r="A172" s="59"/>
      <c r="B172" s="281"/>
      <c r="C172" s="281"/>
      <c r="D172" s="1157"/>
      <c r="E172" s="281"/>
      <c r="F172" s="282"/>
      <c r="G172" s="282"/>
      <c r="H172" s="282"/>
      <c r="I172" s="282"/>
      <c r="J172" s="282"/>
      <c r="K172" s="282"/>
      <c r="L172" s="281"/>
      <c r="M172" s="282"/>
    </row>
    <row r="173" spans="1:28">
      <c r="A173" s="59"/>
      <c r="B173" s="281"/>
      <c r="C173" s="281"/>
      <c r="D173" s="1157"/>
      <c r="E173" s="286"/>
      <c r="F173" s="282"/>
      <c r="G173" s="282"/>
      <c r="H173" s="282"/>
      <c r="I173" s="282"/>
      <c r="J173" s="282"/>
      <c r="K173" s="282"/>
      <c r="L173" s="281"/>
      <c r="M173" s="282"/>
    </row>
    <row r="174" spans="1:28">
      <c r="A174" s="59"/>
      <c r="B174" s="281"/>
      <c r="C174" s="281"/>
      <c r="D174" s="1157"/>
      <c r="E174" s="281"/>
      <c r="F174" s="282"/>
      <c r="G174" s="282"/>
      <c r="H174" s="282"/>
      <c r="I174" s="282"/>
      <c r="J174" s="282"/>
      <c r="K174" s="282"/>
      <c r="L174" s="281"/>
      <c r="M174" s="282"/>
      <c r="P174" s="152"/>
      <c r="Q174" s="153"/>
      <c r="R174" s="154"/>
      <c r="S174" s="154"/>
      <c r="T174" s="154"/>
      <c r="U174" s="154"/>
      <c r="V174" s="154"/>
      <c r="W174" s="154"/>
      <c r="X174" s="152"/>
      <c r="Y174" s="59"/>
      <c r="Z174" s="59"/>
      <c r="AA174" s="59"/>
      <c r="AB174" s="59"/>
    </row>
    <row r="175" spans="1:28">
      <c r="A175" s="59"/>
      <c r="B175" s="281"/>
      <c r="C175" s="281"/>
      <c r="D175" s="1157"/>
      <c r="E175" s="286"/>
      <c r="F175" s="282"/>
      <c r="G175" s="282"/>
      <c r="H175" s="282"/>
      <c r="I175" s="282"/>
      <c r="J175" s="282"/>
      <c r="K175" s="282"/>
      <c r="L175" s="281"/>
      <c r="M175" s="282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</row>
    <row r="176" spans="1:28">
      <c r="A176" s="59"/>
      <c r="B176" s="281"/>
      <c r="C176" s="281"/>
      <c r="D176" s="1157"/>
      <c r="E176" s="281"/>
      <c r="F176" s="282"/>
      <c r="G176" s="282"/>
      <c r="H176" s="282"/>
      <c r="I176" s="282"/>
      <c r="J176" s="282"/>
      <c r="K176" s="282"/>
      <c r="L176" s="281"/>
      <c r="M176" s="282"/>
    </row>
    <row r="177" spans="1:13">
      <c r="A177" s="59"/>
      <c r="B177" s="281"/>
      <c r="C177" s="281"/>
      <c r="D177" s="1157"/>
      <c r="E177" s="286"/>
      <c r="F177" s="282"/>
      <c r="G177" s="282"/>
      <c r="H177" s="282"/>
      <c r="I177" s="282"/>
      <c r="J177" s="282"/>
      <c r="K177" s="282"/>
      <c r="L177" s="281"/>
      <c r="M177" s="282"/>
    </row>
    <row r="178" spans="1:13">
      <c r="A178" s="59"/>
      <c r="B178" s="281"/>
      <c r="C178" s="281"/>
      <c r="D178" s="1157"/>
      <c r="E178" s="281"/>
      <c r="F178" s="282"/>
      <c r="G178" s="282"/>
      <c r="H178" s="282"/>
      <c r="I178" s="282"/>
      <c r="J178" s="282"/>
      <c r="K178" s="282"/>
      <c r="L178" s="281"/>
      <c r="M178" s="282"/>
    </row>
    <row r="179" spans="1:13">
      <c r="A179" s="59"/>
      <c r="B179" s="281"/>
      <c r="C179" s="281"/>
      <c r="D179" s="1157"/>
      <c r="E179" s="286"/>
      <c r="F179" s="282"/>
      <c r="G179" s="282"/>
      <c r="H179" s="282"/>
      <c r="I179" s="282"/>
      <c r="J179" s="282"/>
      <c r="K179" s="282"/>
      <c r="L179" s="281"/>
      <c r="M179" s="282"/>
    </row>
    <row r="180" spans="1:13">
      <c r="A180" s="59"/>
      <c r="B180" s="281"/>
      <c r="C180" s="281"/>
      <c r="D180" s="1157"/>
      <c r="E180" s="281"/>
      <c r="F180" s="282"/>
      <c r="G180" s="282"/>
      <c r="H180" s="282"/>
      <c r="I180" s="282"/>
      <c r="J180" s="282"/>
      <c r="K180" s="282"/>
      <c r="L180" s="281"/>
      <c r="M180" s="282"/>
    </row>
    <row r="181" spans="1:13">
      <c r="A181" s="59"/>
      <c r="B181" s="281"/>
      <c r="C181" s="281"/>
      <c r="D181" s="1157"/>
      <c r="E181" s="286"/>
      <c r="F181" s="282"/>
      <c r="G181" s="282"/>
      <c r="H181" s="282"/>
      <c r="I181" s="282"/>
      <c r="J181" s="282"/>
      <c r="K181" s="282"/>
      <c r="L181" s="281"/>
      <c r="M181" s="282"/>
    </row>
    <row r="182" spans="1:13">
      <c r="A182" s="59"/>
      <c r="B182" s="281"/>
      <c r="C182" s="281"/>
      <c r="D182" s="1157"/>
      <c r="E182" s="281"/>
      <c r="F182" s="282"/>
      <c r="G182" s="282"/>
      <c r="H182" s="282"/>
      <c r="I182" s="282"/>
      <c r="J182" s="282"/>
      <c r="K182" s="282"/>
      <c r="L182" s="281"/>
      <c r="M182" s="282"/>
    </row>
    <row r="183" spans="1:13">
      <c r="A183" s="59"/>
      <c r="B183" s="281"/>
      <c r="C183" s="281"/>
      <c r="D183" s="1157"/>
      <c r="E183" s="286"/>
      <c r="F183" s="282"/>
      <c r="G183" s="282"/>
      <c r="H183" s="282"/>
      <c r="I183" s="282"/>
      <c r="J183" s="282"/>
      <c r="K183" s="282"/>
      <c r="L183" s="281"/>
      <c r="M183" s="282"/>
    </row>
    <row r="184" spans="1:13">
      <c r="A184" s="59"/>
      <c r="B184" s="281"/>
      <c r="C184" s="281"/>
      <c r="D184" s="1157"/>
      <c r="E184" s="281"/>
      <c r="F184" s="282"/>
      <c r="G184" s="282"/>
      <c r="H184" s="282"/>
      <c r="I184" s="282"/>
      <c r="J184" s="282"/>
      <c r="K184" s="282"/>
      <c r="L184" s="281"/>
      <c r="M184" s="282"/>
    </row>
    <row r="185" spans="1:13">
      <c r="A185" s="59"/>
      <c r="B185" s="281"/>
      <c r="C185" s="281"/>
      <c r="D185" s="1157"/>
      <c r="E185" s="286"/>
      <c r="F185" s="282"/>
      <c r="G185" s="282"/>
      <c r="H185" s="282"/>
      <c r="I185" s="282"/>
      <c r="J185" s="282"/>
      <c r="K185" s="282"/>
      <c r="L185" s="281"/>
      <c r="M185" s="282"/>
    </row>
    <row r="186" spans="1:13">
      <c r="A186" s="59"/>
      <c r="B186" s="281"/>
      <c r="C186" s="281"/>
      <c r="D186" s="1157"/>
      <c r="E186" s="281"/>
      <c r="F186" s="282"/>
      <c r="G186" s="282"/>
      <c r="H186" s="282"/>
      <c r="I186" s="282"/>
      <c r="J186" s="282"/>
      <c r="K186" s="282"/>
      <c r="L186" s="281"/>
      <c r="M186" s="282"/>
    </row>
    <row r="187" spans="1:13">
      <c r="A187" s="59"/>
      <c r="B187" s="281"/>
      <c r="C187" s="281"/>
      <c r="D187" s="1157"/>
      <c r="E187" s="286"/>
      <c r="F187" s="282"/>
      <c r="G187" s="282"/>
      <c r="H187" s="282"/>
      <c r="I187" s="282"/>
      <c r="J187" s="282"/>
      <c r="K187" s="282"/>
      <c r="L187" s="281"/>
      <c r="M187" s="282"/>
    </row>
    <row r="188" spans="1:13">
      <c r="A188" s="59"/>
      <c r="B188" s="281"/>
      <c r="C188" s="281"/>
      <c r="D188" s="1157"/>
      <c r="E188" s="281"/>
      <c r="F188" s="282"/>
      <c r="G188" s="282"/>
      <c r="H188" s="282"/>
      <c r="I188" s="282"/>
      <c r="J188" s="282"/>
      <c r="K188" s="282"/>
      <c r="L188" s="281"/>
      <c r="M188" s="282"/>
    </row>
    <row r="189" spans="1:13">
      <c r="A189" s="59"/>
      <c r="B189" s="281"/>
      <c r="C189" s="281"/>
      <c r="D189" s="1157"/>
      <c r="E189" s="286"/>
      <c r="F189" s="282"/>
      <c r="G189" s="282"/>
      <c r="H189" s="282"/>
      <c r="I189" s="282"/>
      <c r="J189" s="282"/>
      <c r="K189" s="282"/>
      <c r="L189" s="281"/>
      <c r="M189" s="282"/>
    </row>
    <row r="190" spans="1:13">
      <c r="A190" s="59"/>
      <c r="B190" s="281"/>
      <c r="C190" s="281"/>
      <c r="D190" s="1157"/>
      <c r="E190" s="281"/>
      <c r="F190" s="282"/>
      <c r="G190" s="282"/>
      <c r="H190" s="282"/>
      <c r="I190" s="282"/>
      <c r="J190" s="282"/>
      <c r="K190" s="282"/>
      <c r="L190" s="281"/>
      <c r="M190" s="282"/>
    </row>
    <row r="191" spans="1:13">
      <c r="A191" s="59"/>
      <c r="B191" s="281"/>
      <c r="C191" s="287"/>
      <c r="D191" s="1156"/>
      <c r="E191" s="287"/>
      <c r="F191" s="283"/>
      <c r="G191" s="283"/>
      <c r="H191" s="283"/>
      <c r="I191" s="283"/>
      <c r="J191" s="283"/>
      <c r="K191" s="283"/>
      <c r="L191" s="283"/>
      <c r="M191" s="283"/>
    </row>
    <row r="192" spans="1:13">
      <c r="A192" s="59"/>
      <c r="B192" s="59"/>
      <c r="C192" s="59"/>
      <c r="D192" s="1148"/>
      <c r="E192" s="59"/>
      <c r="F192" s="59"/>
      <c r="G192" s="59"/>
      <c r="H192" s="59"/>
      <c r="I192" s="59"/>
      <c r="J192" s="59"/>
      <c r="K192" s="59"/>
      <c r="L192" s="59"/>
      <c r="M192" s="59"/>
    </row>
    <row r="193" spans="1:13">
      <c r="A193" s="59"/>
      <c r="B193" s="59"/>
      <c r="C193" s="59"/>
      <c r="D193" s="1148"/>
      <c r="E193" s="59"/>
      <c r="F193" s="59"/>
      <c r="G193" s="59"/>
      <c r="H193" s="59"/>
      <c r="I193" s="59"/>
      <c r="J193" s="59"/>
      <c r="K193" s="59"/>
      <c r="L193" s="59"/>
      <c r="M193" s="59"/>
    </row>
    <row r="194" spans="1:13">
      <c r="A194" s="59"/>
      <c r="B194" s="59"/>
      <c r="C194" s="59"/>
      <c r="D194" s="1148"/>
      <c r="E194" s="59"/>
      <c r="F194" s="59"/>
      <c r="G194" s="59"/>
      <c r="H194" s="59"/>
      <c r="I194" s="59"/>
      <c r="J194" s="59"/>
      <c r="K194" s="59"/>
      <c r="L194" s="59"/>
      <c r="M194" s="59"/>
    </row>
    <row r="195" spans="1:13">
      <c r="A195" s="59"/>
      <c r="B195" s="59"/>
      <c r="C195" s="59"/>
      <c r="D195" s="1148"/>
      <c r="E195" s="59"/>
      <c r="F195" s="59"/>
      <c r="G195" s="59"/>
      <c r="H195" s="59"/>
      <c r="I195" s="59"/>
      <c r="J195" s="59"/>
      <c r="K195" s="59"/>
      <c r="L195" s="59"/>
      <c r="M195" s="59"/>
    </row>
    <row r="196" spans="1:13">
      <c r="A196" s="59"/>
      <c r="B196" s="59"/>
      <c r="C196" s="59"/>
      <c r="D196" s="1148"/>
      <c r="E196" s="59"/>
      <c r="F196" s="59"/>
      <c r="G196" s="59"/>
      <c r="H196" s="59"/>
      <c r="I196" s="59"/>
      <c r="J196" s="59"/>
      <c r="K196" s="59"/>
      <c r="L196" s="59"/>
      <c r="M196" s="59"/>
    </row>
    <row r="197" spans="1:13">
      <c r="A197" s="59"/>
      <c r="B197" s="59"/>
      <c r="C197" s="59"/>
      <c r="D197" s="1148"/>
      <c r="E197" s="59"/>
      <c r="F197" s="59"/>
      <c r="G197" s="59"/>
      <c r="H197" s="59"/>
      <c r="I197" s="59"/>
      <c r="J197" s="59"/>
      <c r="K197" s="59"/>
      <c r="L197" s="59"/>
      <c r="M197" s="59"/>
    </row>
    <row r="198" spans="1:13">
      <c r="A198" s="59"/>
      <c r="B198" s="59"/>
      <c r="C198" s="59"/>
      <c r="D198" s="1148"/>
      <c r="E198" s="59"/>
      <c r="F198" s="59"/>
      <c r="G198" s="59"/>
      <c r="H198" s="59"/>
      <c r="I198" s="59"/>
      <c r="J198" s="59"/>
      <c r="K198" s="59"/>
      <c r="L198" s="59"/>
      <c r="M198" s="59"/>
    </row>
    <row r="199" spans="1:13">
      <c r="A199" s="59"/>
      <c r="B199" s="59"/>
      <c r="C199" s="59"/>
      <c r="D199" s="1148"/>
      <c r="E199" s="59"/>
      <c r="F199" s="59"/>
      <c r="G199" s="59"/>
      <c r="H199" s="59"/>
      <c r="I199" s="59"/>
      <c r="J199" s="59"/>
      <c r="K199" s="59"/>
      <c r="L199" s="59"/>
      <c r="M199" s="59"/>
    </row>
    <row r="200" spans="1:13">
      <c r="A200" s="59"/>
      <c r="B200" s="59"/>
      <c r="C200" s="59"/>
      <c r="D200" s="1148"/>
      <c r="E200" s="59"/>
      <c r="F200" s="59"/>
      <c r="G200" s="59"/>
      <c r="H200" s="59"/>
      <c r="I200" s="59"/>
      <c r="J200" s="59"/>
      <c r="K200" s="59"/>
      <c r="L200" s="59"/>
      <c r="M200" s="59"/>
    </row>
    <row r="201" spans="1:13">
      <c r="A201" s="59"/>
      <c r="B201" s="59"/>
      <c r="C201" s="59"/>
      <c r="D201" s="1148"/>
      <c r="E201" s="59"/>
      <c r="F201" s="59"/>
      <c r="G201" s="59"/>
      <c r="H201" s="59"/>
      <c r="I201" s="59"/>
      <c r="J201" s="59"/>
      <c r="K201" s="59"/>
      <c r="L201" s="59"/>
      <c r="M201" s="59"/>
    </row>
  </sheetData>
  <mergeCells count="42">
    <mergeCell ref="C53:E53"/>
    <mergeCell ref="C59:E59"/>
    <mergeCell ref="C68:E68"/>
    <mergeCell ref="C71:E71"/>
    <mergeCell ref="C31:E31"/>
    <mergeCell ref="C38:E38"/>
    <mergeCell ref="C44:E44"/>
    <mergeCell ref="C46:E46"/>
    <mergeCell ref="C48:E48"/>
    <mergeCell ref="X6:X7"/>
    <mergeCell ref="T6:T7"/>
    <mergeCell ref="B6:K6"/>
    <mergeCell ref="B12:B13"/>
    <mergeCell ref="X30:X31"/>
    <mergeCell ref="N22:O22"/>
    <mergeCell ref="V6:V7"/>
    <mergeCell ref="W6:W7"/>
    <mergeCell ref="N20:O20"/>
    <mergeCell ref="N21:O21"/>
    <mergeCell ref="W30:W31"/>
    <mergeCell ref="U30:U31"/>
    <mergeCell ref="V30:V31"/>
    <mergeCell ref="O23:P23"/>
    <mergeCell ref="O24:P24"/>
    <mergeCell ref="O25:P25"/>
    <mergeCell ref="A4:B4"/>
    <mergeCell ref="N6:N7"/>
    <mergeCell ref="O6:O7"/>
    <mergeCell ref="O29:P29"/>
    <mergeCell ref="O26:P26"/>
    <mergeCell ref="O27:P27"/>
    <mergeCell ref="O28:P28"/>
    <mergeCell ref="C18:E18"/>
    <mergeCell ref="C24:E24"/>
    <mergeCell ref="C28:E28"/>
    <mergeCell ref="N53:P53"/>
    <mergeCell ref="N30:P31"/>
    <mergeCell ref="N37:N38"/>
    <mergeCell ref="S30:S31"/>
    <mergeCell ref="T30:T31"/>
    <mergeCell ref="Q30:Q31"/>
    <mergeCell ref="R30:R31"/>
  </mergeCells>
  <phoneticPr fontId="4" type="noConversion"/>
  <pageMargins left="0" right="0" top="0" bottom="0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7030A0"/>
  </sheetPr>
  <dimension ref="A1:O539"/>
  <sheetViews>
    <sheetView workbookViewId="0">
      <selection activeCell="O6" sqref="O6"/>
    </sheetView>
  </sheetViews>
  <sheetFormatPr defaultRowHeight="11.25"/>
  <cols>
    <col min="1" max="1" width="6.7109375" style="117" customWidth="1"/>
    <col min="2" max="2" width="12.42578125" style="117" customWidth="1"/>
    <col min="3" max="3" width="11.85546875" style="117" bestFit="1" customWidth="1"/>
    <col min="4" max="16384" width="9.140625" style="117"/>
  </cols>
  <sheetData>
    <row r="1" spans="1:14" ht="12.75">
      <c r="A1" s="545"/>
      <c r="B1"/>
      <c r="C1"/>
      <c r="D1"/>
      <c r="E1"/>
      <c r="F1"/>
      <c r="G1"/>
      <c r="H1"/>
      <c r="I1"/>
      <c r="J1"/>
      <c r="K1"/>
    </row>
    <row r="2" spans="1:14" ht="14.25">
      <c r="A2" s="545"/>
      <c r="B2" s="10"/>
      <c r="C2" s="1562"/>
      <c r="D2" s="1562"/>
      <c r="E2" s="1562"/>
      <c r="F2" s="1562"/>
      <c r="G2" s="1562"/>
      <c r="H2" s="1562"/>
      <c r="I2"/>
      <c r="J2"/>
      <c r="K2"/>
    </row>
    <row r="3" spans="1:14" ht="14.25">
      <c r="A3" s="287"/>
      <c r="B3" s="10"/>
      <c r="C3" s="1562"/>
      <c r="D3" s="1562"/>
      <c r="E3" s="1562"/>
      <c r="F3" s="1562"/>
      <c r="G3" s="1562"/>
      <c r="H3" s="1562"/>
      <c r="I3"/>
      <c r="J3"/>
      <c r="K3"/>
    </row>
    <row r="4" spans="1:14" ht="36" customHeight="1">
      <c r="A4" s="122"/>
      <c r="B4" s="547"/>
      <c r="C4" s="548" t="s">
        <v>652</v>
      </c>
      <c r="D4" s="548"/>
      <c r="E4" s="548"/>
      <c r="F4" s="548"/>
      <c r="G4" s="548"/>
      <c r="H4" s="548"/>
      <c r="I4" s="548"/>
      <c r="J4" s="547"/>
      <c r="K4" s="547"/>
      <c r="L4" s="547"/>
      <c r="M4" s="547"/>
      <c r="N4" s="547"/>
    </row>
    <row r="5" spans="1:14" ht="13.5" customHeight="1">
      <c r="A5" s="122"/>
      <c r="B5" s="122"/>
      <c r="C5" s="122"/>
      <c r="D5" s="122"/>
      <c r="E5" s="122"/>
      <c r="F5" s="549" t="s">
        <v>132</v>
      </c>
      <c r="G5" s="550"/>
      <c r="H5" s="550">
        <v>2012</v>
      </c>
      <c r="I5" s="547"/>
      <c r="J5" s="547"/>
      <c r="K5" s="547"/>
      <c r="L5" s="547"/>
      <c r="M5" s="547"/>
      <c r="N5" s="547"/>
    </row>
    <row r="6" spans="1:14" ht="18.75" customHeight="1">
      <c r="A6" s="547"/>
      <c r="B6" s="547"/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</row>
    <row r="7" spans="1:14">
      <c r="A7" s="547"/>
      <c r="B7" s="550"/>
      <c r="C7" s="550"/>
      <c r="D7" s="550"/>
      <c r="E7" s="550"/>
      <c r="F7" s="550"/>
      <c r="G7" s="550"/>
      <c r="H7" s="550"/>
      <c r="I7" s="550"/>
      <c r="J7" s="550"/>
      <c r="K7" s="550"/>
      <c r="L7" s="547"/>
      <c r="M7" s="547"/>
      <c r="N7" s="547"/>
    </row>
    <row r="8" spans="1:14" ht="12" thickBot="1">
      <c r="A8" s="547"/>
      <c r="B8" s="550"/>
      <c r="C8" s="550"/>
      <c r="D8" s="550"/>
      <c r="E8" s="550"/>
      <c r="F8" s="550"/>
      <c r="G8" s="550"/>
      <c r="H8" s="550"/>
      <c r="I8" s="550"/>
      <c r="J8" s="550"/>
      <c r="K8" s="550"/>
      <c r="L8" s="547"/>
      <c r="M8" s="547"/>
      <c r="N8" s="547"/>
    </row>
    <row r="9" spans="1:14">
      <c r="A9" s="551" t="s">
        <v>185</v>
      </c>
      <c r="B9" s="552"/>
      <c r="C9" s="1563" t="s">
        <v>653</v>
      </c>
      <c r="D9" s="1564"/>
      <c r="E9" s="1563" t="s">
        <v>186</v>
      </c>
      <c r="F9" s="1565"/>
      <c r="G9" s="1565"/>
      <c r="H9" s="1564"/>
      <c r="I9" s="552" t="s">
        <v>187</v>
      </c>
      <c r="J9" s="552" t="s">
        <v>188</v>
      </c>
      <c r="K9" s="552" t="s">
        <v>189</v>
      </c>
      <c r="L9" s="553"/>
      <c r="M9" s="1240"/>
      <c r="N9" s="1556" t="s">
        <v>654</v>
      </c>
    </row>
    <row r="10" spans="1:14">
      <c r="A10" s="554"/>
      <c r="B10" s="555" t="s">
        <v>190</v>
      </c>
      <c r="C10" s="556" t="s">
        <v>191</v>
      </c>
      <c r="D10" s="556" t="s">
        <v>655</v>
      </c>
      <c r="E10" s="1559" t="s">
        <v>192</v>
      </c>
      <c r="F10" s="1560"/>
      <c r="G10" s="1560"/>
      <c r="H10" s="1561"/>
      <c r="I10" s="555" t="s">
        <v>656</v>
      </c>
      <c r="J10" s="555" t="s">
        <v>193</v>
      </c>
      <c r="K10" s="555" t="s">
        <v>194</v>
      </c>
      <c r="L10" s="557" t="s">
        <v>657</v>
      </c>
      <c r="M10" s="557" t="s">
        <v>657</v>
      </c>
      <c r="N10" s="1557"/>
    </row>
    <row r="11" spans="1:14" ht="11.25" customHeight="1">
      <c r="A11" s="554"/>
      <c r="B11" s="555"/>
      <c r="C11" s="555"/>
      <c r="D11" s="555" t="s">
        <v>658</v>
      </c>
      <c r="E11" s="555" t="s">
        <v>659</v>
      </c>
      <c r="F11" s="555" t="s">
        <v>660</v>
      </c>
      <c r="G11" s="557" t="s">
        <v>661</v>
      </c>
      <c r="H11" s="556" t="s">
        <v>207</v>
      </c>
      <c r="I11" s="555" t="s">
        <v>662</v>
      </c>
      <c r="J11" s="555"/>
      <c r="K11" s="555" t="s">
        <v>663</v>
      </c>
      <c r="L11" s="557" t="s">
        <v>208</v>
      </c>
      <c r="M11" s="557" t="s">
        <v>1251</v>
      </c>
      <c r="N11" s="1557"/>
    </row>
    <row r="12" spans="1:14" ht="15.75" customHeight="1" thickBot="1">
      <c r="A12" s="554"/>
      <c r="B12" s="555"/>
      <c r="C12" s="555"/>
      <c r="D12" s="555" t="s">
        <v>664</v>
      </c>
      <c r="E12" s="555"/>
      <c r="F12" s="555"/>
      <c r="G12" s="557"/>
      <c r="H12" s="555"/>
      <c r="I12" s="555" t="s">
        <v>665</v>
      </c>
      <c r="J12" s="555"/>
      <c r="K12" s="555"/>
      <c r="L12" s="557"/>
      <c r="M12" s="557"/>
      <c r="N12" s="1558"/>
    </row>
    <row r="13" spans="1:14" ht="15.75" customHeight="1">
      <c r="A13" s="558">
        <v>1</v>
      </c>
      <c r="B13" s="559" t="s">
        <v>195</v>
      </c>
      <c r="C13" s="559">
        <v>734700</v>
      </c>
      <c r="D13" s="559">
        <f>+C13</f>
        <v>734700</v>
      </c>
      <c r="E13" s="559">
        <f>+F13+G13</f>
        <v>180001.5</v>
      </c>
      <c r="F13" s="559">
        <f>+D13*0.15</f>
        <v>110205</v>
      </c>
      <c r="G13" s="559">
        <f>+D13*0.095</f>
        <v>69796.5</v>
      </c>
      <c r="H13" s="559"/>
      <c r="I13" s="559">
        <f>+D13*0.034</f>
        <v>24979.800000000003</v>
      </c>
      <c r="J13" s="559">
        <f>+C13</f>
        <v>734700</v>
      </c>
      <c r="K13" s="559">
        <v>61470</v>
      </c>
      <c r="L13" s="559">
        <f>C13-G13-I13/2-K13</f>
        <v>590943.6</v>
      </c>
      <c r="M13" s="728">
        <v>590942</v>
      </c>
      <c r="N13" s="743">
        <v>21</v>
      </c>
    </row>
    <row r="14" spans="1:14" ht="12" customHeight="1">
      <c r="A14" s="124">
        <v>2</v>
      </c>
      <c r="B14" s="121" t="s">
        <v>666</v>
      </c>
      <c r="C14" s="121">
        <v>737973</v>
      </c>
      <c r="D14" s="121">
        <f t="shared" ref="D14:D25" si="0">+C14</f>
        <v>737973</v>
      </c>
      <c r="E14" s="121">
        <f t="shared" ref="E14:E25" si="1">+F14+G14</f>
        <v>180803.38500000001</v>
      </c>
      <c r="F14" s="121">
        <f t="shared" ref="F14:F25" si="2">+D14*0.15</f>
        <v>110695.95</v>
      </c>
      <c r="G14" s="121">
        <f t="shared" ref="G14:G25" si="3">+D14*0.095</f>
        <v>70107.434999999998</v>
      </c>
      <c r="H14" s="121"/>
      <c r="I14" s="121">
        <f t="shared" ref="I14:I25" si="4">+D14*0.034</f>
        <v>25091.082000000002</v>
      </c>
      <c r="J14" s="121">
        <f t="shared" ref="J14:J25" si="5">+C14</f>
        <v>737973</v>
      </c>
      <c r="K14" s="121">
        <v>60888</v>
      </c>
      <c r="L14" s="121">
        <f t="shared" ref="L14:L25" si="6">C14-G14-I14/2-K14</f>
        <v>594432.02399999998</v>
      </c>
      <c r="M14" s="462">
        <v>574182</v>
      </c>
      <c r="N14" s="125">
        <v>21</v>
      </c>
    </row>
    <row r="15" spans="1:14">
      <c r="A15" s="124">
        <v>3</v>
      </c>
      <c r="B15" s="121" t="s">
        <v>196</v>
      </c>
      <c r="C15" s="121">
        <v>641900</v>
      </c>
      <c r="D15" s="121">
        <f t="shared" si="0"/>
        <v>641900</v>
      </c>
      <c r="E15" s="121">
        <f t="shared" si="1"/>
        <v>157265.5</v>
      </c>
      <c r="F15" s="121">
        <f t="shared" si="2"/>
        <v>96285</v>
      </c>
      <c r="G15" s="121">
        <f t="shared" si="3"/>
        <v>60980.5</v>
      </c>
      <c r="H15" s="121"/>
      <c r="I15" s="121">
        <f t="shared" si="4"/>
        <v>21824.600000000002</v>
      </c>
      <c r="J15" s="121">
        <f t="shared" si="5"/>
        <v>641900</v>
      </c>
      <c r="K15" s="121">
        <v>49190</v>
      </c>
      <c r="L15" s="121">
        <f t="shared" si="6"/>
        <v>520817.19999999995</v>
      </c>
      <c r="M15" s="462">
        <v>521338</v>
      </c>
      <c r="N15" s="125">
        <v>21</v>
      </c>
    </row>
    <row r="16" spans="1:14">
      <c r="A16" s="124">
        <v>4</v>
      </c>
      <c r="B16" s="121" t="s">
        <v>197</v>
      </c>
      <c r="C16" s="121">
        <v>643100</v>
      </c>
      <c r="D16" s="121">
        <f t="shared" si="0"/>
        <v>643100</v>
      </c>
      <c r="E16" s="121">
        <f t="shared" si="1"/>
        <v>157559.5</v>
      </c>
      <c r="F16" s="121">
        <f t="shared" si="2"/>
        <v>96465</v>
      </c>
      <c r="G16" s="121">
        <f t="shared" si="3"/>
        <v>61094.5</v>
      </c>
      <c r="H16" s="121"/>
      <c r="I16" s="121">
        <f t="shared" si="4"/>
        <v>21865.4</v>
      </c>
      <c r="J16" s="121">
        <f t="shared" si="5"/>
        <v>643100</v>
      </c>
      <c r="K16" s="121">
        <v>51310</v>
      </c>
      <c r="L16" s="121">
        <f t="shared" si="6"/>
        <v>519762.80000000005</v>
      </c>
      <c r="M16" s="462">
        <f>+-94560+452934</f>
        <v>358374</v>
      </c>
      <c r="N16" s="125">
        <v>19</v>
      </c>
    </row>
    <row r="17" spans="1:14">
      <c r="A17" s="124">
        <v>5</v>
      </c>
      <c r="B17" s="121" t="s">
        <v>198</v>
      </c>
      <c r="C17" s="121">
        <v>643100</v>
      </c>
      <c r="D17" s="121">
        <f t="shared" si="0"/>
        <v>643100</v>
      </c>
      <c r="E17" s="121">
        <f t="shared" si="1"/>
        <v>157559.5</v>
      </c>
      <c r="F17" s="121">
        <f t="shared" si="2"/>
        <v>96465</v>
      </c>
      <c r="G17" s="121">
        <f t="shared" si="3"/>
        <v>61094.5</v>
      </c>
      <c r="H17" s="121"/>
      <c r="I17" s="121">
        <f t="shared" si="4"/>
        <v>21865.4</v>
      </c>
      <c r="J17" s="121">
        <f t="shared" si="5"/>
        <v>643100</v>
      </c>
      <c r="K17" s="121">
        <v>51310</v>
      </c>
      <c r="L17" s="121">
        <f t="shared" si="6"/>
        <v>519762.80000000005</v>
      </c>
      <c r="M17" s="462">
        <v>474972</v>
      </c>
      <c r="N17" s="125">
        <v>19</v>
      </c>
    </row>
    <row r="18" spans="1:14">
      <c r="A18" s="124">
        <v>6</v>
      </c>
      <c r="B18" s="121" t="s">
        <v>199</v>
      </c>
      <c r="C18" s="121">
        <v>643100</v>
      </c>
      <c r="D18" s="121">
        <f t="shared" si="0"/>
        <v>643100</v>
      </c>
      <c r="E18" s="121">
        <f t="shared" si="1"/>
        <v>157559.5</v>
      </c>
      <c r="F18" s="121">
        <f t="shared" si="2"/>
        <v>96465</v>
      </c>
      <c r="G18" s="121">
        <f t="shared" si="3"/>
        <v>61094.5</v>
      </c>
      <c r="H18" s="121"/>
      <c r="I18" s="121">
        <f t="shared" si="4"/>
        <v>21865.4</v>
      </c>
      <c r="J18" s="121">
        <f t="shared" si="5"/>
        <v>643100</v>
      </c>
      <c r="K18" s="121">
        <v>51310</v>
      </c>
      <c r="L18" s="121">
        <f t="shared" si="6"/>
        <v>519762.80000000005</v>
      </c>
      <c r="M18" s="462">
        <v>491180</v>
      </c>
      <c r="N18" s="125">
        <v>19</v>
      </c>
    </row>
    <row r="19" spans="1:14">
      <c r="A19" s="124">
        <v>7</v>
      </c>
      <c r="B19" s="121" t="s">
        <v>200</v>
      </c>
      <c r="C19" s="121">
        <v>645100</v>
      </c>
      <c r="D19" s="121">
        <f t="shared" si="0"/>
        <v>645100</v>
      </c>
      <c r="E19" s="121">
        <f t="shared" si="1"/>
        <v>158049.5</v>
      </c>
      <c r="F19" s="121">
        <f t="shared" si="2"/>
        <v>96765</v>
      </c>
      <c r="G19" s="121">
        <f t="shared" si="3"/>
        <v>61284.5</v>
      </c>
      <c r="H19" s="121"/>
      <c r="I19" s="121">
        <f t="shared" si="4"/>
        <v>21933.4</v>
      </c>
      <c r="J19" s="121">
        <f t="shared" si="5"/>
        <v>645100</v>
      </c>
      <c r="K19" s="121">
        <v>51510</v>
      </c>
      <c r="L19" s="121">
        <f t="shared" si="6"/>
        <v>521338.80000000005</v>
      </c>
      <c r="M19" s="462">
        <v>519762</v>
      </c>
      <c r="N19" s="125">
        <v>19</v>
      </c>
    </row>
    <row r="20" spans="1:14">
      <c r="A20" s="124">
        <v>8</v>
      </c>
      <c r="B20" s="121" t="s">
        <v>201</v>
      </c>
      <c r="C20" s="121">
        <v>579827</v>
      </c>
      <c r="D20" s="121">
        <f t="shared" si="0"/>
        <v>579827</v>
      </c>
      <c r="E20" s="121">
        <f t="shared" si="1"/>
        <v>142057.61499999999</v>
      </c>
      <c r="F20" s="121">
        <f t="shared" si="2"/>
        <v>86974.05</v>
      </c>
      <c r="G20" s="121">
        <f t="shared" si="3"/>
        <v>55083.565000000002</v>
      </c>
      <c r="H20" s="121"/>
      <c r="I20" s="121">
        <f t="shared" si="4"/>
        <v>19714.118000000002</v>
      </c>
      <c r="J20" s="121">
        <f t="shared" si="5"/>
        <v>579827</v>
      </c>
      <c r="K20" s="121">
        <v>46983</v>
      </c>
      <c r="L20" s="121">
        <f t="shared" si="6"/>
        <v>467903.37600000005</v>
      </c>
      <c r="M20" s="462">
        <v>452934</v>
      </c>
      <c r="N20" s="125">
        <v>17</v>
      </c>
    </row>
    <row r="21" spans="1:14">
      <c r="A21" s="124">
        <v>9</v>
      </c>
      <c r="B21" s="121" t="s">
        <v>202</v>
      </c>
      <c r="C21" s="121">
        <v>565645</v>
      </c>
      <c r="D21" s="121">
        <f t="shared" si="0"/>
        <v>565645</v>
      </c>
      <c r="E21" s="121">
        <f t="shared" si="1"/>
        <v>138583.02499999999</v>
      </c>
      <c r="F21" s="121">
        <f t="shared" si="2"/>
        <v>84846.75</v>
      </c>
      <c r="G21" s="121">
        <f t="shared" si="3"/>
        <v>53736.275000000001</v>
      </c>
      <c r="H21" s="121"/>
      <c r="I21" s="121">
        <f t="shared" si="4"/>
        <v>19231.93</v>
      </c>
      <c r="J21" s="121">
        <f t="shared" si="5"/>
        <v>565645</v>
      </c>
      <c r="K21" s="121">
        <v>46210</v>
      </c>
      <c r="L21" s="121">
        <f t="shared" si="6"/>
        <v>456082.75999999995</v>
      </c>
      <c r="M21" s="462">
        <v>102626</v>
      </c>
      <c r="N21" s="125">
        <v>17</v>
      </c>
    </row>
    <row r="22" spans="1:14">
      <c r="A22" s="124">
        <v>10</v>
      </c>
      <c r="B22" s="121" t="s">
        <v>203</v>
      </c>
      <c r="C22" s="121">
        <v>586918</v>
      </c>
      <c r="D22" s="121">
        <f t="shared" si="0"/>
        <v>586918</v>
      </c>
      <c r="E22" s="121">
        <f t="shared" si="1"/>
        <v>143794.91</v>
      </c>
      <c r="F22" s="121">
        <f t="shared" si="2"/>
        <v>88037.7</v>
      </c>
      <c r="G22" s="121">
        <f t="shared" si="3"/>
        <v>55757.21</v>
      </c>
      <c r="H22" s="121"/>
      <c r="I22" s="121">
        <f t="shared" si="4"/>
        <v>19955.212000000003</v>
      </c>
      <c r="J22" s="121">
        <f t="shared" si="5"/>
        <v>586918</v>
      </c>
      <c r="K22" s="121">
        <v>46210</v>
      </c>
      <c r="L22" s="121">
        <f t="shared" si="6"/>
        <v>474973.18400000001</v>
      </c>
      <c r="M22" s="462">
        <v>325230</v>
      </c>
      <c r="N22" s="125">
        <v>20</v>
      </c>
    </row>
    <row r="23" spans="1:14">
      <c r="A23" s="124">
        <v>11</v>
      </c>
      <c r="B23" s="121" t="s">
        <v>204</v>
      </c>
      <c r="C23" s="121">
        <v>635100</v>
      </c>
      <c r="D23" s="121">
        <f t="shared" si="0"/>
        <v>635100</v>
      </c>
      <c r="E23" s="121">
        <f t="shared" si="1"/>
        <v>155599.5</v>
      </c>
      <c r="F23" s="121">
        <f t="shared" si="2"/>
        <v>95265</v>
      </c>
      <c r="G23" s="121">
        <f t="shared" si="3"/>
        <v>60334.5</v>
      </c>
      <c r="H23" s="121"/>
      <c r="I23" s="121">
        <f t="shared" si="4"/>
        <v>21593.4</v>
      </c>
      <c r="J23" s="121">
        <f t="shared" si="5"/>
        <v>635100</v>
      </c>
      <c r="K23" s="121">
        <v>50510</v>
      </c>
      <c r="L23" s="121">
        <f t="shared" si="6"/>
        <v>513458.80000000005</v>
      </c>
      <c r="M23" s="462">
        <v>488242</v>
      </c>
      <c r="N23" s="125">
        <v>20</v>
      </c>
    </row>
    <row r="24" spans="1:14">
      <c r="A24" s="124">
        <v>12</v>
      </c>
      <c r="B24" s="121" t="s">
        <v>205</v>
      </c>
      <c r="C24" s="121">
        <v>635100</v>
      </c>
      <c r="D24" s="121">
        <f t="shared" si="0"/>
        <v>635100</v>
      </c>
      <c r="E24" s="121">
        <f t="shared" si="1"/>
        <v>155599.5</v>
      </c>
      <c r="F24" s="121">
        <f t="shared" si="2"/>
        <v>95265</v>
      </c>
      <c r="G24" s="121">
        <f t="shared" si="3"/>
        <v>60334.5</v>
      </c>
      <c r="H24" s="121"/>
      <c r="I24" s="121">
        <f t="shared" si="4"/>
        <v>21593.4</v>
      </c>
      <c r="J24" s="121">
        <f t="shared" si="5"/>
        <v>635100</v>
      </c>
      <c r="K24" s="121">
        <v>50510</v>
      </c>
      <c r="L24" s="121">
        <f t="shared" si="6"/>
        <v>513458.80000000005</v>
      </c>
      <c r="M24" s="462">
        <v>513458</v>
      </c>
      <c r="N24" s="125">
        <v>20</v>
      </c>
    </row>
    <row r="25" spans="1:14">
      <c r="A25" s="124">
        <v>13</v>
      </c>
      <c r="B25" s="1117"/>
      <c r="C25" s="1117"/>
      <c r="D25" s="1117">
        <f t="shared" si="0"/>
        <v>0</v>
      </c>
      <c r="E25" s="1117">
        <f t="shared" si="1"/>
        <v>0</v>
      </c>
      <c r="F25" s="1117">
        <f t="shared" si="2"/>
        <v>0</v>
      </c>
      <c r="G25" s="1117">
        <f t="shared" si="3"/>
        <v>0</v>
      </c>
      <c r="H25" s="1117"/>
      <c r="I25" s="1117">
        <f t="shared" si="4"/>
        <v>0</v>
      </c>
      <c r="J25" s="1117">
        <f t="shared" si="5"/>
        <v>0</v>
      </c>
      <c r="K25" s="1117"/>
      <c r="L25" s="1117">
        <f t="shared" si="6"/>
        <v>0</v>
      </c>
      <c r="M25" s="1241">
        <v>488242</v>
      </c>
      <c r="N25" s="1118"/>
    </row>
    <row r="26" spans="1:14" ht="12" thickBot="1">
      <c r="A26" s="753">
        <v>14</v>
      </c>
      <c r="B26" s="754"/>
      <c r="C26" s="754"/>
      <c r="D26" s="754"/>
      <c r="E26" s="754"/>
      <c r="F26" s="754"/>
      <c r="G26" s="754"/>
      <c r="H26" s="754"/>
      <c r="I26" s="754"/>
      <c r="J26" s="754"/>
      <c r="K26" s="754"/>
      <c r="L26" s="754">
        <f t="shared" ref="L26" si="7">C26-G26-I26/2-K26</f>
        <v>0</v>
      </c>
      <c r="M26" s="1242">
        <v>170061</v>
      </c>
      <c r="N26" s="748"/>
    </row>
    <row r="27" spans="1:14" ht="12" thickBot="1">
      <c r="A27" s="1127">
        <v>15</v>
      </c>
      <c r="B27" s="1128" t="s">
        <v>206</v>
      </c>
      <c r="C27" s="1128">
        <f>SUM(C13:C26)</f>
        <v>7691563</v>
      </c>
      <c r="D27" s="1128">
        <f t="shared" ref="D27:N27" si="8">SUM(D13:D26)</f>
        <v>7691563</v>
      </c>
      <c r="E27" s="1128">
        <f t="shared" si="8"/>
        <v>1884432.9349999998</v>
      </c>
      <c r="F27" s="1128">
        <f t="shared" si="8"/>
        <v>1153734.45</v>
      </c>
      <c r="G27" s="1128">
        <f t="shared" si="8"/>
        <v>730698.48499999999</v>
      </c>
      <c r="H27" s="1128">
        <f t="shared" si="8"/>
        <v>0</v>
      </c>
      <c r="I27" s="1128">
        <f t="shared" si="8"/>
        <v>261513.14199999999</v>
      </c>
      <c r="J27" s="1128">
        <f t="shared" si="8"/>
        <v>7691563</v>
      </c>
      <c r="K27" s="1128">
        <f t="shared" si="8"/>
        <v>617411</v>
      </c>
      <c r="L27" s="1129">
        <f t="shared" si="8"/>
        <v>6212696.9439999992</v>
      </c>
      <c r="M27" s="1129">
        <f>SUM(M13:M26)</f>
        <v>6071543</v>
      </c>
      <c r="N27" s="1129">
        <f t="shared" si="8"/>
        <v>233</v>
      </c>
    </row>
    <row r="28" spans="1:14">
      <c r="A28" s="547"/>
      <c r="B28" s="547"/>
      <c r="C28" s="547"/>
      <c r="D28" s="547"/>
      <c r="E28" s="547"/>
      <c r="F28" s="547"/>
      <c r="G28" s="547"/>
      <c r="H28" s="547"/>
      <c r="I28" s="547"/>
      <c r="J28" s="547"/>
      <c r="K28" s="547"/>
      <c r="L28" s="547"/>
      <c r="M28" s="547"/>
      <c r="N28" s="547"/>
    </row>
    <row r="29" spans="1:14">
      <c r="A29" s="547"/>
      <c r="B29" s="547"/>
      <c r="C29" s="560">
        <f>C27-C28</f>
        <v>7691563</v>
      </c>
      <c r="D29" s="1243"/>
      <c r="E29" s="560">
        <f t="shared" ref="E29:K29" si="9">E27-E28</f>
        <v>1884432.9349999998</v>
      </c>
      <c r="F29" s="560">
        <f t="shared" si="9"/>
        <v>1153734.45</v>
      </c>
      <c r="G29" s="560">
        <f t="shared" si="9"/>
        <v>730698.48499999999</v>
      </c>
      <c r="H29" s="560">
        <f t="shared" si="9"/>
        <v>0</v>
      </c>
      <c r="I29" s="560">
        <f t="shared" si="9"/>
        <v>261513.14199999999</v>
      </c>
      <c r="J29" s="1243"/>
      <c r="K29" s="560">
        <f t="shared" si="9"/>
        <v>617411</v>
      </c>
      <c r="L29" s="547"/>
      <c r="M29" s="547"/>
      <c r="N29" s="547"/>
    </row>
    <row r="30" spans="1:14">
      <c r="A30" s="547"/>
      <c r="B30" s="547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</row>
    <row r="31" spans="1:14" ht="12.75">
      <c r="A31"/>
      <c r="B31"/>
      <c r="C31"/>
      <c r="D31"/>
      <c r="E31"/>
      <c r="F31"/>
      <c r="G31"/>
      <c r="H31"/>
      <c r="I31"/>
      <c r="J31"/>
      <c r="K31"/>
    </row>
    <row r="32" spans="1:14" ht="12.75">
      <c r="A32"/>
      <c r="B32"/>
      <c r="C32" s="700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</row>
    <row r="33" spans="1:15" ht="12.75">
      <c r="A33"/>
      <c r="B33"/>
      <c r="C33"/>
      <c r="D33"/>
      <c r="E33"/>
      <c r="F33"/>
      <c r="G33"/>
      <c r="H33"/>
      <c r="I33"/>
      <c r="J33"/>
      <c r="K33"/>
    </row>
    <row r="34" spans="1:15" ht="12.75">
      <c r="A34"/>
      <c r="B34" s="1232">
        <v>16.010000000000002</v>
      </c>
      <c r="C34" s="1232" t="s">
        <v>1191</v>
      </c>
      <c r="D34" s="1232">
        <v>34012</v>
      </c>
      <c r="E34" s="43"/>
      <c r="F34" s="1232">
        <v>16.010000000000002</v>
      </c>
      <c r="G34" s="1232" t="s">
        <v>1189</v>
      </c>
      <c r="H34" s="1232">
        <v>145115</v>
      </c>
      <c r="I34" s="1"/>
      <c r="J34" s="1218">
        <v>1.02</v>
      </c>
      <c r="K34" s="1232" t="s">
        <v>1193</v>
      </c>
      <c r="L34" s="1217">
        <v>590942</v>
      </c>
      <c r="M34" s="122"/>
    </row>
    <row r="35" spans="1:15" ht="12.75">
      <c r="A35"/>
      <c r="B35" s="1238">
        <v>11.1</v>
      </c>
      <c r="C35" s="1238" t="s">
        <v>1191</v>
      </c>
      <c r="D35" s="1238">
        <v>46210</v>
      </c>
      <c r="E35" s="1231"/>
      <c r="F35" s="1238">
        <v>11.1</v>
      </c>
      <c r="G35" s="1238" t="s">
        <v>1204</v>
      </c>
      <c r="H35" s="1238">
        <v>157818</v>
      </c>
      <c r="I35" s="43"/>
      <c r="J35" s="1218">
        <v>1.03</v>
      </c>
      <c r="K35" s="1232" t="s">
        <v>657</v>
      </c>
      <c r="L35" s="1217">
        <v>574182</v>
      </c>
      <c r="M35" s="122"/>
      <c r="N35" s="547"/>
    </row>
    <row r="36" spans="1:15" ht="12.75">
      <c r="A36"/>
      <c r="B36" s="1238">
        <v>19.11</v>
      </c>
      <c r="C36" s="1238" t="s">
        <v>1191</v>
      </c>
      <c r="D36" s="1238">
        <v>46210</v>
      </c>
      <c r="E36" s="1231"/>
      <c r="F36" s="1238">
        <v>12.09</v>
      </c>
      <c r="G36" s="1238" t="s">
        <v>1194</v>
      </c>
      <c r="H36" s="1238">
        <v>161774</v>
      </c>
      <c r="I36" s="43"/>
      <c r="J36" s="1218">
        <v>1.08</v>
      </c>
      <c r="K36" s="1232" t="s">
        <v>1193</v>
      </c>
      <c r="L36" s="1217">
        <v>521338</v>
      </c>
      <c r="M36" s="122"/>
      <c r="N36" s="547"/>
      <c r="O36" s="547"/>
    </row>
    <row r="37" spans="1:15" ht="12.75">
      <c r="A37"/>
      <c r="B37" s="1238">
        <v>12.09</v>
      </c>
      <c r="C37" s="1238" t="s">
        <v>1219</v>
      </c>
      <c r="D37" s="1238">
        <v>46983</v>
      </c>
      <c r="E37" s="1231"/>
      <c r="F37" s="1238">
        <v>14.11</v>
      </c>
      <c r="G37" s="1238" t="s">
        <v>1189</v>
      </c>
      <c r="H37" s="1238">
        <v>163750</v>
      </c>
      <c r="I37" s="43"/>
      <c r="J37" s="1218">
        <v>1.1000000000000001</v>
      </c>
      <c r="K37" s="1232" t="s">
        <v>1193</v>
      </c>
      <c r="L37" s="1217">
        <v>452934</v>
      </c>
      <c r="M37" s="122"/>
      <c r="N37" s="547"/>
      <c r="O37" s="547"/>
    </row>
    <row r="38" spans="1:15" ht="12.75">
      <c r="A38"/>
      <c r="B38" s="1238">
        <v>11.04</v>
      </c>
      <c r="C38" s="1238" t="s">
        <v>1191</v>
      </c>
      <c r="D38" s="1238">
        <v>49190</v>
      </c>
      <c r="E38" s="1231"/>
      <c r="F38" s="1238">
        <v>14.12</v>
      </c>
      <c r="G38" s="1238" t="s">
        <v>1194</v>
      </c>
      <c r="H38" s="1238">
        <v>177195</v>
      </c>
      <c r="I38" s="43"/>
      <c r="J38" s="1218">
        <v>1.1100000000000001</v>
      </c>
      <c r="K38" s="1232" t="s">
        <v>1193</v>
      </c>
      <c r="L38" s="1217">
        <v>474972</v>
      </c>
      <c r="M38" s="122"/>
      <c r="N38" s="547"/>
      <c r="O38" s="547"/>
    </row>
    <row r="39" spans="1:15" ht="12.75">
      <c r="A39"/>
      <c r="B39" s="1238">
        <v>14.12</v>
      </c>
      <c r="C39" s="1238" t="s">
        <v>1191</v>
      </c>
      <c r="D39" s="1238">
        <v>50510</v>
      </c>
      <c r="E39" s="1231"/>
      <c r="F39" s="1238">
        <v>11.04</v>
      </c>
      <c r="G39" s="1238" t="s">
        <v>1204</v>
      </c>
      <c r="H39" s="1238">
        <v>179092</v>
      </c>
      <c r="I39" s="43"/>
      <c r="J39" s="1218">
        <v>2.04</v>
      </c>
      <c r="K39" s="1232" t="s">
        <v>1193</v>
      </c>
      <c r="L39" s="1217">
        <v>491180</v>
      </c>
      <c r="M39" s="122"/>
      <c r="N39" s="547"/>
      <c r="O39" s="547"/>
    </row>
    <row r="40" spans="1:15" ht="12.75">
      <c r="A40"/>
      <c r="B40" s="1238">
        <v>9.0500000000000007</v>
      </c>
      <c r="C40" s="1238" t="s">
        <v>1212</v>
      </c>
      <c r="D40" s="1238">
        <v>51310</v>
      </c>
      <c r="E40" s="1231"/>
      <c r="F40" s="1238">
        <v>9.0500000000000007</v>
      </c>
      <c r="G40" s="1238" t="s">
        <v>1194</v>
      </c>
      <c r="H40" s="1238">
        <v>179428</v>
      </c>
      <c r="I40" s="43"/>
      <c r="J40" s="1218">
        <v>2.0699999999999998</v>
      </c>
      <c r="K40" s="1232" t="s">
        <v>657</v>
      </c>
      <c r="L40" s="1217">
        <v>519762</v>
      </c>
      <c r="M40" s="122"/>
      <c r="N40" s="547"/>
      <c r="O40" s="547"/>
    </row>
    <row r="41" spans="1:15" ht="12.75">
      <c r="A41"/>
      <c r="B41" s="1233">
        <v>12.06</v>
      </c>
      <c r="C41" s="1233" t="s">
        <v>1191</v>
      </c>
      <c r="D41" s="1233">
        <v>51310</v>
      </c>
      <c r="E41" s="735"/>
      <c r="F41" s="1233">
        <v>12.06</v>
      </c>
      <c r="G41" s="1233" t="s">
        <v>1204</v>
      </c>
      <c r="H41" s="1233">
        <v>179428</v>
      </c>
      <c r="I41" s="43"/>
      <c r="J41" s="1218">
        <v>3.09</v>
      </c>
      <c r="K41" s="1232" t="s">
        <v>657</v>
      </c>
      <c r="L41" s="1217">
        <v>452934</v>
      </c>
      <c r="M41" s="122"/>
      <c r="N41" s="547"/>
      <c r="O41" s="547"/>
    </row>
    <row r="42" spans="1:15" ht="12.75">
      <c r="A42"/>
      <c r="B42" s="1233">
        <v>11.07</v>
      </c>
      <c r="C42" s="1233" t="s">
        <v>1191</v>
      </c>
      <c r="D42" s="1233">
        <v>51310</v>
      </c>
      <c r="E42" s="735"/>
      <c r="F42" s="1233">
        <v>11.07</v>
      </c>
      <c r="G42" s="1233" t="s">
        <v>1189</v>
      </c>
      <c r="H42" s="1233">
        <v>179428</v>
      </c>
      <c r="I42" s="735"/>
      <c r="J42" s="1218">
        <v>4.01</v>
      </c>
      <c r="K42" s="1232" t="s">
        <v>1199</v>
      </c>
      <c r="L42" s="1217">
        <v>102626</v>
      </c>
      <c r="M42" s="122"/>
      <c r="N42" s="547"/>
      <c r="O42" s="547"/>
    </row>
    <row r="43" spans="1:15" ht="12.75">
      <c r="A43"/>
      <c r="B43" s="1233">
        <v>13.08</v>
      </c>
      <c r="C43" s="1233" t="s">
        <v>1212</v>
      </c>
      <c r="D43" s="1233">
        <v>51510</v>
      </c>
      <c r="E43" s="735"/>
      <c r="F43" s="1233">
        <v>13.08</v>
      </c>
      <c r="G43" s="1233" t="s">
        <v>1194</v>
      </c>
      <c r="H43" s="1233">
        <v>179986</v>
      </c>
      <c r="I43" s="735"/>
      <c r="J43" s="1218">
        <v>4.01</v>
      </c>
      <c r="K43" s="1232" t="s">
        <v>657</v>
      </c>
      <c r="L43" s="1217">
        <v>325230</v>
      </c>
      <c r="M43" s="122"/>
      <c r="N43" s="547"/>
      <c r="O43" s="547"/>
    </row>
    <row r="44" spans="1:15" ht="12.75">
      <c r="A44"/>
      <c r="B44" s="1233">
        <v>15.03</v>
      </c>
      <c r="C44" s="1233" t="s">
        <v>1191</v>
      </c>
      <c r="D44" s="1233">
        <v>60888</v>
      </c>
      <c r="E44" s="735"/>
      <c r="F44" s="1233">
        <v>10.02</v>
      </c>
      <c r="G44" s="1233" t="s">
        <v>1204</v>
      </c>
      <c r="H44" s="1233">
        <v>204984</v>
      </c>
      <c r="I44" s="735"/>
      <c r="J44" s="1218">
        <v>4.05</v>
      </c>
      <c r="K44" s="1232" t="s">
        <v>1193</v>
      </c>
      <c r="L44" s="1217">
        <v>488242</v>
      </c>
      <c r="M44" s="122"/>
      <c r="N44" s="547"/>
      <c r="O44" s="547"/>
    </row>
    <row r="45" spans="1:15" ht="12.75">
      <c r="A45"/>
      <c r="B45" s="1233">
        <v>10.02</v>
      </c>
      <c r="C45" s="1233" t="s">
        <v>1191</v>
      </c>
      <c r="D45" s="1233">
        <v>61470</v>
      </c>
      <c r="E45" s="735"/>
      <c r="F45" s="1233">
        <v>15.03</v>
      </c>
      <c r="G45" s="1233" t="s">
        <v>1204</v>
      </c>
      <c r="H45" s="1233">
        <v>205897</v>
      </c>
      <c r="I45" s="735"/>
      <c r="J45" s="1218">
        <v>6.12</v>
      </c>
      <c r="K45" s="1232" t="s">
        <v>657</v>
      </c>
      <c r="L45" s="1217">
        <v>513458</v>
      </c>
      <c r="M45" s="122"/>
      <c r="N45" s="547"/>
      <c r="O45" s="547"/>
    </row>
    <row r="46" spans="1:15" ht="12.75">
      <c r="A46"/>
      <c r="B46" s="1233"/>
      <c r="C46" s="1233"/>
      <c r="D46" s="1233">
        <f>SUM(D34:D45)</f>
        <v>600913</v>
      </c>
      <c r="E46" s="735"/>
      <c r="F46" s="1233"/>
      <c r="G46" s="1233"/>
      <c r="H46" s="1233">
        <f>SUM(H34:H45)</f>
        <v>2113895</v>
      </c>
      <c r="I46" s="735"/>
      <c r="J46" s="1218">
        <v>18.04</v>
      </c>
      <c r="K46" s="1232" t="s">
        <v>1210</v>
      </c>
      <c r="L46" s="1217">
        <v>-94560</v>
      </c>
      <c r="M46" s="122"/>
      <c r="N46" s="547"/>
      <c r="O46" s="547"/>
    </row>
    <row r="47" spans="1:15" ht="12.75">
      <c r="A47"/>
      <c r="B47" s="735"/>
      <c r="C47" s="735"/>
      <c r="D47" s="1237">
        <f>+'PASIVI '!F16+T!K27-T!D46-'PASIVI '!E16</f>
        <v>0</v>
      </c>
      <c r="E47" s="735"/>
      <c r="F47" s="1233"/>
      <c r="G47" s="1233"/>
      <c r="H47" s="1239">
        <f>+E27+I27+'PASIVI '!F15-'PASIVI '!E15-T!H46</f>
        <v>-27.523000000510365</v>
      </c>
      <c r="I47" s="735"/>
      <c r="J47" s="1218">
        <v>20.059999999999999</v>
      </c>
      <c r="K47" s="1232" t="s">
        <v>657</v>
      </c>
      <c r="L47" s="1217">
        <v>170061</v>
      </c>
      <c r="M47" s="122"/>
      <c r="N47" s="547"/>
      <c r="O47" s="547"/>
    </row>
    <row r="48" spans="1:15" ht="12.75">
      <c r="A48"/>
      <c r="B48" s="735"/>
      <c r="C48" s="735"/>
      <c r="D48" s="735"/>
      <c r="E48" s="735"/>
      <c r="F48" s="735"/>
      <c r="G48" s="735"/>
      <c r="H48" s="735"/>
      <c r="I48" s="735"/>
      <c r="J48" s="108"/>
      <c r="K48" s="108"/>
      <c r="L48" s="188"/>
      <c r="M48" s="188"/>
      <c r="N48" s="547"/>
      <c r="O48" s="547"/>
    </row>
    <row r="49" spans="1:15" ht="36.75" customHeight="1">
      <c r="A49"/>
      <c r="B49" s="735"/>
      <c r="C49" s="735"/>
      <c r="D49" s="735"/>
      <c r="E49" s="735"/>
      <c r="F49" s="735"/>
      <c r="G49" s="735"/>
      <c r="H49" s="735"/>
      <c r="I49" s="735"/>
      <c r="J49" s="1229"/>
      <c r="K49" s="188"/>
      <c r="L49" s="188"/>
      <c r="M49" s="188"/>
      <c r="N49" s="547"/>
      <c r="O49" s="547"/>
    </row>
    <row r="50" spans="1:15" ht="13.5" customHeight="1">
      <c r="A50"/>
      <c r="B50"/>
      <c r="C50"/>
      <c r="D50"/>
      <c r="E50"/>
      <c r="F50"/>
      <c r="G50"/>
      <c r="H50"/>
      <c r="I50" s="735"/>
      <c r="J50" s="1229"/>
      <c r="K50" s="188"/>
      <c r="L50" s="188"/>
      <c r="M50" s="188"/>
      <c r="N50" s="547"/>
      <c r="O50" s="547"/>
    </row>
    <row r="51" spans="1:15" ht="18.75" customHeight="1">
      <c r="A51"/>
      <c r="B51"/>
      <c r="C51"/>
      <c r="D51"/>
      <c r="E51"/>
      <c r="F51"/>
      <c r="G51"/>
      <c r="H51"/>
      <c r="I51"/>
      <c r="J51" s="91"/>
      <c r="K51" s="91"/>
      <c r="L51" s="1230"/>
      <c r="M51" s="1230"/>
      <c r="O51" s="547"/>
    </row>
    <row r="52" spans="1:15" ht="12.75">
      <c r="A52"/>
      <c r="B52"/>
      <c r="C52"/>
      <c r="D52"/>
      <c r="E52"/>
      <c r="F52"/>
      <c r="G52"/>
      <c r="H52"/>
      <c r="I52"/>
      <c r="J52"/>
      <c r="K52"/>
    </row>
    <row r="53" spans="1:15" ht="12.75">
      <c r="A53"/>
      <c r="B53"/>
      <c r="C53"/>
      <c r="D53"/>
      <c r="E53"/>
      <c r="F53"/>
      <c r="G53"/>
      <c r="H53"/>
      <c r="I53"/>
      <c r="J53"/>
      <c r="K53"/>
    </row>
    <row r="54" spans="1:15" ht="12.75">
      <c r="A54"/>
      <c r="B54"/>
      <c r="C54"/>
      <c r="D54"/>
      <c r="E54"/>
      <c r="F54"/>
      <c r="G54"/>
      <c r="H54"/>
      <c r="I54"/>
      <c r="J54"/>
      <c r="K54"/>
    </row>
    <row r="55" spans="1:15" ht="12.75">
      <c r="A55"/>
      <c r="B55"/>
      <c r="C55"/>
      <c r="D55"/>
      <c r="E55"/>
      <c r="F55"/>
      <c r="G55"/>
      <c r="H55"/>
      <c r="I55"/>
      <c r="J55"/>
      <c r="K55"/>
    </row>
    <row r="56" spans="1:15" ht="12.75">
      <c r="A56"/>
      <c r="B56"/>
      <c r="C56"/>
      <c r="D56"/>
      <c r="E56"/>
      <c r="F56"/>
      <c r="G56"/>
      <c r="H56"/>
      <c r="I56"/>
      <c r="J56"/>
      <c r="K56"/>
    </row>
    <row r="57" spans="1:15" ht="12.75">
      <c r="A57"/>
      <c r="B57"/>
      <c r="C57"/>
      <c r="D57"/>
      <c r="E57"/>
      <c r="F57"/>
      <c r="G57"/>
      <c r="H57"/>
      <c r="I57"/>
      <c r="J57"/>
      <c r="K57"/>
    </row>
    <row r="58" spans="1:15" ht="12.75">
      <c r="A58"/>
      <c r="B58"/>
      <c r="C58"/>
      <c r="D58"/>
      <c r="E58"/>
      <c r="F58"/>
      <c r="G58"/>
      <c r="H58"/>
      <c r="I58"/>
      <c r="J58"/>
      <c r="K58"/>
    </row>
    <row r="59" spans="1:15" ht="12.75">
      <c r="A59"/>
      <c r="B59"/>
      <c r="C59"/>
      <c r="D59"/>
      <c r="E59"/>
      <c r="F59"/>
      <c r="G59"/>
      <c r="H59"/>
      <c r="I59"/>
      <c r="J59"/>
      <c r="K59"/>
    </row>
    <row r="60" spans="1:15" ht="12.75">
      <c r="A60"/>
      <c r="B60"/>
      <c r="C60"/>
      <c r="D60"/>
      <c r="E60"/>
      <c r="F60"/>
      <c r="G60"/>
      <c r="H60"/>
      <c r="I60"/>
      <c r="J60"/>
      <c r="K60"/>
    </row>
    <row r="61" spans="1:15" ht="12.75">
      <c r="A61"/>
      <c r="B61"/>
      <c r="C61"/>
      <c r="D61"/>
      <c r="E61"/>
      <c r="F61"/>
      <c r="G61"/>
      <c r="H61"/>
      <c r="I61"/>
      <c r="J61"/>
      <c r="K61"/>
    </row>
    <row r="62" spans="1:15" ht="12.75">
      <c r="A62"/>
      <c r="B62"/>
      <c r="C62"/>
      <c r="D62"/>
      <c r="E62"/>
      <c r="F62"/>
      <c r="G62"/>
      <c r="H62"/>
      <c r="I62"/>
      <c r="J62"/>
      <c r="K62"/>
    </row>
    <row r="63" spans="1:15" ht="12.75">
      <c r="A63"/>
      <c r="B63"/>
      <c r="C63"/>
      <c r="D63"/>
      <c r="E63"/>
      <c r="F63"/>
      <c r="G63"/>
      <c r="H63"/>
      <c r="I63"/>
      <c r="J63"/>
      <c r="K63"/>
    </row>
    <row r="64" spans="1:15" ht="12.75">
      <c r="A64"/>
      <c r="B64"/>
      <c r="C64"/>
      <c r="D64"/>
      <c r="E64"/>
      <c r="F64"/>
      <c r="G64"/>
      <c r="H64"/>
      <c r="I64"/>
      <c r="J64"/>
      <c r="K64"/>
    </row>
    <row r="65" spans="1:11" ht="12.75">
      <c r="A65"/>
      <c r="B65"/>
      <c r="C65"/>
      <c r="D65"/>
      <c r="E65"/>
      <c r="F65"/>
      <c r="G65"/>
      <c r="H65"/>
      <c r="I65"/>
      <c r="J65"/>
      <c r="K65"/>
    </row>
    <row r="66" spans="1:11" ht="12.75">
      <c r="A66"/>
      <c r="B66"/>
      <c r="C66"/>
      <c r="D66"/>
      <c r="E66"/>
      <c r="F66"/>
      <c r="G66"/>
      <c r="H66"/>
      <c r="I66"/>
      <c r="J66"/>
      <c r="K66"/>
    </row>
    <row r="67" spans="1:11" ht="12.75">
      <c r="A67"/>
      <c r="B67"/>
      <c r="C67"/>
      <c r="D67"/>
      <c r="E67"/>
      <c r="F67"/>
      <c r="G67"/>
      <c r="H67"/>
      <c r="I67"/>
      <c r="J67"/>
      <c r="K67"/>
    </row>
    <row r="68" spans="1:11" ht="12.75">
      <c r="A68"/>
      <c r="B68"/>
      <c r="C68"/>
      <c r="D68"/>
      <c r="E68"/>
      <c r="F68"/>
      <c r="G68"/>
      <c r="H68"/>
      <c r="I68"/>
      <c r="J68"/>
      <c r="K68"/>
    </row>
    <row r="69" spans="1:11" ht="12.75">
      <c r="A69"/>
      <c r="B69"/>
      <c r="C69"/>
      <c r="D69"/>
      <c r="E69"/>
      <c r="F69"/>
      <c r="G69"/>
      <c r="H69"/>
      <c r="I69"/>
      <c r="J69"/>
      <c r="K69"/>
    </row>
    <row r="70" spans="1:11" ht="12.75">
      <c r="A70"/>
      <c r="B70"/>
      <c r="C70"/>
      <c r="D70"/>
      <c r="E70"/>
      <c r="F70"/>
      <c r="G70"/>
      <c r="H70"/>
      <c r="I70"/>
      <c r="J70"/>
      <c r="K70"/>
    </row>
    <row r="71" spans="1:11" ht="12.75">
      <c r="A71"/>
      <c r="B71"/>
      <c r="C71"/>
      <c r="D71"/>
      <c r="E71"/>
      <c r="F71"/>
      <c r="G71"/>
      <c r="H71"/>
      <c r="I71"/>
      <c r="J71"/>
      <c r="K71"/>
    </row>
    <row r="72" spans="1:11" ht="12.75">
      <c r="A72"/>
      <c r="B72"/>
      <c r="C72"/>
      <c r="D72"/>
      <c r="E72"/>
      <c r="F72"/>
      <c r="G72"/>
      <c r="H72"/>
      <c r="I72"/>
      <c r="J72"/>
      <c r="K72"/>
    </row>
    <row r="73" spans="1:11" ht="12.75">
      <c r="A73"/>
      <c r="B73"/>
      <c r="C73"/>
      <c r="D73"/>
      <c r="E73"/>
      <c r="F73"/>
      <c r="G73"/>
      <c r="H73"/>
      <c r="I73"/>
      <c r="J73"/>
      <c r="K73"/>
    </row>
    <row r="74" spans="1:11" ht="12.75">
      <c r="A74"/>
      <c r="B74"/>
      <c r="C74"/>
      <c r="D74"/>
      <c r="E74"/>
      <c r="F74"/>
      <c r="G74"/>
      <c r="H74"/>
      <c r="I74"/>
      <c r="J74"/>
      <c r="K74"/>
    </row>
    <row r="75" spans="1:11" ht="12.75">
      <c r="A75"/>
      <c r="B75"/>
      <c r="C75"/>
      <c r="D75"/>
      <c r="E75"/>
      <c r="F75"/>
      <c r="G75"/>
      <c r="H75"/>
      <c r="I75"/>
      <c r="J75"/>
      <c r="K75"/>
    </row>
    <row r="76" spans="1:11" ht="12.75">
      <c r="A76"/>
      <c r="B76"/>
      <c r="C76"/>
      <c r="D76"/>
      <c r="E76"/>
      <c r="F76"/>
      <c r="G76"/>
      <c r="H76"/>
      <c r="I76"/>
      <c r="J76"/>
      <c r="K76"/>
    </row>
    <row r="77" spans="1:11" ht="12.75">
      <c r="A77"/>
      <c r="B77"/>
      <c r="C77"/>
      <c r="D77"/>
      <c r="E77"/>
      <c r="F77"/>
      <c r="G77"/>
      <c r="H77"/>
      <c r="I77"/>
      <c r="J77"/>
      <c r="K77"/>
    </row>
    <row r="78" spans="1:11" ht="12.75">
      <c r="A78"/>
      <c r="B78"/>
      <c r="C78"/>
      <c r="D78"/>
      <c r="E78"/>
      <c r="F78"/>
      <c r="G78"/>
      <c r="H78"/>
      <c r="I78"/>
      <c r="J78"/>
      <c r="K78"/>
    </row>
    <row r="79" spans="1:11" ht="12.75">
      <c r="A79"/>
      <c r="B79"/>
      <c r="C79"/>
      <c r="D79"/>
      <c r="E79"/>
      <c r="F79"/>
      <c r="G79"/>
      <c r="H79"/>
      <c r="I79"/>
      <c r="J79"/>
      <c r="K79"/>
    </row>
    <row r="80" spans="1:11" ht="12.75">
      <c r="A80"/>
      <c r="B80"/>
      <c r="C80"/>
      <c r="D80"/>
      <c r="E80"/>
      <c r="F80"/>
      <c r="G80"/>
      <c r="H80"/>
      <c r="I80"/>
      <c r="J80"/>
      <c r="K80"/>
    </row>
    <row r="81" spans="1:11" ht="12.75">
      <c r="A81"/>
      <c r="B81"/>
      <c r="C81"/>
      <c r="D81"/>
      <c r="E81"/>
      <c r="F81"/>
      <c r="G81"/>
      <c r="H81"/>
      <c r="I81"/>
      <c r="J81"/>
      <c r="K81"/>
    </row>
    <row r="82" spans="1:11" ht="12.75">
      <c r="A82"/>
      <c r="B82"/>
      <c r="C82"/>
      <c r="D82"/>
      <c r="E82"/>
      <c r="F82"/>
      <c r="G82"/>
      <c r="H82"/>
      <c r="I82"/>
      <c r="J82"/>
      <c r="K82"/>
    </row>
    <row r="83" spans="1:11" ht="12.75">
      <c r="A83"/>
      <c r="B83"/>
      <c r="C83"/>
      <c r="D83"/>
      <c r="E83"/>
      <c r="F83"/>
      <c r="G83"/>
      <c r="H83"/>
      <c r="I83"/>
      <c r="J83"/>
      <c r="K83"/>
    </row>
    <row r="84" spans="1:11" ht="12.75">
      <c r="A84"/>
      <c r="B84"/>
      <c r="C84"/>
      <c r="D84"/>
      <c r="E84"/>
      <c r="F84"/>
      <c r="G84"/>
      <c r="H84"/>
      <c r="I84"/>
      <c r="J84"/>
      <c r="K84"/>
    </row>
    <row r="85" spans="1:11" ht="12.75">
      <c r="A85"/>
      <c r="B85"/>
      <c r="C85"/>
      <c r="D85"/>
      <c r="E85"/>
      <c r="F85"/>
      <c r="G85"/>
      <c r="H85"/>
      <c r="I85"/>
      <c r="J85"/>
      <c r="K85"/>
    </row>
    <row r="86" spans="1:11" ht="12.75">
      <c r="A86"/>
      <c r="B86"/>
      <c r="C86"/>
      <c r="D86"/>
      <c r="E86"/>
      <c r="F86"/>
      <c r="G86"/>
      <c r="H86"/>
      <c r="I86"/>
      <c r="J86"/>
      <c r="K86"/>
    </row>
    <row r="87" spans="1:11" ht="12.75">
      <c r="A87"/>
      <c r="B87"/>
      <c r="C87"/>
      <c r="D87"/>
      <c r="E87"/>
      <c r="F87"/>
      <c r="G87"/>
      <c r="H87"/>
      <c r="I87"/>
      <c r="J87"/>
      <c r="K87"/>
    </row>
    <row r="88" spans="1:11" ht="12.75">
      <c r="A88"/>
      <c r="B88"/>
      <c r="C88"/>
      <c r="D88"/>
      <c r="E88"/>
      <c r="F88"/>
      <c r="G88"/>
      <c r="H88"/>
      <c r="I88"/>
      <c r="J88"/>
      <c r="K88"/>
    </row>
    <row r="89" spans="1:11" ht="12.75">
      <c r="A89"/>
      <c r="B89"/>
      <c r="C89"/>
      <c r="D89"/>
      <c r="E89"/>
      <c r="F89"/>
      <c r="G89"/>
      <c r="H89"/>
      <c r="I89"/>
      <c r="J89"/>
      <c r="K89"/>
    </row>
    <row r="90" spans="1:11" ht="12.75">
      <c r="A90"/>
      <c r="B90"/>
      <c r="C90"/>
      <c r="D90"/>
      <c r="E90"/>
      <c r="F90"/>
      <c r="G90"/>
      <c r="H90"/>
      <c r="I90"/>
      <c r="J90"/>
      <c r="K90"/>
    </row>
    <row r="91" spans="1:11" ht="12.75">
      <c r="A91"/>
      <c r="B91"/>
      <c r="C91"/>
      <c r="D91"/>
      <c r="E91"/>
      <c r="F91"/>
      <c r="G91"/>
      <c r="H91"/>
      <c r="I91"/>
      <c r="J91"/>
      <c r="K91"/>
    </row>
    <row r="92" spans="1:11" ht="12.75">
      <c r="A92"/>
      <c r="B92"/>
      <c r="C92"/>
      <c r="D92"/>
      <c r="E92"/>
      <c r="F92"/>
      <c r="G92"/>
      <c r="H92"/>
      <c r="I92"/>
      <c r="J92"/>
      <c r="K92"/>
    </row>
    <row r="93" spans="1:11" ht="36.75" customHeight="1">
      <c r="A93"/>
      <c r="B93"/>
      <c r="C93"/>
      <c r="D93"/>
      <c r="E93"/>
      <c r="F93"/>
      <c r="G93"/>
      <c r="H93"/>
      <c r="I93"/>
      <c r="J93"/>
      <c r="K93"/>
    </row>
    <row r="94" spans="1:11" ht="13.5" customHeight="1">
      <c r="A94"/>
      <c r="B94"/>
      <c r="C94"/>
      <c r="D94"/>
      <c r="E94"/>
      <c r="F94"/>
      <c r="G94"/>
      <c r="H94"/>
      <c r="I94"/>
      <c r="J94"/>
      <c r="K94"/>
    </row>
    <row r="95" spans="1:11" ht="18.75" customHeight="1">
      <c r="A95"/>
      <c r="B95"/>
      <c r="C95"/>
      <c r="D95"/>
      <c r="E95"/>
      <c r="F95"/>
      <c r="G95"/>
      <c r="H95"/>
      <c r="I95"/>
      <c r="J95"/>
      <c r="K95"/>
    </row>
    <row r="96" spans="1:11" ht="12.75">
      <c r="A96"/>
      <c r="B96"/>
      <c r="C96"/>
      <c r="D96"/>
      <c r="E96"/>
      <c r="F96"/>
      <c r="G96"/>
      <c r="H96"/>
      <c r="I96"/>
      <c r="J96"/>
      <c r="K96"/>
    </row>
    <row r="97" spans="1:11" ht="12.75">
      <c r="A97"/>
      <c r="B97"/>
      <c r="C97"/>
      <c r="D97"/>
      <c r="E97"/>
      <c r="F97"/>
      <c r="G97"/>
      <c r="H97"/>
      <c r="I97"/>
      <c r="J97"/>
      <c r="K97"/>
    </row>
    <row r="98" spans="1:11" ht="12.75">
      <c r="A98"/>
      <c r="B98"/>
      <c r="C98"/>
      <c r="D98"/>
      <c r="E98"/>
      <c r="F98"/>
      <c r="G98"/>
      <c r="H98"/>
      <c r="I98"/>
      <c r="J98"/>
      <c r="K98"/>
    </row>
    <row r="99" spans="1:11" ht="12.75">
      <c r="A99"/>
      <c r="B99"/>
      <c r="C99"/>
      <c r="D99"/>
      <c r="E99"/>
      <c r="F99"/>
      <c r="G99"/>
      <c r="H99"/>
      <c r="I99"/>
      <c r="J99"/>
      <c r="K99"/>
    </row>
    <row r="100" spans="1:11" ht="12.75">
      <c r="A100"/>
      <c r="B100"/>
      <c r="C100"/>
      <c r="D100"/>
      <c r="E100"/>
      <c r="F100"/>
      <c r="G100"/>
      <c r="H100"/>
      <c r="I100"/>
      <c r="J100"/>
      <c r="K100"/>
    </row>
    <row r="101" spans="1:11" ht="12.75">
      <c r="A101"/>
      <c r="B101"/>
      <c r="C101"/>
      <c r="D101"/>
      <c r="E101"/>
      <c r="F101"/>
      <c r="G101"/>
      <c r="H101"/>
      <c r="I101"/>
      <c r="J101"/>
      <c r="K101"/>
    </row>
    <row r="102" spans="1:11" ht="12.75">
      <c r="A102"/>
      <c r="B102"/>
      <c r="C102"/>
      <c r="D102"/>
      <c r="E102"/>
      <c r="F102"/>
      <c r="G102"/>
      <c r="H102"/>
      <c r="I102"/>
      <c r="J102"/>
      <c r="K102"/>
    </row>
    <row r="103" spans="1:11" ht="12.75">
      <c r="A103"/>
      <c r="B103"/>
      <c r="C103"/>
      <c r="D103"/>
      <c r="E103"/>
      <c r="F103"/>
      <c r="G103"/>
      <c r="H103"/>
      <c r="I103"/>
      <c r="J103"/>
      <c r="K103"/>
    </row>
    <row r="104" spans="1:11" ht="12.75">
      <c r="A104"/>
      <c r="B104"/>
      <c r="C104"/>
      <c r="D104"/>
      <c r="E104"/>
      <c r="F104"/>
      <c r="G104"/>
      <c r="H104"/>
      <c r="I104"/>
      <c r="J104"/>
      <c r="K104"/>
    </row>
    <row r="105" spans="1:11" ht="12.75">
      <c r="A105"/>
      <c r="B105"/>
      <c r="C105"/>
      <c r="D105"/>
      <c r="E105"/>
      <c r="F105"/>
      <c r="G105"/>
      <c r="H105"/>
      <c r="I105"/>
      <c r="J105"/>
      <c r="K105"/>
    </row>
    <row r="106" spans="1:11" ht="12.75">
      <c r="A106"/>
      <c r="B106"/>
      <c r="C106"/>
      <c r="D106"/>
      <c r="E106"/>
      <c r="F106"/>
      <c r="G106"/>
      <c r="H106"/>
      <c r="I106"/>
      <c r="J106"/>
      <c r="K106"/>
    </row>
    <row r="107" spans="1:11" ht="12.75">
      <c r="A107"/>
      <c r="B107"/>
      <c r="C107"/>
      <c r="D107"/>
      <c r="E107"/>
      <c r="F107"/>
      <c r="G107"/>
      <c r="H107"/>
      <c r="I107"/>
      <c r="J107"/>
      <c r="K107"/>
    </row>
    <row r="108" spans="1:11" ht="12.75">
      <c r="A108"/>
      <c r="B108"/>
      <c r="C108"/>
      <c r="D108"/>
      <c r="E108"/>
      <c r="F108"/>
      <c r="G108"/>
      <c r="H108"/>
      <c r="I108"/>
      <c r="J108"/>
      <c r="K108"/>
    </row>
    <row r="109" spans="1:11" ht="12.75">
      <c r="A109"/>
      <c r="B109"/>
      <c r="C109"/>
      <c r="D109"/>
      <c r="E109"/>
      <c r="F109"/>
      <c r="G109"/>
      <c r="H109"/>
      <c r="I109"/>
      <c r="J109"/>
      <c r="K109"/>
    </row>
    <row r="110" spans="1:11" ht="12.75">
      <c r="A110"/>
      <c r="B110"/>
      <c r="C110"/>
      <c r="D110"/>
      <c r="E110"/>
      <c r="F110"/>
      <c r="G110"/>
      <c r="H110"/>
      <c r="I110"/>
      <c r="J110"/>
      <c r="K110"/>
    </row>
    <row r="111" spans="1:11" ht="12.75">
      <c r="A111"/>
      <c r="B111"/>
      <c r="C111"/>
      <c r="D111"/>
      <c r="E111"/>
      <c r="F111"/>
      <c r="G111"/>
      <c r="H111"/>
      <c r="I111"/>
      <c r="J111"/>
      <c r="K111"/>
    </row>
    <row r="112" spans="1:11" ht="12.75">
      <c r="A112"/>
      <c r="B112"/>
      <c r="C112"/>
      <c r="D112"/>
      <c r="E112"/>
      <c r="F112"/>
      <c r="G112"/>
      <c r="H112"/>
      <c r="I112"/>
      <c r="J112"/>
      <c r="K112"/>
    </row>
    <row r="113" spans="1:11" ht="12.75">
      <c r="A113"/>
      <c r="B113"/>
      <c r="C113"/>
      <c r="D113"/>
      <c r="E113"/>
      <c r="F113"/>
      <c r="G113"/>
      <c r="H113"/>
      <c r="I113"/>
      <c r="J113"/>
      <c r="K113"/>
    </row>
    <row r="114" spans="1:11" ht="12.75">
      <c r="A114"/>
      <c r="B114"/>
      <c r="C114"/>
      <c r="D114"/>
      <c r="E114"/>
      <c r="F114"/>
      <c r="G114"/>
      <c r="H114"/>
      <c r="I114"/>
      <c r="J114"/>
      <c r="K114"/>
    </row>
    <row r="115" spans="1:11" ht="12.75">
      <c r="A115"/>
      <c r="B115"/>
      <c r="C115"/>
      <c r="D115"/>
      <c r="E115"/>
      <c r="F115"/>
      <c r="G115"/>
      <c r="H115"/>
      <c r="I115"/>
      <c r="J115"/>
      <c r="K115"/>
    </row>
    <row r="116" spans="1:11" ht="12.75">
      <c r="A116"/>
      <c r="B116"/>
      <c r="C116"/>
      <c r="D116"/>
      <c r="E116"/>
      <c r="F116"/>
      <c r="G116"/>
      <c r="H116"/>
      <c r="I116"/>
      <c r="J116"/>
      <c r="K116"/>
    </row>
    <row r="117" spans="1:11" ht="12.75">
      <c r="A117"/>
      <c r="B117"/>
      <c r="C117"/>
      <c r="D117"/>
      <c r="E117"/>
      <c r="F117"/>
      <c r="G117"/>
      <c r="H117"/>
      <c r="I117"/>
      <c r="J117"/>
      <c r="K117"/>
    </row>
    <row r="118" spans="1:11" ht="12.75">
      <c r="A118"/>
      <c r="B118"/>
      <c r="C118"/>
      <c r="D118"/>
      <c r="E118"/>
      <c r="F118"/>
      <c r="G118"/>
      <c r="H118"/>
      <c r="I118"/>
      <c r="J118"/>
      <c r="K118"/>
    </row>
    <row r="119" spans="1:11" ht="12.75">
      <c r="A119"/>
      <c r="B119"/>
      <c r="C119"/>
      <c r="D119"/>
      <c r="E119"/>
      <c r="F119"/>
      <c r="G119"/>
      <c r="H119"/>
      <c r="I119"/>
      <c r="J119"/>
      <c r="K119"/>
    </row>
    <row r="120" spans="1:11" ht="12.75">
      <c r="A120"/>
      <c r="B120"/>
      <c r="C120"/>
      <c r="D120"/>
      <c r="E120"/>
      <c r="F120"/>
      <c r="G120"/>
      <c r="H120"/>
      <c r="I120"/>
      <c r="J120"/>
      <c r="K120"/>
    </row>
    <row r="121" spans="1:11" ht="12.75">
      <c r="A121"/>
      <c r="B121"/>
      <c r="C121"/>
      <c r="D121"/>
      <c r="E121"/>
      <c r="F121"/>
      <c r="G121"/>
      <c r="H121"/>
      <c r="I121"/>
      <c r="J121"/>
      <c r="K121"/>
    </row>
    <row r="122" spans="1:11" ht="12.75">
      <c r="A122"/>
      <c r="B122"/>
      <c r="C122"/>
      <c r="D122"/>
      <c r="E122"/>
      <c r="F122"/>
      <c r="G122"/>
      <c r="H122"/>
      <c r="I122"/>
      <c r="J122"/>
      <c r="K122"/>
    </row>
    <row r="123" spans="1:11" ht="12.75">
      <c r="A123"/>
      <c r="B123"/>
      <c r="C123"/>
      <c r="D123"/>
      <c r="E123"/>
      <c r="F123"/>
      <c r="G123"/>
      <c r="H123"/>
      <c r="I123"/>
      <c r="J123"/>
      <c r="K123"/>
    </row>
    <row r="124" spans="1:11" ht="12.75">
      <c r="A124"/>
      <c r="B124"/>
      <c r="C124"/>
      <c r="D124"/>
      <c r="E124"/>
      <c r="F124"/>
      <c r="G124"/>
      <c r="H124"/>
      <c r="I124"/>
      <c r="J124"/>
      <c r="K124"/>
    </row>
    <row r="125" spans="1:11" ht="12.75">
      <c r="A125"/>
      <c r="B125"/>
      <c r="C125"/>
      <c r="D125"/>
      <c r="E125"/>
      <c r="F125"/>
      <c r="G125"/>
      <c r="H125"/>
      <c r="I125"/>
      <c r="J125"/>
      <c r="K125"/>
    </row>
    <row r="126" spans="1:11" ht="12.75">
      <c r="A126"/>
      <c r="B126"/>
      <c r="C126"/>
      <c r="D126"/>
      <c r="E126"/>
      <c r="F126"/>
      <c r="G126"/>
      <c r="H126"/>
      <c r="I126"/>
      <c r="J126"/>
      <c r="K126"/>
    </row>
    <row r="127" spans="1:11" ht="12.75">
      <c r="A127"/>
      <c r="B127"/>
      <c r="C127"/>
      <c r="D127"/>
      <c r="E127"/>
      <c r="F127"/>
      <c r="G127"/>
      <c r="H127"/>
      <c r="I127"/>
      <c r="J127"/>
      <c r="K127"/>
    </row>
    <row r="128" spans="1:11" ht="12.75">
      <c r="A128"/>
      <c r="B128"/>
      <c r="C128"/>
      <c r="D128"/>
      <c r="E128"/>
      <c r="F128"/>
      <c r="G128"/>
      <c r="H128"/>
      <c r="I128"/>
      <c r="J128"/>
      <c r="K128"/>
    </row>
    <row r="129" spans="1:11" ht="12.75">
      <c r="A129"/>
      <c r="B129"/>
      <c r="C129"/>
      <c r="D129"/>
      <c r="E129"/>
      <c r="F129"/>
      <c r="G129"/>
      <c r="H129"/>
      <c r="I129"/>
      <c r="J129"/>
      <c r="K129"/>
    </row>
    <row r="130" spans="1:11" ht="12.75">
      <c r="A130"/>
      <c r="B130"/>
      <c r="C130"/>
      <c r="D130"/>
      <c r="E130"/>
      <c r="F130"/>
      <c r="G130"/>
      <c r="H130"/>
      <c r="I130"/>
      <c r="J130"/>
      <c r="K130"/>
    </row>
    <row r="131" spans="1:11" ht="12.75">
      <c r="A131"/>
      <c r="B131"/>
      <c r="C131"/>
      <c r="D131"/>
      <c r="E131"/>
      <c r="F131"/>
      <c r="G131"/>
      <c r="H131"/>
      <c r="I131"/>
      <c r="J131"/>
      <c r="K131"/>
    </row>
    <row r="132" spans="1:11" ht="12.75">
      <c r="A132"/>
      <c r="B132"/>
      <c r="C132"/>
      <c r="D132"/>
      <c r="E132"/>
      <c r="F132"/>
      <c r="G132"/>
      <c r="H132"/>
      <c r="I132"/>
      <c r="J132"/>
      <c r="K132"/>
    </row>
    <row r="133" spans="1:11" ht="12.75">
      <c r="A133"/>
      <c r="B133"/>
      <c r="C133"/>
      <c r="D133"/>
      <c r="E133"/>
      <c r="F133"/>
      <c r="G133"/>
      <c r="H133"/>
      <c r="I133"/>
      <c r="J133"/>
      <c r="K133"/>
    </row>
    <row r="134" spans="1:11" ht="12.75">
      <c r="A134"/>
      <c r="B134"/>
      <c r="C134"/>
      <c r="D134"/>
      <c r="E134"/>
      <c r="F134"/>
      <c r="G134"/>
      <c r="H134"/>
      <c r="I134"/>
      <c r="J134"/>
      <c r="K134"/>
    </row>
    <row r="135" spans="1:11" ht="12.75">
      <c r="A135"/>
      <c r="B135"/>
      <c r="C135"/>
      <c r="D135"/>
      <c r="E135"/>
      <c r="F135"/>
      <c r="G135"/>
      <c r="H135"/>
      <c r="I135"/>
      <c r="J135"/>
      <c r="K135"/>
    </row>
    <row r="136" spans="1:11" ht="12.75">
      <c r="A136"/>
      <c r="B136"/>
      <c r="C136"/>
      <c r="D136"/>
      <c r="E136"/>
      <c r="F136"/>
      <c r="G136"/>
      <c r="H136"/>
      <c r="I136"/>
      <c r="J136"/>
      <c r="K136"/>
    </row>
    <row r="137" spans="1:11" ht="12.75">
      <c r="A137"/>
      <c r="B137"/>
      <c r="C137"/>
      <c r="D137"/>
      <c r="E137"/>
      <c r="F137"/>
      <c r="G137"/>
      <c r="H137"/>
      <c r="I137"/>
      <c r="J137"/>
      <c r="K137"/>
    </row>
    <row r="138" spans="1:11" ht="12.75">
      <c r="A138"/>
      <c r="B138"/>
      <c r="C138"/>
      <c r="D138"/>
      <c r="E138"/>
      <c r="F138"/>
      <c r="G138"/>
      <c r="H138"/>
      <c r="I138"/>
      <c r="J138"/>
      <c r="K138"/>
    </row>
    <row r="139" spans="1:11" ht="12.75">
      <c r="A139"/>
      <c r="B139"/>
      <c r="C139"/>
      <c r="D139"/>
      <c r="E139"/>
      <c r="F139"/>
      <c r="G139"/>
      <c r="H139"/>
      <c r="I139"/>
      <c r="J139"/>
      <c r="K139"/>
    </row>
    <row r="140" spans="1:11" ht="12.75">
      <c r="A140"/>
      <c r="B140"/>
      <c r="C140"/>
      <c r="D140"/>
      <c r="E140"/>
      <c r="F140"/>
      <c r="G140"/>
      <c r="H140"/>
      <c r="I140"/>
      <c r="J140"/>
      <c r="K140"/>
    </row>
    <row r="141" spans="1:11" ht="12.75">
      <c r="A141"/>
      <c r="B141"/>
      <c r="C141"/>
      <c r="D141"/>
      <c r="E141"/>
      <c r="F141"/>
      <c r="G141"/>
      <c r="H141"/>
      <c r="I141"/>
      <c r="J141"/>
      <c r="K141"/>
    </row>
    <row r="142" spans="1:11" ht="12.75">
      <c r="A142"/>
      <c r="B142"/>
      <c r="C142"/>
      <c r="D142"/>
      <c r="E142"/>
      <c r="F142"/>
      <c r="G142"/>
      <c r="H142"/>
      <c r="I142"/>
      <c r="J142"/>
      <c r="K142"/>
    </row>
    <row r="143" spans="1:11" ht="12.75">
      <c r="A143"/>
      <c r="B143"/>
      <c r="C143"/>
      <c r="D143"/>
      <c r="E143"/>
      <c r="F143"/>
      <c r="G143"/>
      <c r="H143"/>
      <c r="I143"/>
      <c r="J143"/>
      <c r="K143"/>
    </row>
    <row r="144" spans="1:11" ht="12.75">
      <c r="A144"/>
      <c r="B144"/>
      <c r="C144"/>
      <c r="D144"/>
      <c r="E144"/>
      <c r="F144"/>
      <c r="G144"/>
      <c r="H144"/>
      <c r="I144"/>
      <c r="J144"/>
      <c r="K144"/>
    </row>
    <row r="145" spans="1:11" ht="12.75">
      <c r="A145"/>
      <c r="B145"/>
      <c r="C145"/>
      <c r="D145"/>
      <c r="E145"/>
      <c r="F145"/>
      <c r="G145"/>
      <c r="H145"/>
      <c r="I145"/>
      <c r="J145"/>
      <c r="K145"/>
    </row>
    <row r="146" spans="1:11" ht="12.75">
      <c r="A146"/>
      <c r="B146"/>
      <c r="C146"/>
      <c r="D146"/>
      <c r="E146"/>
      <c r="F146"/>
      <c r="G146"/>
      <c r="H146"/>
      <c r="I146"/>
      <c r="J146"/>
      <c r="K146"/>
    </row>
    <row r="147" spans="1:11" ht="12.75">
      <c r="A147"/>
      <c r="B147"/>
      <c r="C147"/>
      <c r="D147"/>
      <c r="E147"/>
      <c r="F147"/>
      <c r="G147"/>
      <c r="H147"/>
      <c r="I147"/>
      <c r="J147"/>
      <c r="K147"/>
    </row>
    <row r="148" spans="1:11" ht="12.75">
      <c r="A148"/>
      <c r="B148"/>
      <c r="C148"/>
      <c r="D148"/>
      <c r="E148"/>
      <c r="F148"/>
      <c r="G148"/>
      <c r="H148"/>
      <c r="I148"/>
      <c r="J148"/>
      <c r="K148"/>
    </row>
    <row r="149" spans="1:11" ht="12.75">
      <c r="A149"/>
      <c r="B149"/>
      <c r="C149"/>
      <c r="D149"/>
      <c r="E149"/>
      <c r="F149"/>
      <c r="G149"/>
      <c r="H149"/>
      <c r="I149"/>
      <c r="J149"/>
      <c r="K149"/>
    </row>
    <row r="150" spans="1:11" ht="12.75">
      <c r="A150"/>
      <c r="B150"/>
      <c r="C150"/>
      <c r="D150"/>
      <c r="E150"/>
      <c r="F150"/>
      <c r="G150"/>
      <c r="H150"/>
      <c r="I150"/>
      <c r="J150"/>
      <c r="K150"/>
    </row>
    <row r="151" spans="1:11" ht="12.75">
      <c r="A151"/>
      <c r="B151"/>
      <c r="C151"/>
      <c r="D151"/>
      <c r="E151"/>
      <c r="F151"/>
      <c r="G151"/>
      <c r="H151"/>
      <c r="I151"/>
      <c r="J151"/>
      <c r="K151"/>
    </row>
    <row r="152" spans="1:11" ht="12.75">
      <c r="A152"/>
      <c r="B152"/>
      <c r="C152"/>
      <c r="D152"/>
      <c r="E152"/>
      <c r="F152"/>
      <c r="G152"/>
      <c r="H152"/>
      <c r="I152"/>
      <c r="J152"/>
      <c r="K152"/>
    </row>
    <row r="153" spans="1:11" ht="12.75">
      <c r="A153"/>
      <c r="B153"/>
      <c r="C153"/>
      <c r="D153"/>
      <c r="E153"/>
      <c r="F153"/>
      <c r="G153"/>
      <c r="H153"/>
      <c r="I153"/>
      <c r="J153"/>
      <c r="K153"/>
    </row>
    <row r="154" spans="1:11" ht="12.75">
      <c r="A154"/>
      <c r="B154"/>
      <c r="C154"/>
      <c r="D154"/>
      <c r="E154"/>
      <c r="F154"/>
      <c r="G154"/>
      <c r="H154"/>
      <c r="I154"/>
      <c r="J154"/>
      <c r="K154"/>
    </row>
    <row r="155" spans="1:11" ht="12.75">
      <c r="A155"/>
      <c r="B155"/>
      <c r="C155"/>
      <c r="D155"/>
      <c r="E155"/>
      <c r="F155"/>
      <c r="G155"/>
      <c r="H155"/>
      <c r="I155"/>
      <c r="J155"/>
      <c r="K155"/>
    </row>
    <row r="156" spans="1:11" ht="12.75">
      <c r="A156"/>
      <c r="B156"/>
      <c r="C156"/>
      <c r="D156"/>
      <c r="E156"/>
      <c r="F156"/>
      <c r="G156"/>
      <c r="H156"/>
      <c r="I156"/>
      <c r="J156"/>
      <c r="K156"/>
    </row>
    <row r="157" spans="1:11" ht="12.75">
      <c r="A157"/>
      <c r="B157"/>
      <c r="C157"/>
      <c r="D157"/>
      <c r="E157"/>
      <c r="F157"/>
      <c r="G157"/>
      <c r="H157"/>
      <c r="I157"/>
      <c r="J157"/>
      <c r="K157"/>
    </row>
    <row r="158" spans="1:11" ht="12.75">
      <c r="A158"/>
      <c r="B158"/>
      <c r="C158"/>
      <c r="D158"/>
      <c r="E158"/>
      <c r="F158"/>
      <c r="G158"/>
      <c r="H158"/>
      <c r="I158"/>
      <c r="J158"/>
      <c r="K158"/>
    </row>
    <row r="159" spans="1:11" ht="12.75">
      <c r="A159"/>
      <c r="B159"/>
      <c r="C159"/>
      <c r="D159"/>
      <c r="E159"/>
      <c r="F159"/>
      <c r="G159"/>
      <c r="H159"/>
      <c r="I159"/>
      <c r="J159"/>
      <c r="K159"/>
    </row>
    <row r="160" spans="1:11" ht="12.75">
      <c r="A160"/>
      <c r="B160"/>
      <c r="C160"/>
      <c r="D160"/>
      <c r="E160"/>
      <c r="F160"/>
      <c r="G160"/>
      <c r="H160"/>
      <c r="I160"/>
      <c r="J160"/>
      <c r="K160"/>
    </row>
    <row r="161" spans="1:11" ht="12.75">
      <c r="A161"/>
      <c r="B161"/>
      <c r="C161"/>
      <c r="D161"/>
      <c r="E161"/>
      <c r="F161"/>
      <c r="G161"/>
      <c r="H161"/>
      <c r="I161"/>
      <c r="J161"/>
      <c r="K161"/>
    </row>
    <row r="162" spans="1:11" ht="12.75">
      <c r="A162"/>
      <c r="B162"/>
      <c r="C162"/>
      <c r="D162"/>
      <c r="E162"/>
      <c r="F162"/>
      <c r="G162"/>
      <c r="H162"/>
      <c r="I162"/>
      <c r="J162"/>
      <c r="K162"/>
    </row>
    <row r="163" spans="1:11" ht="12.75">
      <c r="A163"/>
      <c r="B163"/>
      <c r="C163"/>
      <c r="D163"/>
      <c r="E163"/>
      <c r="F163"/>
      <c r="G163"/>
      <c r="H163"/>
      <c r="I163"/>
      <c r="J163"/>
      <c r="K163"/>
    </row>
    <row r="164" spans="1:11" ht="12.75">
      <c r="A164"/>
      <c r="B164"/>
      <c r="C164"/>
      <c r="D164"/>
      <c r="E164"/>
      <c r="F164"/>
      <c r="G164"/>
      <c r="H164"/>
      <c r="I164"/>
      <c r="J164"/>
      <c r="K164"/>
    </row>
    <row r="165" spans="1:11" ht="12.75">
      <c r="A165"/>
      <c r="B165"/>
      <c r="C165"/>
      <c r="D165"/>
      <c r="E165"/>
      <c r="F165"/>
      <c r="G165"/>
      <c r="H165"/>
      <c r="I165"/>
      <c r="J165"/>
      <c r="K165"/>
    </row>
    <row r="166" spans="1:11" ht="12.75">
      <c r="A166"/>
      <c r="B166"/>
      <c r="C166"/>
      <c r="D166"/>
      <c r="E166"/>
      <c r="F166"/>
      <c r="G166"/>
      <c r="H166"/>
      <c r="I166"/>
      <c r="J166"/>
      <c r="K166"/>
    </row>
    <row r="167" spans="1:11" ht="12.75">
      <c r="A167"/>
      <c r="B167"/>
      <c r="C167"/>
      <c r="D167"/>
      <c r="E167"/>
      <c r="F167"/>
      <c r="G167"/>
      <c r="H167"/>
      <c r="I167"/>
      <c r="J167"/>
      <c r="K167"/>
    </row>
    <row r="168" spans="1:11" ht="12.75">
      <c r="A168"/>
      <c r="B168"/>
      <c r="C168"/>
      <c r="D168"/>
      <c r="E168"/>
      <c r="F168"/>
      <c r="G168"/>
      <c r="H168"/>
      <c r="I168"/>
      <c r="J168"/>
      <c r="K168"/>
    </row>
    <row r="169" spans="1:11" ht="12.75">
      <c r="A169"/>
      <c r="B169"/>
      <c r="C169"/>
      <c r="D169"/>
      <c r="E169"/>
      <c r="F169"/>
      <c r="G169"/>
      <c r="H169"/>
      <c r="I169"/>
      <c r="J169"/>
      <c r="K169"/>
    </row>
    <row r="170" spans="1:11" ht="12.75">
      <c r="A170"/>
      <c r="B170"/>
      <c r="C170"/>
      <c r="D170"/>
      <c r="E170"/>
      <c r="F170"/>
      <c r="G170"/>
      <c r="H170"/>
      <c r="I170"/>
      <c r="J170"/>
      <c r="K170"/>
    </row>
    <row r="171" spans="1:11" ht="12.75">
      <c r="A171"/>
      <c r="B171"/>
      <c r="C171"/>
      <c r="D171"/>
      <c r="E171"/>
      <c r="F171"/>
      <c r="G171"/>
      <c r="H171"/>
      <c r="I171"/>
      <c r="J171"/>
      <c r="K171"/>
    </row>
    <row r="172" spans="1:11" ht="12.75">
      <c r="A172"/>
      <c r="B172"/>
      <c r="C172"/>
      <c r="D172"/>
      <c r="E172"/>
      <c r="F172"/>
      <c r="G172"/>
      <c r="H172"/>
      <c r="I172"/>
      <c r="J172"/>
      <c r="K172"/>
    </row>
    <row r="173" spans="1:11" ht="12.75">
      <c r="A173"/>
      <c r="B173"/>
      <c r="C173"/>
      <c r="D173"/>
      <c r="E173"/>
      <c r="F173"/>
      <c r="G173"/>
      <c r="H173"/>
      <c r="I173"/>
      <c r="J173"/>
      <c r="K173"/>
    </row>
    <row r="174" spans="1:11" ht="12.75">
      <c r="A174"/>
      <c r="B174"/>
      <c r="C174"/>
      <c r="D174"/>
      <c r="E174"/>
      <c r="F174"/>
      <c r="G174"/>
      <c r="H174"/>
      <c r="I174"/>
      <c r="J174"/>
      <c r="K174"/>
    </row>
    <row r="175" spans="1:11" ht="12.75">
      <c r="A175"/>
      <c r="B175"/>
      <c r="C175"/>
      <c r="D175"/>
      <c r="E175"/>
      <c r="F175"/>
      <c r="G175"/>
      <c r="H175"/>
      <c r="I175"/>
      <c r="J175"/>
      <c r="K175"/>
    </row>
    <row r="176" spans="1:11" ht="12.75">
      <c r="A176"/>
      <c r="B176"/>
      <c r="C176"/>
      <c r="D176"/>
      <c r="E176"/>
      <c r="F176"/>
      <c r="G176"/>
      <c r="H176"/>
      <c r="I176"/>
      <c r="J176"/>
      <c r="K176"/>
    </row>
    <row r="177" spans="1:11" ht="12.75">
      <c r="A177"/>
      <c r="B177"/>
      <c r="C177"/>
      <c r="D177"/>
      <c r="E177"/>
      <c r="F177"/>
      <c r="G177"/>
      <c r="H177"/>
      <c r="I177"/>
      <c r="J177"/>
      <c r="K177"/>
    </row>
    <row r="178" spans="1:11" ht="12.75">
      <c r="A178"/>
      <c r="B178"/>
      <c r="C178"/>
      <c r="D178"/>
      <c r="E178"/>
      <c r="F178"/>
      <c r="G178"/>
      <c r="H178"/>
      <c r="I178"/>
      <c r="J178"/>
      <c r="K178"/>
    </row>
    <row r="179" spans="1:11" ht="12.75">
      <c r="A179"/>
      <c r="B179"/>
      <c r="C179"/>
      <c r="D179"/>
      <c r="E179"/>
      <c r="F179"/>
      <c r="G179"/>
      <c r="H179"/>
      <c r="I179"/>
      <c r="J179"/>
      <c r="K179"/>
    </row>
    <row r="180" spans="1:11" ht="12.75">
      <c r="A180"/>
      <c r="B180"/>
      <c r="C180"/>
      <c r="D180"/>
      <c r="E180"/>
      <c r="F180"/>
      <c r="G180"/>
      <c r="H180"/>
      <c r="I180"/>
      <c r="J180"/>
      <c r="K180"/>
    </row>
    <row r="181" spans="1:11" ht="12.75">
      <c r="A181"/>
      <c r="B181"/>
      <c r="C181"/>
      <c r="D181"/>
      <c r="E181"/>
      <c r="F181"/>
      <c r="G181"/>
      <c r="H181"/>
      <c r="I181"/>
      <c r="J181"/>
      <c r="K181"/>
    </row>
    <row r="182" spans="1:11" ht="12.75">
      <c r="A182"/>
      <c r="B182"/>
      <c r="C182"/>
      <c r="D182"/>
      <c r="E182"/>
      <c r="F182"/>
      <c r="G182"/>
      <c r="H182"/>
      <c r="I182"/>
      <c r="J182"/>
      <c r="K182"/>
    </row>
    <row r="183" spans="1:11" ht="12.75">
      <c r="A183"/>
      <c r="B183"/>
      <c r="C183"/>
      <c r="D183"/>
      <c r="E183"/>
      <c r="F183"/>
      <c r="G183"/>
      <c r="H183"/>
      <c r="I183"/>
      <c r="J183"/>
      <c r="K183"/>
    </row>
    <row r="184" spans="1:11" ht="12.75">
      <c r="A184"/>
      <c r="B184"/>
      <c r="C184"/>
      <c r="D184"/>
      <c r="E184"/>
      <c r="F184"/>
      <c r="G184"/>
      <c r="H184"/>
      <c r="I184"/>
      <c r="J184"/>
      <c r="K184"/>
    </row>
    <row r="185" spans="1:11" ht="12.75">
      <c r="A185"/>
      <c r="B185"/>
      <c r="C185"/>
      <c r="D185"/>
      <c r="E185"/>
      <c r="F185"/>
      <c r="G185"/>
      <c r="H185"/>
      <c r="I185"/>
      <c r="J185"/>
      <c r="K185"/>
    </row>
    <row r="186" spans="1:11" ht="12.75">
      <c r="A186"/>
      <c r="B186"/>
      <c r="C186"/>
      <c r="D186"/>
      <c r="E186"/>
      <c r="F186"/>
      <c r="G186"/>
      <c r="H186"/>
      <c r="I186"/>
      <c r="J186"/>
      <c r="K186"/>
    </row>
    <row r="187" spans="1:11" ht="12.75">
      <c r="A187"/>
      <c r="B187"/>
      <c r="C187"/>
      <c r="D187"/>
      <c r="E187"/>
      <c r="F187"/>
      <c r="G187"/>
      <c r="H187"/>
      <c r="I187"/>
      <c r="J187"/>
      <c r="K187"/>
    </row>
    <row r="188" spans="1:11" ht="12.75">
      <c r="A188"/>
      <c r="B188"/>
      <c r="C188"/>
      <c r="D188"/>
      <c r="E188"/>
      <c r="F188"/>
      <c r="G188"/>
      <c r="H188"/>
      <c r="I188"/>
      <c r="J188"/>
      <c r="K188"/>
    </row>
    <row r="189" spans="1:11" ht="12.75">
      <c r="A189"/>
      <c r="B189"/>
      <c r="C189"/>
      <c r="D189"/>
      <c r="E189"/>
      <c r="F189"/>
      <c r="G189"/>
      <c r="H189"/>
      <c r="I189"/>
      <c r="J189"/>
      <c r="K189"/>
    </row>
    <row r="190" spans="1:11" ht="12.75">
      <c r="A190"/>
      <c r="B190"/>
      <c r="C190"/>
      <c r="D190"/>
      <c r="E190"/>
      <c r="F190"/>
      <c r="G190"/>
      <c r="H190"/>
      <c r="I190"/>
      <c r="J190"/>
      <c r="K190"/>
    </row>
    <row r="191" spans="1:11" ht="12.75">
      <c r="A191"/>
      <c r="B191"/>
      <c r="C191"/>
      <c r="D191"/>
      <c r="E191"/>
      <c r="F191"/>
      <c r="G191"/>
      <c r="H191"/>
      <c r="I191"/>
      <c r="J191"/>
      <c r="K191"/>
    </row>
    <row r="192" spans="1:11" ht="12.75">
      <c r="A192"/>
      <c r="B192"/>
      <c r="C192"/>
      <c r="D192"/>
      <c r="E192"/>
      <c r="F192"/>
      <c r="G192"/>
      <c r="H192"/>
      <c r="I192"/>
      <c r="J192"/>
      <c r="K192"/>
    </row>
    <row r="193" spans="1:11" ht="12.75">
      <c r="A193"/>
      <c r="B193"/>
      <c r="C193"/>
      <c r="D193"/>
      <c r="E193"/>
      <c r="F193"/>
      <c r="G193"/>
      <c r="H193"/>
      <c r="I193"/>
      <c r="J193"/>
      <c r="K193"/>
    </row>
    <row r="194" spans="1:11" ht="12.75">
      <c r="A194"/>
      <c r="B194"/>
      <c r="C194"/>
      <c r="D194"/>
      <c r="E194"/>
      <c r="F194"/>
      <c r="G194"/>
      <c r="H194"/>
      <c r="I194"/>
      <c r="J194"/>
      <c r="K194"/>
    </row>
    <row r="195" spans="1:11" ht="12.75">
      <c r="A195"/>
      <c r="B195"/>
      <c r="C195"/>
      <c r="D195"/>
      <c r="E195"/>
      <c r="F195"/>
      <c r="G195"/>
      <c r="H195"/>
      <c r="I195"/>
      <c r="J195"/>
      <c r="K195"/>
    </row>
    <row r="196" spans="1:11" ht="12.75">
      <c r="A196"/>
      <c r="B196"/>
      <c r="C196"/>
      <c r="D196"/>
      <c r="E196"/>
      <c r="F196"/>
      <c r="G196"/>
      <c r="H196"/>
      <c r="I196"/>
      <c r="J196"/>
      <c r="K196"/>
    </row>
    <row r="197" spans="1:11" ht="12.75">
      <c r="A197"/>
      <c r="B197"/>
      <c r="C197"/>
      <c r="D197"/>
      <c r="E197"/>
      <c r="F197"/>
      <c r="G197"/>
      <c r="H197"/>
      <c r="I197"/>
      <c r="J197"/>
      <c r="K197"/>
    </row>
    <row r="198" spans="1:11" ht="12.75">
      <c r="A198"/>
      <c r="B198"/>
      <c r="C198"/>
      <c r="D198"/>
      <c r="E198"/>
      <c r="F198"/>
      <c r="G198"/>
      <c r="H198"/>
      <c r="I198"/>
      <c r="J198"/>
      <c r="K198"/>
    </row>
    <row r="199" spans="1:11" ht="12.75">
      <c r="A199"/>
      <c r="B199"/>
      <c r="C199"/>
      <c r="D199"/>
      <c r="E199"/>
      <c r="F199"/>
      <c r="G199"/>
      <c r="H199"/>
      <c r="I199"/>
      <c r="J199"/>
      <c r="K199"/>
    </row>
    <row r="200" spans="1:11" ht="12.75">
      <c r="A200"/>
      <c r="B200"/>
      <c r="C200"/>
      <c r="D200"/>
      <c r="E200"/>
      <c r="F200"/>
      <c r="G200"/>
      <c r="H200"/>
      <c r="I200"/>
      <c r="J200"/>
      <c r="K200"/>
    </row>
    <row r="201" spans="1:11" ht="12.75">
      <c r="A201"/>
      <c r="B201"/>
      <c r="C201"/>
      <c r="D201"/>
      <c r="E201"/>
      <c r="F201"/>
      <c r="G201"/>
      <c r="H201"/>
      <c r="I201"/>
      <c r="J201"/>
      <c r="K201"/>
    </row>
    <row r="202" spans="1:11" ht="12.75">
      <c r="A202"/>
      <c r="B202"/>
      <c r="C202"/>
      <c r="D202"/>
      <c r="E202"/>
      <c r="F202"/>
      <c r="G202"/>
      <c r="H202"/>
      <c r="I202"/>
      <c r="J202"/>
      <c r="K202"/>
    </row>
    <row r="203" spans="1:11" ht="12.75">
      <c r="A203"/>
      <c r="B203"/>
      <c r="C203"/>
      <c r="D203"/>
      <c r="E203"/>
      <c r="F203"/>
      <c r="G203"/>
      <c r="H203"/>
      <c r="I203"/>
      <c r="J203"/>
      <c r="K203"/>
    </row>
    <row r="204" spans="1:11" ht="12.75">
      <c r="A204"/>
      <c r="B204"/>
      <c r="C204"/>
      <c r="D204"/>
      <c r="E204"/>
      <c r="F204"/>
      <c r="G204"/>
      <c r="H204"/>
      <c r="I204"/>
      <c r="J204"/>
      <c r="K204"/>
    </row>
    <row r="205" spans="1:11" ht="12.75">
      <c r="A205"/>
      <c r="B205"/>
      <c r="C205"/>
      <c r="D205"/>
      <c r="E205"/>
      <c r="F205"/>
      <c r="G205"/>
      <c r="H205"/>
      <c r="I205"/>
      <c r="J205"/>
      <c r="K205"/>
    </row>
    <row r="206" spans="1:11" ht="12.75">
      <c r="A206"/>
      <c r="B206"/>
      <c r="C206"/>
      <c r="D206"/>
      <c r="E206"/>
      <c r="F206"/>
      <c r="G206"/>
      <c r="H206"/>
      <c r="I206"/>
      <c r="J206"/>
      <c r="K206"/>
    </row>
    <row r="207" spans="1:11" ht="12.75">
      <c r="A207"/>
      <c r="B207"/>
      <c r="C207"/>
      <c r="D207"/>
      <c r="E207"/>
      <c r="F207"/>
      <c r="G207"/>
      <c r="H207"/>
      <c r="I207"/>
      <c r="J207"/>
      <c r="K207"/>
    </row>
    <row r="208" spans="1:11" ht="12.75">
      <c r="A208"/>
      <c r="B208"/>
      <c r="C208"/>
      <c r="D208"/>
      <c r="E208"/>
      <c r="F208"/>
      <c r="G208"/>
      <c r="H208"/>
      <c r="I208"/>
      <c r="J208"/>
      <c r="K208"/>
    </row>
    <row r="209" spans="1:11" ht="12.75">
      <c r="A209"/>
      <c r="B209"/>
      <c r="C209"/>
      <c r="D209"/>
      <c r="E209"/>
      <c r="F209"/>
      <c r="G209"/>
      <c r="H209"/>
      <c r="I209"/>
      <c r="J209"/>
      <c r="K209"/>
    </row>
    <row r="210" spans="1:11" ht="12.75">
      <c r="A210"/>
      <c r="B210"/>
      <c r="C210"/>
      <c r="D210"/>
      <c r="E210"/>
      <c r="F210"/>
      <c r="G210"/>
      <c r="H210"/>
      <c r="I210"/>
      <c r="J210"/>
      <c r="K210"/>
    </row>
    <row r="211" spans="1:11" ht="12.75">
      <c r="A211"/>
      <c r="B211"/>
      <c r="C211"/>
      <c r="D211"/>
      <c r="E211"/>
      <c r="F211"/>
      <c r="G211"/>
      <c r="H211"/>
      <c r="I211"/>
      <c r="J211"/>
      <c r="K211"/>
    </row>
    <row r="212" spans="1:11" ht="12.75">
      <c r="A212"/>
      <c r="B212"/>
      <c r="C212"/>
      <c r="D212"/>
      <c r="E212"/>
      <c r="F212"/>
      <c r="G212"/>
      <c r="H212"/>
      <c r="I212"/>
      <c r="J212"/>
      <c r="K212"/>
    </row>
    <row r="213" spans="1:11" ht="12.75">
      <c r="A213"/>
      <c r="B213"/>
      <c r="C213"/>
      <c r="D213"/>
      <c r="E213"/>
      <c r="F213"/>
      <c r="G213"/>
      <c r="H213"/>
      <c r="I213"/>
      <c r="J213"/>
      <c r="K213"/>
    </row>
    <row r="214" spans="1:11" ht="12.75">
      <c r="A214"/>
      <c r="B214"/>
      <c r="C214"/>
      <c r="D214"/>
      <c r="E214"/>
      <c r="F214"/>
      <c r="G214"/>
      <c r="H214"/>
      <c r="I214"/>
      <c r="J214"/>
      <c r="K214"/>
    </row>
    <row r="215" spans="1:11" ht="12.75">
      <c r="A215"/>
      <c r="B215"/>
      <c r="C215"/>
      <c r="D215"/>
      <c r="E215"/>
      <c r="F215"/>
      <c r="G215"/>
      <c r="H215"/>
      <c r="I215"/>
      <c r="J215"/>
      <c r="K215"/>
    </row>
    <row r="216" spans="1:11" ht="12.75">
      <c r="A216"/>
      <c r="B216"/>
      <c r="C216"/>
      <c r="D216"/>
      <c r="E216"/>
      <c r="F216"/>
      <c r="G216"/>
      <c r="H216"/>
      <c r="I216"/>
      <c r="J216"/>
      <c r="K216"/>
    </row>
    <row r="217" spans="1:11" ht="12.75">
      <c r="A217"/>
      <c r="B217"/>
      <c r="C217"/>
      <c r="D217"/>
      <c r="E217"/>
      <c r="F217"/>
      <c r="G217"/>
      <c r="H217"/>
      <c r="I217"/>
      <c r="J217"/>
      <c r="K217"/>
    </row>
    <row r="218" spans="1:11" ht="12.75">
      <c r="A218"/>
      <c r="B218"/>
      <c r="C218"/>
      <c r="D218"/>
      <c r="E218"/>
      <c r="F218"/>
      <c r="G218"/>
      <c r="H218"/>
      <c r="I218"/>
      <c r="J218"/>
      <c r="K218"/>
    </row>
    <row r="219" spans="1:11" ht="12.75">
      <c r="A219"/>
      <c r="B219"/>
      <c r="C219"/>
      <c r="D219"/>
      <c r="E219"/>
      <c r="F219"/>
      <c r="G219"/>
      <c r="H219"/>
      <c r="I219"/>
      <c r="J219"/>
      <c r="K219"/>
    </row>
    <row r="220" spans="1:11" ht="12.75">
      <c r="A220"/>
      <c r="B220"/>
      <c r="C220"/>
      <c r="D220"/>
      <c r="E220"/>
      <c r="F220"/>
      <c r="G220"/>
      <c r="H220"/>
      <c r="I220"/>
      <c r="J220"/>
      <c r="K220"/>
    </row>
    <row r="221" spans="1:11" ht="12.75">
      <c r="A221"/>
      <c r="B221"/>
      <c r="C221"/>
      <c r="D221"/>
      <c r="E221"/>
      <c r="F221"/>
      <c r="G221"/>
      <c r="H221"/>
      <c r="I221"/>
      <c r="J221"/>
      <c r="K221"/>
    </row>
    <row r="222" spans="1:11" ht="12.75">
      <c r="A222"/>
      <c r="B222"/>
      <c r="C222"/>
      <c r="D222"/>
      <c r="E222"/>
      <c r="F222"/>
      <c r="G222"/>
      <c r="H222"/>
      <c r="I222"/>
      <c r="J222"/>
      <c r="K222"/>
    </row>
    <row r="223" spans="1:11" ht="12.75">
      <c r="A223"/>
      <c r="B223"/>
      <c r="C223"/>
      <c r="D223"/>
      <c r="E223"/>
      <c r="F223"/>
      <c r="G223"/>
      <c r="H223"/>
      <c r="I223"/>
      <c r="J223"/>
      <c r="K223"/>
    </row>
    <row r="224" spans="1:11" ht="12.75">
      <c r="A224"/>
      <c r="B224"/>
      <c r="C224"/>
      <c r="D224"/>
      <c r="E224"/>
      <c r="F224"/>
      <c r="G224"/>
      <c r="H224"/>
      <c r="I224"/>
      <c r="J224"/>
      <c r="K224"/>
    </row>
    <row r="225" spans="1:11" ht="12.75">
      <c r="A225" s="546"/>
      <c r="B225" s="546"/>
      <c r="C225" s="546"/>
      <c r="D225" s="546"/>
      <c r="E225" s="546"/>
      <c r="F225" s="546"/>
      <c r="G225" s="546"/>
      <c r="H225" s="546"/>
      <c r="I225"/>
      <c r="J225"/>
      <c r="K225"/>
    </row>
    <row r="226" spans="1:11" ht="12.75">
      <c r="A226"/>
      <c r="B226"/>
      <c r="C226"/>
      <c r="D226"/>
      <c r="E226"/>
      <c r="F226"/>
      <c r="G226"/>
      <c r="H226"/>
      <c r="I226" s="546"/>
      <c r="J226" s="546"/>
      <c r="K226" s="546"/>
    </row>
    <row r="227" spans="1:11" ht="12.75">
      <c r="A227"/>
      <c r="B227"/>
      <c r="C227"/>
      <c r="D227"/>
      <c r="E227"/>
      <c r="F227"/>
      <c r="G227"/>
      <c r="H227"/>
      <c r="I227"/>
      <c r="J227"/>
      <c r="K227"/>
    </row>
    <row r="228" spans="1:11" ht="12.75">
      <c r="A228"/>
      <c r="B228"/>
      <c r="C228"/>
      <c r="D228"/>
      <c r="E228"/>
      <c r="F228"/>
      <c r="G228"/>
      <c r="H228"/>
      <c r="I228"/>
      <c r="J228"/>
      <c r="K228"/>
    </row>
    <row r="229" spans="1:11" ht="12.75">
      <c r="A229"/>
      <c r="B229"/>
      <c r="C229"/>
      <c r="D229"/>
      <c r="E229"/>
      <c r="F229"/>
      <c r="G229"/>
      <c r="H229"/>
      <c r="I229"/>
      <c r="J229"/>
      <c r="K229"/>
    </row>
    <row r="230" spans="1:11" ht="12.75">
      <c r="A230"/>
      <c r="B230"/>
      <c r="C230"/>
      <c r="D230"/>
      <c r="E230"/>
      <c r="F230"/>
      <c r="G230"/>
      <c r="H230"/>
      <c r="I230"/>
      <c r="J230"/>
      <c r="K230"/>
    </row>
    <row r="231" spans="1:11" ht="12.75">
      <c r="A231"/>
      <c r="B231"/>
      <c r="C231"/>
      <c r="D231"/>
      <c r="E231"/>
      <c r="F231"/>
      <c r="G231"/>
      <c r="H231"/>
      <c r="I231"/>
      <c r="J231"/>
      <c r="K231"/>
    </row>
    <row r="232" spans="1:11" ht="12.75">
      <c r="A232"/>
      <c r="B232"/>
      <c r="C232"/>
      <c r="D232"/>
      <c r="E232"/>
      <c r="F232"/>
      <c r="G232"/>
      <c r="H232"/>
      <c r="I232"/>
      <c r="J232"/>
      <c r="K232"/>
    </row>
    <row r="233" spans="1:11" ht="12.75">
      <c r="A233"/>
      <c r="B233"/>
      <c r="C233"/>
      <c r="D233"/>
      <c r="E233"/>
      <c r="F233"/>
      <c r="G233"/>
      <c r="H233"/>
      <c r="I233"/>
      <c r="J233"/>
      <c r="K233"/>
    </row>
    <row r="234" spans="1:11" ht="12.75">
      <c r="A234"/>
      <c r="B234"/>
      <c r="C234"/>
      <c r="D234"/>
      <c r="E234"/>
      <c r="F234"/>
      <c r="G234"/>
      <c r="H234"/>
      <c r="I234"/>
      <c r="J234"/>
      <c r="K234"/>
    </row>
    <row r="235" spans="1:11" ht="12.75">
      <c r="A235"/>
      <c r="B235"/>
      <c r="C235"/>
      <c r="D235"/>
      <c r="E235"/>
      <c r="F235"/>
      <c r="G235"/>
      <c r="H235"/>
      <c r="I235"/>
      <c r="J235"/>
      <c r="K235"/>
    </row>
    <row r="236" spans="1:11" ht="12.75">
      <c r="A236"/>
      <c r="B236"/>
      <c r="C236"/>
      <c r="D236"/>
      <c r="E236"/>
      <c r="F236"/>
      <c r="G236"/>
      <c r="H236"/>
      <c r="I236"/>
      <c r="J236"/>
      <c r="K236"/>
    </row>
    <row r="237" spans="1:11" ht="12.75">
      <c r="A237"/>
      <c r="B237"/>
      <c r="C237"/>
      <c r="D237"/>
      <c r="E237"/>
      <c r="F237"/>
      <c r="G237"/>
      <c r="H237"/>
      <c r="I237"/>
      <c r="J237"/>
      <c r="K237"/>
    </row>
    <row r="238" spans="1:11" ht="12.75">
      <c r="A238"/>
      <c r="B238"/>
      <c r="C238"/>
      <c r="D238"/>
      <c r="E238"/>
      <c r="F238"/>
      <c r="G238"/>
      <c r="H238"/>
      <c r="I238"/>
      <c r="J238"/>
      <c r="K238"/>
    </row>
    <row r="239" spans="1:11" ht="12.75">
      <c r="A239"/>
      <c r="B239"/>
      <c r="C239"/>
      <c r="D239"/>
      <c r="E239"/>
      <c r="F239"/>
      <c r="G239"/>
      <c r="H239"/>
      <c r="I239"/>
      <c r="J239"/>
      <c r="K239"/>
    </row>
    <row r="240" spans="1:11" ht="12.75">
      <c r="A240"/>
      <c r="B240"/>
      <c r="C240"/>
      <c r="D240"/>
      <c r="E240"/>
      <c r="F240"/>
      <c r="G240"/>
      <c r="H240"/>
      <c r="I240"/>
      <c r="J240"/>
      <c r="K240"/>
    </row>
    <row r="241" spans="1:11" ht="12.75">
      <c r="A241"/>
      <c r="B241"/>
      <c r="C241"/>
      <c r="D241"/>
      <c r="E241"/>
      <c r="F241"/>
      <c r="G241"/>
      <c r="H241"/>
      <c r="I241"/>
      <c r="J241"/>
      <c r="K241"/>
    </row>
    <row r="242" spans="1:11" ht="12.75">
      <c r="A242"/>
      <c r="B242"/>
      <c r="C242"/>
      <c r="D242"/>
      <c r="E242"/>
      <c r="F242"/>
      <c r="G242"/>
      <c r="H242"/>
      <c r="I242"/>
      <c r="J242"/>
      <c r="K242"/>
    </row>
    <row r="243" spans="1:11" ht="12.75">
      <c r="A243"/>
      <c r="B243"/>
      <c r="C243"/>
      <c r="D243"/>
      <c r="E243"/>
      <c r="F243"/>
      <c r="G243"/>
      <c r="H243"/>
      <c r="I243"/>
      <c r="J243"/>
      <c r="K243"/>
    </row>
    <row r="244" spans="1:11" ht="12.75">
      <c r="A244"/>
      <c r="B244"/>
      <c r="C244"/>
      <c r="D244"/>
      <c r="E244"/>
      <c r="F244"/>
      <c r="G244"/>
      <c r="H244"/>
      <c r="I244"/>
      <c r="J244"/>
      <c r="K244"/>
    </row>
    <row r="245" spans="1:11" ht="12.75">
      <c r="A245"/>
      <c r="B245"/>
      <c r="C245"/>
      <c r="D245"/>
      <c r="E245"/>
      <c r="F245"/>
      <c r="G245"/>
      <c r="H245"/>
      <c r="I245"/>
      <c r="J245"/>
      <c r="K245"/>
    </row>
    <row r="246" spans="1:11" ht="12.75">
      <c r="A246"/>
      <c r="B246"/>
      <c r="C246"/>
      <c r="D246"/>
      <c r="E246"/>
      <c r="F246"/>
      <c r="G246"/>
      <c r="H246"/>
      <c r="I246"/>
      <c r="J246"/>
      <c r="K246"/>
    </row>
    <row r="247" spans="1:11" ht="12.75">
      <c r="A247"/>
      <c r="B247"/>
      <c r="C247"/>
      <c r="D247"/>
      <c r="E247"/>
      <c r="F247"/>
      <c r="G247"/>
      <c r="H247"/>
      <c r="I247"/>
      <c r="J247"/>
      <c r="K247"/>
    </row>
    <row r="248" spans="1:11" ht="12.75">
      <c r="A248"/>
      <c r="B248"/>
      <c r="C248"/>
      <c r="D248"/>
      <c r="E248"/>
      <c r="F248"/>
      <c r="G248"/>
      <c r="H248"/>
      <c r="I248"/>
      <c r="J248"/>
      <c r="K248"/>
    </row>
    <row r="249" spans="1:11" ht="12.75">
      <c r="A249"/>
      <c r="B249"/>
      <c r="C249"/>
      <c r="D249"/>
      <c r="E249"/>
      <c r="F249"/>
      <c r="G249"/>
      <c r="H249"/>
      <c r="I249"/>
      <c r="J249"/>
      <c r="K249"/>
    </row>
    <row r="250" spans="1:11" ht="12.75">
      <c r="A250"/>
      <c r="B250"/>
      <c r="C250"/>
      <c r="D250"/>
      <c r="E250"/>
      <c r="F250"/>
      <c r="G250"/>
      <c r="H250"/>
      <c r="I250"/>
      <c r="J250"/>
      <c r="K250"/>
    </row>
    <row r="251" spans="1:11" ht="12.75">
      <c r="A251"/>
      <c r="B251"/>
      <c r="C251"/>
      <c r="D251"/>
      <c r="E251"/>
      <c r="F251"/>
      <c r="G251"/>
      <c r="H251"/>
      <c r="I251"/>
      <c r="J251"/>
      <c r="K251"/>
    </row>
    <row r="252" spans="1:11" ht="12.75">
      <c r="A252"/>
      <c r="B252"/>
      <c r="C252"/>
      <c r="D252"/>
      <c r="E252"/>
      <c r="F252"/>
      <c r="G252"/>
      <c r="H252"/>
      <c r="I252"/>
      <c r="J252"/>
      <c r="K252"/>
    </row>
    <row r="253" spans="1:11" ht="12.75">
      <c r="A253"/>
      <c r="B253"/>
      <c r="C253"/>
      <c r="D253"/>
      <c r="E253"/>
      <c r="F253"/>
      <c r="G253"/>
      <c r="H253"/>
      <c r="I253"/>
      <c r="J253"/>
      <c r="K253"/>
    </row>
    <row r="254" spans="1:11" ht="12.75">
      <c r="A254"/>
      <c r="B254"/>
      <c r="C254"/>
      <c r="D254"/>
      <c r="E254"/>
      <c r="F254"/>
      <c r="G254"/>
      <c r="H254"/>
      <c r="I254"/>
      <c r="J254"/>
      <c r="K254"/>
    </row>
    <row r="255" spans="1:11" ht="12.75">
      <c r="A255"/>
      <c r="B255"/>
      <c r="C255"/>
      <c r="D255"/>
      <c r="E255"/>
      <c r="F255"/>
      <c r="G255"/>
      <c r="H255"/>
      <c r="I255"/>
      <c r="J255"/>
      <c r="K255"/>
    </row>
    <row r="256" spans="1:11" ht="12.75">
      <c r="A256"/>
      <c r="B256"/>
      <c r="C256"/>
      <c r="D256"/>
      <c r="E256"/>
      <c r="F256"/>
      <c r="G256"/>
      <c r="H256"/>
      <c r="I256"/>
      <c r="J256"/>
      <c r="K256"/>
    </row>
    <row r="257" spans="1:11" ht="12.75">
      <c r="A257"/>
      <c r="B257"/>
      <c r="C257"/>
      <c r="D257"/>
      <c r="E257"/>
      <c r="F257"/>
      <c r="G257"/>
      <c r="H257"/>
      <c r="I257"/>
      <c r="J257"/>
      <c r="K257"/>
    </row>
    <row r="258" spans="1:11" ht="12.75">
      <c r="A258"/>
      <c r="B258"/>
      <c r="C258"/>
      <c r="D258"/>
      <c r="E258"/>
      <c r="F258"/>
      <c r="G258"/>
      <c r="H258"/>
      <c r="I258"/>
      <c r="J258"/>
      <c r="K258"/>
    </row>
    <row r="259" spans="1:11" ht="12.75">
      <c r="A259"/>
      <c r="B259"/>
      <c r="C259"/>
      <c r="D259"/>
      <c r="E259"/>
      <c r="F259"/>
      <c r="G259"/>
      <c r="H259"/>
      <c r="I259"/>
      <c r="J259"/>
      <c r="K259"/>
    </row>
    <row r="260" spans="1:11" ht="12.75">
      <c r="A260"/>
      <c r="B260"/>
      <c r="C260"/>
      <c r="D260"/>
      <c r="E260"/>
      <c r="F260"/>
      <c r="G260"/>
      <c r="H260"/>
      <c r="I260"/>
      <c r="J260"/>
      <c r="K260"/>
    </row>
    <row r="261" spans="1:11" ht="12.75">
      <c r="A261"/>
      <c r="B261"/>
      <c r="C261"/>
      <c r="D261"/>
      <c r="E261"/>
      <c r="F261"/>
      <c r="G261"/>
      <c r="H261"/>
      <c r="I261"/>
      <c r="J261"/>
      <c r="K261"/>
    </row>
    <row r="262" spans="1:11" ht="12.75">
      <c r="A262"/>
      <c r="B262"/>
      <c r="C262"/>
      <c r="D262"/>
      <c r="E262"/>
      <c r="F262"/>
      <c r="G262"/>
      <c r="H262"/>
      <c r="I262"/>
      <c r="J262"/>
      <c r="K262"/>
    </row>
    <row r="263" spans="1:11" ht="12.75">
      <c r="A263"/>
      <c r="B263"/>
      <c r="C263"/>
      <c r="D263"/>
      <c r="E263"/>
      <c r="F263"/>
      <c r="G263"/>
      <c r="H263"/>
      <c r="I263"/>
      <c r="J263"/>
      <c r="K263"/>
    </row>
    <row r="264" spans="1:11" ht="12.75">
      <c r="A264"/>
      <c r="B264"/>
      <c r="C264"/>
      <c r="D264"/>
      <c r="E264"/>
      <c r="F264"/>
      <c r="G264"/>
      <c r="H264"/>
      <c r="I264"/>
      <c r="J264"/>
      <c r="K264"/>
    </row>
    <row r="265" spans="1:11" ht="12.75">
      <c r="A265"/>
      <c r="B265"/>
      <c r="C265"/>
      <c r="D265"/>
      <c r="E265"/>
      <c r="F265"/>
      <c r="G265"/>
      <c r="H265"/>
      <c r="I265"/>
      <c r="J265"/>
      <c r="K265"/>
    </row>
    <row r="266" spans="1:11" ht="12.75">
      <c r="A266"/>
      <c r="B266"/>
      <c r="C266"/>
      <c r="D266"/>
      <c r="E266"/>
      <c r="F266"/>
      <c r="G266"/>
      <c r="H266"/>
      <c r="I266"/>
      <c r="J266"/>
      <c r="K266"/>
    </row>
    <row r="267" spans="1:11" ht="12.75">
      <c r="A267"/>
      <c r="B267"/>
      <c r="C267"/>
      <c r="D267"/>
      <c r="E267"/>
      <c r="F267"/>
      <c r="G267"/>
      <c r="H267"/>
      <c r="I267"/>
      <c r="J267"/>
      <c r="K267"/>
    </row>
    <row r="268" spans="1:11" ht="12.75">
      <c r="A268"/>
      <c r="B268"/>
      <c r="C268"/>
      <c r="D268"/>
      <c r="E268"/>
      <c r="F268"/>
      <c r="G268"/>
      <c r="H268"/>
      <c r="I268"/>
      <c r="J268"/>
      <c r="K268"/>
    </row>
    <row r="269" spans="1:11" ht="12.75">
      <c r="A269"/>
      <c r="B269"/>
      <c r="C269"/>
      <c r="D269"/>
      <c r="E269"/>
      <c r="F269"/>
      <c r="G269"/>
      <c r="H269"/>
      <c r="I269"/>
      <c r="J269"/>
      <c r="K269"/>
    </row>
    <row r="270" spans="1:11" ht="12.75">
      <c r="A270"/>
      <c r="B270"/>
      <c r="C270"/>
      <c r="D270"/>
      <c r="E270"/>
      <c r="F270"/>
      <c r="G270"/>
      <c r="H270"/>
      <c r="I270"/>
      <c r="J270"/>
      <c r="K270"/>
    </row>
    <row r="271" spans="1:11" ht="12.75">
      <c r="A271"/>
      <c r="B271"/>
      <c r="C271"/>
      <c r="D271"/>
      <c r="E271"/>
      <c r="F271"/>
      <c r="G271"/>
      <c r="H271"/>
      <c r="I271"/>
      <c r="J271"/>
      <c r="K271"/>
    </row>
    <row r="272" spans="1:11" ht="12.75">
      <c r="A272"/>
      <c r="B272"/>
      <c r="C272"/>
      <c r="D272"/>
      <c r="E272"/>
      <c r="F272"/>
      <c r="G272"/>
      <c r="H272"/>
      <c r="I272"/>
      <c r="J272"/>
      <c r="K272"/>
    </row>
    <row r="273" spans="1:11" ht="12.75">
      <c r="A273"/>
      <c r="B273"/>
      <c r="C273"/>
      <c r="D273"/>
      <c r="E273"/>
      <c r="F273"/>
      <c r="G273"/>
      <c r="H273"/>
      <c r="I273"/>
      <c r="J273"/>
      <c r="K273"/>
    </row>
    <row r="274" spans="1:11" ht="12.75">
      <c r="A274"/>
      <c r="B274"/>
      <c r="C274"/>
      <c r="D274"/>
      <c r="E274"/>
      <c r="F274"/>
      <c r="G274"/>
      <c r="H274"/>
      <c r="I274"/>
      <c r="J274"/>
      <c r="K274"/>
    </row>
    <row r="275" spans="1:11" ht="12.75">
      <c r="A275"/>
      <c r="B275"/>
      <c r="C275"/>
      <c r="D275"/>
      <c r="E275"/>
      <c r="F275"/>
      <c r="G275"/>
      <c r="H275"/>
      <c r="I275"/>
      <c r="J275"/>
      <c r="K275"/>
    </row>
    <row r="276" spans="1:11" ht="12.75">
      <c r="A276"/>
      <c r="B276"/>
      <c r="C276"/>
      <c r="D276"/>
      <c r="E276"/>
      <c r="F276"/>
      <c r="G276"/>
      <c r="H276"/>
      <c r="I276"/>
      <c r="J276"/>
      <c r="K276"/>
    </row>
    <row r="277" spans="1:11" ht="12.75">
      <c r="A277"/>
      <c r="B277"/>
      <c r="C277"/>
      <c r="D277"/>
      <c r="E277"/>
      <c r="F277"/>
      <c r="G277"/>
      <c r="H277"/>
      <c r="I277"/>
      <c r="J277"/>
      <c r="K277"/>
    </row>
    <row r="278" spans="1:11" ht="12.75">
      <c r="A278"/>
      <c r="B278"/>
      <c r="C278"/>
      <c r="D278"/>
      <c r="E278"/>
      <c r="F278"/>
      <c r="G278"/>
      <c r="H278"/>
      <c r="I278"/>
      <c r="J278"/>
      <c r="K278"/>
    </row>
    <row r="279" spans="1:11" ht="12.75">
      <c r="A279"/>
      <c r="B279"/>
      <c r="C279"/>
      <c r="D279"/>
      <c r="E279"/>
      <c r="F279"/>
      <c r="G279"/>
      <c r="H279"/>
      <c r="I279"/>
      <c r="J279"/>
      <c r="K279"/>
    </row>
    <row r="280" spans="1:11" ht="12.75">
      <c r="A280"/>
      <c r="B280"/>
      <c r="C280"/>
      <c r="D280"/>
      <c r="E280"/>
      <c r="F280"/>
      <c r="G280"/>
      <c r="H280"/>
      <c r="I280"/>
      <c r="J280"/>
      <c r="K280"/>
    </row>
    <row r="281" spans="1:11" ht="12.75">
      <c r="A281"/>
      <c r="B281"/>
      <c r="C281"/>
      <c r="D281"/>
      <c r="E281"/>
      <c r="F281"/>
      <c r="G281"/>
      <c r="H281"/>
      <c r="I281"/>
      <c r="J281"/>
      <c r="K281"/>
    </row>
    <row r="282" spans="1:11" ht="12.75">
      <c r="A282"/>
      <c r="B282"/>
      <c r="C282"/>
      <c r="D282"/>
      <c r="E282"/>
      <c r="F282"/>
      <c r="G282"/>
      <c r="H282"/>
      <c r="I282"/>
      <c r="J282"/>
      <c r="K282"/>
    </row>
    <row r="283" spans="1:11" ht="12.75">
      <c r="A283"/>
      <c r="B283"/>
      <c r="C283"/>
      <c r="D283"/>
      <c r="E283"/>
      <c r="F283"/>
      <c r="G283"/>
      <c r="H283"/>
      <c r="I283"/>
      <c r="J283"/>
      <c r="K283"/>
    </row>
    <row r="284" spans="1:11" ht="12.75">
      <c r="A284"/>
      <c r="B284"/>
      <c r="C284"/>
      <c r="D284"/>
      <c r="E284"/>
      <c r="F284"/>
      <c r="G284"/>
      <c r="H284"/>
      <c r="I284"/>
      <c r="J284"/>
      <c r="K284"/>
    </row>
    <row r="285" spans="1:11" ht="12.75">
      <c r="A285"/>
      <c r="B285"/>
      <c r="C285"/>
      <c r="D285"/>
      <c r="E285"/>
      <c r="F285"/>
      <c r="G285"/>
      <c r="H285"/>
      <c r="I285"/>
      <c r="J285"/>
      <c r="K285"/>
    </row>
    <row r="286" spans="1:11" ht="12.75">
      <c r="A286"/>
      <c r="B286"/>
      <c r="C286"/>
      <c r="D286"/>
      <c r="E286"/>
      <c r="F286"/>
      <c r="G286"/>
      <c r="H286"/>
      <c r="I286"/>
      <c r="J286"/>
      <c r="K286"/>
    </row>
    <row r="287" spans="1:11" ht="12.75">
      <c r="A287"/>
      <c r="B287"/>
      <c r="C287"/>
      <c r="D287"/>
      <c r="E287"/>
      <c r="F287"/>
      <c r="G287"/>
      <c r="H287"/>
      <c r="I287"/>
      <c r="J287"/>
      <c r="K287"/>
    </row>
    <row r="288" spans="1:11" ht="12.75">
      <c r="A288"/>
      <c r="B288"/>
      <c r="C288"/>
      <c r="D288"/>
      <c r="E288"/>
      <c r="F288"/>
      <c r="G288"/>
      <c r="H288"/>
      <c r="I288"/>
      <c r="J288"/>
      <c r="K288"/>
    </row>
    <row r="289" spans="1:11" ht="12.75">
      <c r="A289"/>
      <c r="B289"/>
      <c r="C289"/>
      <c r="D289"/>
      <c r="E289"/>
      <c r="F289"/>
      <c r="G289"/>
      <c r="H289"/>
      <c r="I289"/>
      <c r="J289"/>
      <c r="K289"/>
    </row>
    <row r="290" spans="1:11" ht="12.75">
      <c r="A290"/>
      <c r="B290"/>
      <c r="C290"/>
      <c r="D290"/>
      <c r="E290"/>
      <c r="F290"/>
      <c r="G290"/>
      <c r="H290"/>
      <c r="I290"/>
      <c r="J290"/>
      <c r="K290"/>
    </row>
    <row r="291" spans="1:11" ht="12.75">
      <c r="A291"/>
      <c r="B291"/>
      <c r="C291"/>
      <c r="D291"/>
      <c r="E291"/>
      <c r="F291"/>
      <c r="G291"/>
      <c r="H291"/>
      <c r="I291"/>
      <c r="J291"/>
      <c r="K291"/>
    </row>
    <row r="292" spans="1:11" ht="12.75">
      <c r="A292"/>
      <c r="B292"/>
      <c r="C292"/>
      <c r="D292"/>
      <c r="E292"/>
      <c r="F292"/>
      <c r="G292"/>
      <c r="H292"/>
      <c r="I292"/>
      <c r="J292"/>
      <c r="K292"/>
    </row>
    <row r="293" spans="1:11" ht="12.75">
      <c r="A293"/>
      <c r="B293"/>
      <c r="C293"/>
      <c r="D293"/>
      <c r="E293"/>
      <c r="F293"/>
      <c r="G293"/>
      <c r="H293"/>
      <c r="I293"/>
      <c r="J293"/>
      <c r="K293"/>
    </row>
    <row r="294" spans="1:11" ht="12.75">
      <c r="A294"/>
      <c r="B294"/>
      <c r="C294"/>
      <c r="D294"/>
      <c r="E294"/>
      <c r="F294"/>
      <c r="G294"/>
      <c r="H294"/>
      <c r="I294"/>
      <c r="J294"/>
      <c r="K294"/>
    </row>
    <row r="295" spans="1:11" ht="12.75">
      <c r="A295"/>
      <c r="B295"/>
      <c r="C295"/>
      <c r="D295"/>
      <c r="E295"/>
      <c r="F295"/>
      <c r="G295"/>
      <c r="H295"/>
      <c r="I295"/>
      <c r="J295"/>
      <c r="K295"/>
    </row>
    <row r="296" spans="1:11" ht="12.75">
      <c r="A296"/>
      <c r="B296"/>
      <c r="C296"/>
      <c r="D296"/>
      <c r="E296"/>
      <c r="F296"/>
      <c r="G296"/>
      <c r="H296"/>
      <c r="I296"/>
      <c r="J296"/>
      <c r="K296"/>
    </row>
    <row r="297" spans="1:11" ht="12.75">
      <c r="A297"/>
      <c r="B297"/>
      <c r="C297"/>
      <c r="D297"/>
      <c r="E297"/>
      <c r="F297"/>
      <c r="G297"/>
      <c r="H297"/>
      <c r="I297"/>
      <c r="J297"/>
      <c r="K297"/>
    </row>
    <row r="298" spans="1:11" ht="12.75">
      <c r="A298"/>
      <c r="B298"/>
      <c r="C298"/>
      <c r="D298"/>
      <c r="E298"/>
      <c r="F298"/>
      <c r="G298"/>
      <c r="H298"/>
      <c r="I298"/>
      <c r="J298"/>
      <c r="K298"/>
    </row>
    <row r="299" spans="1:11" ht="12.75">
      <c r="A299"/>
      <c r="B299"/>
      <c r="C299"/>
      <c r="D299"/>
      <c r="E299"/>
      <c r="F299"/>
      <c r="G299"/>
      <c r="H299"/>
      <c r="I299"/>
      <c r="J299"/>
      <c r="K299"/>
    </row>
    <row r="300" spans="1:11" ht="12.75">
      <c r="A300"/>
      <c r="B300"/>
      <c r="C300"/>
      <c r="D300"/>
      <c r="E300"/>
      <c r="F300"/>
      <c r="G300"/>
      <c r="H300"/>
      <c r="I300"/>
      <c r="J300"/>
      <c r="K300"/>
    </row>
    <row r="301" spans="1:11" ht="12.75">
      <c r="A301"/>
      <c r="B301"/>
      <c r="C301"/>
      <c r="D301"/>
      <c r="E301"/>
      <c r="F301"/>
      <c r="G301"/>
      <c r="H301"/>
      <c r="I301"/>
      <c r="J301"/>
      <c r="K301"/>
    </row>
    <row r="302" spans="1:11" ht="12.75">
      <c r="A302"/>
      <c r="B302"/>
      <c r="C302"/>
      <c r="D302"/>
      <c r="E302"/>
      <c r="F302"/>
      <c r="G302"/>
      <c r="H302"/>
      <c r="I302"/>
      <c r="J302"/>
      <c r="K302"/>
    </row>
    <row r="303" spans="1:11" ht="12.75">
      <c r="A303"/>
      <c r="B303"/>
      <c r="C303"/>
      <c r="D303"/>
      <c r="E303"/>
      <c r="F303"/>
      <c r="G303"/>
      <c r="H303"/>
      <c r="I303"/>
      <c r="J303"/>
      <c r="K303"/>
    </row>
    <row r="304" spans="1:11" ht="12.75">
      <c r="A304"/>
      <c r="B304"/>
      <c r="C304"/>
      <c r="D304"/>
      <c r="E304"/>
      <c r="F304"/>
      <c r="G304"/>
      <c r="H304"/>
      <c r="I304"/>
      <c r="J304"/>
      <c r="K304"/>
    </row>
    <row r="305" spans="1:11" ht="12.75">
      <c r="A305"/>
      <c r="B305"/>
      <c r="C305"/>
      <c r="D305"/>
      <c r="E305"/>
      <c r="F305"/>
      <c r="G305"/>
      <c r="H305"/>
      <c r="I305"/>
      <c r="J305"/>
      <c r="K305"/>
    </row>
    <row r="306" spans="1:11" ht="12.75">
      <c r="A306"/>
      <c r="B306"/>
      <c r="C306"/>
      <c r="D306"/>
      <c r="E306"/>
      <c r="F306"/>
      <c r="G306"/>
      <c r="H306"/>
      <c r="I306"/>
      <c r="J306"/>
      <c r="K306"/>
    </row>
    <row r="307" spans="1:11" ht="12.75">
      <c r="A307"/>
      <c r="B307"/>
      <c r="C307"/>
      <c r="D307"/>
      <c r="E307"/>
      <c r="F307"/>
      <c r="G307"/>
      <c r="H307"/>
      <c r="I307"/>
      <c r="J307"/>
      <c r="K307"/>
    </row>
    <row r="308" spans="1:11" ht="12.75">
      <c r="A308"/>
      <c r="B308"/>
      <c r="C308"/>
      <c r="D308"/>
      <c r="E308"/>
      <c r="F308"/>
      <c r="G308"/>
      <c r="H308"/>
      <c r="I308"/>
      <c r="J308"/>
      <c r="K308"/>
    </row>
    <row r="309" spans="1:11" ht="12.75">
      <c r="A309"/>
      <c r="B309"/>
      <c r="C309"/>
      <c r="D309"/>
      <c r="E309"/>
      <c r="F309"/>
      <c r="G309"/>
      <c r="H309"/>
      <c r="I309"/>
      <c r="J309"/>
      <c r="K309"/>
    </row>
    <row r="310" spans="1:11" ht="12.75">
      <c r="A310"/>
      <c r="B310"/>
      <c r="C310"/>
      <c r="D310"/>
      <c r="E310"/>
      <c r="F310"/>
      <c r="G310"/>
      <c r="H310"/>
      <c r="I310"/>
      <c r="J310"/>
      <c r="K310"/>
    </row>
    <row r="311" spans="1:11" ht="12.75">
      <c r="A311"/>
      <c r="B311"/>
      <c r="C311"/>
      <c r="D311"/>
      <c r="E311"/>
      <c r="F311"/>
      <c r="G311"/>
      <c r="H311"/>
      <c r="I311"/>
      <c r="J311"/>
      <c r="K311"/>
    </row>
    <row r="312" spans="1:11" ht="12.75">
      <c r="A312"/>
      <c r="B312"/>
      <c r="C312"/>
      <c r="D312"/>
      <c r="E312"/>
      <c r="F312"/>
      <c r="G312"/>
      <c r="H312"/>
      <c r="I312"/>
      <c r="J312"/>
      <c r="K312"/>
    </row>
    <row r="313" spans="1:11" ht="12.75">
      <c r="A313"/>
      <c r="B313"/>
      <c r="C313"/>
      <c r="D313"/>
      <c r="E313"/>
      <c r="F313"/>
      <c r="G313"/>
      <c r="H313"/>
      <c r="I313"/>
      <c r="J313"/>
      <c r="K313"/>
    </row>
    <row r="314" spans="1:11" ht="12.75">
      <c r="A314"/>
      <c r="B314"/>
      <c r="C314"/>
      <c r="D314"/>
      <c r="E314"/>
      <c r="F314"/>
      <c r="G314"/>
      <c r="H314"/>
      <c r="I314"/>
      <c r="J314"/>
      <c r="K314"/>
    </row>
    <row r="315" spans="1:11" ht="12.75">
      <c r="A315"/>
      <c r="B315"/>
      <c r="C315"/>
      <c r="D315"/>
      <c r="E315"/>
      <c r="F315"/>
      <c r="G315"/>
      <c r="H315"/>
      <c r="I315"/>
      <c r="J315"/>
      <c r="K315"/>
    </row>
    <row r="316" spans="1:11" ht="12.75">
      <c r="A316"/>
      <c r="B316"/>
      <c r="C316"/>
      <c r="D316"/>
      <c r="E316"/>
      <c r="F316"/>
      <c r="G316"/>
      <c r="H316"/>
      <c r="I316"/>
      <c r="J316"/>
      <c r="K316"/>
    </row>
    <row r="317" spans="1:11" ht="12.75">
      <c r="A317"/>
      <c r="B317"/>
      <c r="C317"/>
      <c r="D317"/>
      <c r="E317"/>
      <c r="F317"/>
      <c r="G317"/>
      <c r="H317"/>
      <c r="I317"/>
      <c r="J317"/>
      <c r="K317"/>
    </row>
    <row r="318" spans="1:11" ht="12.75">
      <c r="A318"/>
      <c r="B318"/>
      <c r="C318"/>
      <c r="D318"/>
      <c r="E318"/>
      <c r="F318"/>
      <c r="G318"/>
      <c r="H318"/>
      <c r="I318"/>
      <c r="J318"/>
      <c r="K318"/>
    </row>
    <row r="319" spans="1:11" ht="12.75">
      <c r="A319"/>
      <c r="B319"/>
      <c r="C319"/>
      <c r="D319"/>
      <c r="E319"/>
      <c r="F319"/>
      <c r="G319"/>
      <c r="H319"/>
      <c r="I319"/>
      <c r="J319"/>
      <c r="K319"/>
    </row>
    <row r="320" spans="1:11" ht="12.75">
      <c r="A320"/>
      <c r="B320"/>
      <c r="C320"/>
      <c r="D320"/>
      <c r="E320"/>
      <c r="F320"/>
      <c r="G320"/>
      <c r="H320"/>
      <c r="I320"/>
      <c r="J320"/>
      <c r="K320"/>
    </row>
    <row r="321" spans="1:11" ht="12.75">
      <c r="A321"/>
      <c r="B321"/>
      <c r="C321"/>
      <c r="D321"/>
      <c r="E321"/>
      <c r="F321"/>
      <c r="G321"/>
      <c r="H321"/>
      <c r="I321"/>
      <c r="J321"/>
      <c r="K321"/>
    </row>
    <row r="322" spans="1:11" ht="12.75">
      <c r="A322"/>
      <c r="B322"/>
      <c r="C322"/>
      <c r="D322"/>
      <c r="E322"/>
      <c r="F322"/>
      <c r="G322"/>
      <c r="H322"/>
      <c r="I322"/>
      <c r="J322"/>
      <c r="K322"/>
    </row>
    <row r="323" spans="1:11" ht="12.75">
      <c r="A323"/>
      <c r="B323"/>
      <c r="C323"/>
      <c r="D323"/>
      <c r="E323"/>
      <c r="F323"/>
      <c r="G323"/>
      <c r="H323"/>
      <c r="I323"/>
      <c r="J323"/>
      <c r="K323"/>
    </row>
    <row r="324" spans="1:11" ht="12.75">
      <c r="A324"/>
      <c r="B324"/>
      <c r="C324"/>
      <c r="D324"/>
      <c r="E324"/>
      <c r="F324"/>
      <c r="G324"/>
      <c r="H324"/>
      <c r="I324"/>
      <c r="J324"/>
      <c r="K324"/>
    </row>
    <row r="325" spans="1:11" ht="12.75">
      <c r="A325"/>
      <c r="B325"/>
      <c r="C325"/>
      <c r="D325"/>
      <c r="E325"/>
      <c r="F325"/>
      <c r="G325"/>
      <c r="H325"/>
      <c r="I325"/>
      <c r="J325"/>
      <c r="K325"/>
    </row>
    <row r="326" spans="1:11" ht="12.75">
      <c r="A326"/>
      <c r="B326"/>
      <c r="C326"/>
      <c r="D326"/>
      <c r="E326"/>
      <c r="F326"/>
      <c r="G326"/>
      <c r="H326"/>
      <c r="I326"/>
      <c r="J326"/>
      <c r="K326"/>
    </row>
    <row r="327" spans="1:11" ht="12.75">
      <c r="A327"/>
      <c r="B327"/>
      <c r="C327"/>
      <c r="D327"/>
      <c r="E327"/>
      <c r="F327"/>
      <c r="G327"/>
      <c r="H327"/>
      <c r="I327"/>
      <c r="J327"/>
      <c r="K327"/>
    </row>
    <row r="328" spans="1:11" ht="12.75">
      <c r="A328"/>
      <c r="B328"/>
      <c r="C328"/>
      <c r="D328"/>
      <c r="E328"/>
      <c r="F328"/>
      <c r="G328"/>
      <c r="H328"/>
      <c r="I328"/>
      <c r="J328"/>
      <c r="K328"/>
    </row>
    <row r="329" spans="1:11" ht="12.75">
      <c r="A329"/>
      <c r="B329"/>
      <c r="C329"/>
      <c r="D329"/>
      <c r="E329"/>
      <c r="F329"/>
      <c r="G329"/>
      <c r="H329"/>
      <c r="I329"/>
      <c r="J329"/>
      <c r="K329"/>
    </row>
    <row r="330" spans="1:11" ht="12.75">
      <c r="A330"/>
      <c r="B330"/>
      <c r="C330"/>
      <c r="D330"/>
      <c r="E330"/>
      <c r="F330"/>
      <c r="G330"/>
      <c r="H330"/>
      <c r="I330"/>
      <c r="J330"/>
      <c r="K330"/>
    </row>
    <row r="331" spans="1:11" ht="12.75">
      <c r="A331"/>
      <c r="B331"/>
      <c r="C331"/>
      <c r="D331"/>
      <c r="E331"/>
      <c r="F331"/>
      <c r="G331"/>
      <c r="H331"/>
      <c r="I331"/>
      <c r="J331"/>
      <c r="K331"/>
    </row>
    <row r="332" spans="1:11" ht="12.75">
      <c r="A332"/>
      <c r="B332"/>
      <c r="C332"/>
      <c r="D332"/>
      <c r="E332"/>
      <c r="F332"/>
      <c r="G332"/>
      <c r="H332"/>
      <c r="I332"/>
      <c r="J332"/>
      <c r="K332"/>
    </row>
    <row r="333" spans="1:11" ht="12.75">
      <c r="A333"/>
      <c r="B333"/>
      <c r="C333"/>
      <c r="D333"/>
      <c r="E333"/>
      <c r="F333"/>
      <c r="G333"/>
      <c r="H333"/>
      <c r="I333"/>
      <c r="J333"/>
      <c r="K333"/>
    </row>
    <row r="334" spans="1:11" ht="12.75">
      <c r="A334"/>
      <c r="B334"/>
      <c r="C334"/>
      <c r="D334"/>
      <c r="E334"/>
      <c r="F334"/>
      <c r="G334"/>
      <c r="H334"/>
      <c r="I334"/>
      <c r="J334"/>
      <c r="K334"/>
    </row>
    <row r="335" spans="1:11" ht="12.75">
      <c r="A335"/>
      <c r="B335"/>
      <c r="C335"/>
      <c r="D335"/>
      <c r="E335"/>
      <c r="F335"/>
      <c r="G335"/>
      <c r="H335"/>
      <c r="I335"/>
      <c r="J335"/>
      <c r="K335"/>
    </row>
    <row r="336" spans="1:11" ht="12.75">
      <c r="A336"/>
      <c r="B336"/>
      <c r="C336"/>
      <c r="D336"/>
      <c r="E336"/>
      <c r="F336"/>
      <c r="G336"/>
      <c r="H336"/>
      <c r="I336"/>
      <c r="J336"/>
      <c r="K336"/>
    </row>
    <row r="337" spans="1:11" ht="12.75">
      <c r="A337"/>
      <c r="B337"/>
      <c r="C337"/>
      <c r="D337"/>
      <c r="E337"/>
      <c r="F337"/>
      <c r="G337"/>
      <c r="H337"/>
      <c r="I337"/>
      <c r="J337"/>
      <c r="K337"/>
    </row>
    <row r="338" spans="1:11" ht="12.75">
      <c r="A338"/>
      <c r="B338"/>
      <c r="C338"/>
      <c r="D338"/>
      <c r="E338"/>
      <c r="F338"/>
      <c r="G338"/>
      <c r="H338"/>
      <c r="I338"/>
      <c r="J338"/>
      <c r="K338"/>
    </row>
    <row r="339" spans="1:11" ht="12.75">
      <c r="A339"/>
      <c r="B339"/>
      <c r="C339"/>
      <c r="D339"/>
      <c r="E339"/>
      <c r="F339"/>
      <c r="G339"/>
      <c r="H339"/>
      <c r="I339"/>
      <c r="J339"/>
      <c r="K339"/>
    </row>
    <row r="340" spans="1:11" ht="12.75">
      <c r="A340"/>
      <c r="B340"/>
      <c r="C340"/>
      <c r="D340"/>
      <c r="E340"/>
      <c r="F340"/>
      <c r="G340"/>
      <c r="H340"/>
      <c r="I340"/>
      <c r="J340"/>
      <c r="K340"/>
    </row>
    <row r="341" spans="1:11" ht="12.75">
      <c r="A341"/>
      <c r="B341"/>
      <c r="C341"/>
      <c r="D341"/>
      <c r="E341"/>
      <c r="F341"/>
      <c r="G341"/>
      <c r="H341"/>
      <c r="I341"/>
      <c r="J341"/>
      <c r="K341"/>
    </row>
    <row r="342" spans="1:11" ht="12.75">
      <c r="A342"/>
      <c r="B342"/>
      <c r="C342"/>
      <c r="D342"/>
      <c r="E342"/>
      <c r="F342"/>
      <c r="G342"/>
      <c r="H342"/>
      <c r="I342"/>
      <c r="J342"/>
      <c r="K342"/>
    </row>
    <row r="343" spans="1:11" ht="12.75">
      <c r="A343"/>
      <c r="B343"/>
      <c r="C343"/>
      <c r="D343"/>
      <c r="E343"/>
      <c r="F343"/>
      <c r="G343"/>
      <c r="H343"/>
      <c r="I343"/>
      <c r="J343"/>
      <c r="K343"/>
    </row>
    <row r="344" spans="1:11" ht="12.75">
      <c r="A344"/>
      <c r="B344"/>
      <c r="C344"/>
      <c r="D344"/>
      <c r="E344"/>
      <c r="F344"/>
      <c r="G344"/>
      <c r="H344"/>
      <c r="I344"/>
      <c r="J344"/>
      <c r="K344"/>
    </row>
    <row r="345" spans="1:11" ht="12.75">
      <c r="A345"/>
      <c r="B345"/>
      <c r="C345"/>
      <c r="D345"/>
      <c r="E345"/>
      <c r="F345"/>
      <c r="G345"/>
      <c r="H345"/>
      <c r="I345"/>
      <c r="J345"/>
      <c r="K345"/>
    </row>
    <row r="346" spans="1:11" ht="12.75">
      <c r="A346"/>
      <c r="B346"/>
      <c r="C346"/>
      <c r="D346"/>
      <c r="E346"/>
      <c r="F346"/>
      <c r="G346"/>
      <c r="H346"/>
      <c r="I346"/>
      <c r="J346"/>
      <c r="K346"/>
    </row>
    <row r="347" spans="1:11" ht="12.75">
      <c r="A347"/>
      <c r="B347"/>
      <c r="C347"/>
      <c r="D347"/>
      <c r="E347"/>
      <c r="F347"/>
      <c r="G347"/>
      <c r="H347"/>
      <c r="I347"/>
      <c r="J347"/>
      <c r="K347"/>
    </row>
    <row r="348" spans="1:11" ht="12.75">
      <c r="A348"/>
      <c r="B348"/>
      <c r="C348"/>
      <c r="D348"/>
      <c r="E348"/>
      <c r="F348"/>
      <c r="G348"/>
      <c r="H348"/>
      <c r="I348"/>
      <c r="J348"/>
      <c r="K348"/>
    </row>
    <row r="349" spans="1:11" ht="12.75">
      <c r="A349"/>
      <c r="B349"/>
      <c r="C349"/>
      <c r="D349"/>
      <c r="E349"/>
      <c r="F349"/>
      <c r="G349"/>
      <c r="H349"/>
      <c r="I349"/>
      <c r="J349"/>
      <c r="K349"/>
    </row>
    <row r="350" spans="1:11" ht="12.75">
      <c r="A350"/>
      <c r="B350"/>
      <c r="C350"/>
      <c r="D350"/>
      <c r="E350"/>
      <c r="F350"/>
      <c r="G350"/>
      <c r="H350"/>
      <c r="I350"/>
      <c r="J350"/>
      <c r="K350"/>
    </row>
    <row r="351" spans="1:11" ht="12.75">
      <c r="A351"/>
      <c r="B351"/>
      <c r="C351"/>
      <c r="D351"/>
      <c r="E351"/>
      <c r="F351"/>
      <c r="G351"/>
      <c r="H351"/>
      <c r="I351"/>
      <c r="J351"/>
      <c r="K351"/>
    </row>
    <row r="352" spans="1:11" ht="12.75">
      <c r="A352"/>
      <c r="B352"/>
      <c r="C352"/>
      <c r="D352"/>
      <c r="E352"/>
      <c r="F352"/>
      <c r="G352"/>
      <c r="H352"/>
      <c r="I352"/>
      <c r="J352"/>
      <c r="K352"/>
    </row>
    <row r="353" spans="1:11" ht="12.75">
      <c r="A353"/>
      <c r="B353"/>
      <c r="C353"/>
      <c r="D353"/>
      <c r="E353"/>
      <c r="F353"/>
      <c r="G353"/>
      <c r="H353"/>
      <c r="I353"/>
      <c r="J353"/>
      <c r="K353"/>
    </row>
    <row r="354" spans="1:11" ht="12.75">
      <c r="A354"/>
      <c r="B354"/>
      <c r="C354"/>
      <c r="D354"/>
      <c r="E354"/>
      <c r="F354"/>
      <c r="G354"/>
      <c r="H354"/>
      <c r="I354"/>
      <c r="J354"/>
      <c r="K354"/>
    </row>
    <row r="355" spans="1:11" ht="12.75">
      <c r="A355"/>
      <c r="B355"/>
      <c r="C355"/>
      <c r="D355"/>
      <c r="E355"/>
      <c r="F355"/>
      <c r="G355"/>
      <c r="H355"/>
      <c r="I355"/>
      <c r="J355"/>
      <c r="K355"/>
    </row>
    <row r="356" spans="1:11" ht="12.75">
      <c r="A356"/>
      <c r="B356"/>
      <c r="C356"/>
      <c r="D356"/>
      <c r="E356"/>
      <c r="F356"/>
      <c r="G356"/>
      <c r="H356"/>
      <c r="I356"/>
      <c r="J356"/>
      <c r="K356"/>
    </row>
    <row r="357" spans="1:11" ht="12.75">
      <c r="A357"/>
      <c r="B357"/>
      <c r="C357"/>
      <c r="D357"/>
      <c r="E357"/>
      <c r="F357"/>
      <c r="G357"/>
      <c r="H357"/>
      <c r="I357"/>
      <c r="J357"/>
      <c r="K357"/>
    </row>
    <row r="358" spans="1:11" ht="12.75">
      <c r="A358"/>
      <c r="B358"/>
      <c r="C358"/>
      <c r="D358"/>
      <c r="E358"/>
      <c r="F358"/>
      <c r="G358"/>
      <c r="H358"/>
      <c r="I358"/>
      <c r="J358"/>
      <c r="K358"/>
    </row>
    <row r="359" spans="1:11" ht="12.75">
      <c r="A359"/>
      <c r="B359"/>
      <c r="C359"/>
      <c r="D359"/>
      <c r="E359"/>
      <c r="F359"/>
      <c r="G359"/>
      <c r="H359"/>
      <c r="I359"/>
      <c r="J359"/>
      <c r="K359"/>
    </row>
    <row r="360" spans="1:11" ht="12.75">
      <c r="A360"/>
      <c r="B360"/>
      <c r="C360"/>
      <c r="D360"/>
      <c r="E360"/>
      <c r="F360"/>
      <c r="G360"/>
      <c r="H360"/>
      <c r="I360"/>
      <c r="J360"/>
      <c r="K360"/>
    </row>
    <row r="361" spans="1:11" ht="12.75">
      <c r="A361"/>
      <c r="B361"/>
      <c r="C361"/>
      <c r="D361"/>
      <c r="E361"/>
      <c r="F361"/>
      <c r="G361"/>
      <c r="H361"/>
      <c r="I361"/>
      <c r="J361"/>
      <c r="K361"/>
    </row>
    <row r="362" spans="1:11" ht="12.75">
      <c r="A362"/>
      <c r="B362"/>
      <c r="C362"/>
      <c r="D362"/>
      <c r="E362"/>
      <c r="F362"/>
      <c r="G362"/>
      <c r="H362"/>
      <c r="I362"/>
      <c r="J362"/>
      <c r="K362"/>
    </row>
    <row r="363" spans="1:11" ht="12.75">
      <c r="A363"/>
      <c r="B363"/>
      <c r="C363"/>
      <c r="D363"/>
      <c r="E363"/>
      <c r="F363"/>
      <c r="G363"/>
      <c r="H363"/>
      <c r="I363"/>
      <c r="J363"/>
      <c r="K363"/>
    </row>
    <row r="364" spans="1:11" ht="12.75">
      <c r="A364"/>
      <c r="B364"/>
      <c r="C364"/>
      <c r="D364"/>
      <c r="E364"/>
      <c r="F364"/>
      <c r="G364"/>
      <c r="H364"/>
      <c r="I364"/>
      <c r="J364"/>
      <c r="K364"/>
    </row>
    <row r="365" spans="1:11" ht="12.75">
      <c r="A365"/>
      <c r="B365"/>
      <c r="C365"/>
      <c r="D365"/>
      <c r="E365"/>
      <c r="F365"/>
      <c r="G365"/>
      <c r="H365"/>
      <c r="I365"/>
      <c r="J365"/>
      <c r="K365"/>
    </row>
    <row r="366" spans="1:11" ht="12.75">
      <c r="A366"/>
      <c r="B366"/>
      <c r="C366"/>
      <c r="D366"/>
      <c r="E366"/>
      <c r="F366"/>
      <c r="G366"/>
      <c r="H366"/>
      <c r="I366"/>
      <c r="J366"/>
      <c r="K366"/>
    </row>
    <row r="367" spans="1:11" ht="12.75">
      <c r="A367"/>
      <c r="B367"/>
      <c r="C367"/>
      <c r="D367"/>
      <c r="E367"/>
      <c r="F367"/>
      <c r="G367"/>
      <c r="H367"/>
      <c r="I367"/>
      <c r="J367"/>
      <c r="K367"/>
    </row>
    <row r="368" spans="1:11" ht="12.75">
      <c r="A368"/>
      <c r="B368"/>
      <c r="C368"/>
      <c r="D368"/>
      <c r="E368"/>
      <c r="F368"/>
      <c r="G368"/>
      <c r="H368"/>
      <c r="I368"/>
      <c r="J368"/>
      <c r="K368"/>
    </row>
    <row r="369" spans="1:11" ht="12.75">
      <c r="A369"/>
      <c r="B369"/>
      <c r="C369"/>
      <c r="D369"/>
      <c r="E369"/>
      <c r="F369"/>
      <c r="G369"/>
      <c r="H369"/>
      <c r="I369"/>
      <c r="J369"/>
      <c r="K369"/>
    </row>
    <row r="370" spans="1:11" ht="12.75">
      <c r="A370"/>
      <c r="B370"/>
      <c r="C370"/>
      <c r="D370"/>
      <c r="E370"/>
      <c r="F370"/>
      <c r="G370"/>
      <c r="H370"/>
      <c r="I370"/>
      <c r="J370"/>
      <c r="K370"/>
    </row>
    <row r="371" spans="1:11" ht="12.75">
      <c r="A371"/>
      <c r="B371"/>
      <c r="C371"/>
      <c r="D371"/>
      <c r="E371"/>
      <c r="F371"/>
      <c r="G371"/>
      <c r="H371"/>
      <c r="I371"/>
      <c r="J371"/>
      <c r="K371"/>
    </row>
    <row r="372" spans="1:11" ht="12.75">
      <c r="A372"/>
      <c r="B372"/>
      <c r="C372"/>
      <c r="D372"/>
      <c r="E372"/>
      <c r="F372"/>
      <c r="G372"/>
      <c r="H372"/>
      <c r="I372"/>
      <c r="J372"/>
      <c r="K372"/>
    </row>
    <row r="373" spans="1:11" ht="12.75">
      <c r="A373"/>
      <c r="B373"/>
      <c r="C373"/>
      <c r="D373"/>
      <c r="E373"/>
      <c r="F373"/>
      <c r="G373"/>
      <c r="H373"/>
      <c r="I373"/>
      <c r="J373"/>
      <c r="K373"/>
    </row>
    <row r="374" spans="1:11" ht="12.75">
      <c r="A374"/>
      <c r="B374"/>
      <c r="C374"/>
      <c r="D374"/>
      <c r="E374"/>
      <c r="F374"/>
      <c r="G374"/>
      <c r="H374"/>
      <c r="I374"/>
      <c r="J374"/>
      <c r="K374"/>
    </row>
    <row r="375" spans="1:11" ht="12.75">
      <c r="A375"/>
      <c r="B375"/>
      <c r="C375"/>
      <c r="D375"/>
      <c r="E375"/>
      <c r="F375"/>
      <c r="G375"/>
      <c r="H375"/>
      <c r="I375"/>
      <c r="J375"/>
      <c r="K375"/>
    </row>
    <row r="376" spans="1:11" ht="12.75">
      <c r="A376"/>
      <c r="B376"/>
      <c r="C376"/>
      <c r="D376"/>
      <c r="E376"/>
      <c r="F376"/>
      <c r="G376"/>
      <c r="H376"/>
      <c r="I376"/>
      <c r="J376"/>
      <c r="K376"/>
    </row>
    <row r="377" spans="1:11" ht="12.75">
      <c r="A377"/>
      <c r="B377"/>
      <c r="C377"/>
      <c r="D377"/>
      <c r="E377"/>
      <c r="F377"/>
      <c r="G377"/>
      <c r="H377"/>
      <c r="I377"/>
      <c r="J377"/>
      <c r="K377"/>
    </row>
    <row r="378" spans="1:11" ht="12.75">
      <c r="A378"/>
      <c r="B378"/>
      <c r="C378"/>
      <c r="D378"/>
      <c r="E378"/>
      <c r="F378"/>
      <c r="G378"/>
      <c r="H378"/>
      <c r="I378"/>
      <c r="J378"/>
      <c r="K378"/>
    </row>
    <row r="379" spans="1:11" ht="12.75">
      <c r="A379"/>
      <c r="B379"/>
      <c r="C379"/>
      <c r="D379"/>
      <c r="E379"/>
      <c r="F379"/>
      <c r="G379"/>
      <c r="H379"/>
      <c r="I379"/>
      <c r="J379"/>
      <c r="K379"/>
    </row>
    <row r="380" spans="1:11" ht="12.75">
      <c r="A380"/>
      <c r="B380"/>
      <c r="C380"/>
      <c r="D380"/>
      <c r="E380"/>
      <c r="F380"/>
      <c r="G380"/>
      <c r="H380"/>
      <c r="I380"/>
      <c r="J380"/>
      <c r="K380"/>
    </row>
    <row r="381" spans="1:11" ht="12.75">
      <c r="A381"/>
      <c r="B381"/>
      <c r="C381"/>
      <c r="D381"/>
      <c r="E381"/>
      <c r="F381"/>
      <c r="G381"/>
      <c r="H381"/>
      <c r="I381"/>
      <c r="J381"/>
      <c r="K381"/>
    </row>
    <row r="382" spans="1:11" ht="12.75">
      <c r="A382"/>
      <c r="B382"/>
      <c r="C382"/>
      <c r="D382"/>
      <c r="E382"/>
      <c r="F382"/>
      <c r="G382"/>
      <c r="H382"/>
      <c r="I382"/>
      <c r="J382"/>
      <c r="K382"/>
    </row>
    <row r="383" spans="1:11" ht="12.75">
      <c r="A383"/>
      <c r="B383"/>
      <c r="C383"/>
      <c r="D383"/>
      <c r="E383"/>
      <c r="F383"/>
      <c r="G383"/>
      <c r="H383"/>
      <c r="I383"/>
      <c r="J383"/>
      <c r="K383"/>
    </row>
    <row r="384" spans="1:11" ht="12.75">
      <c r="A384"/>
      <c r="B384"/>
      <c r="C384"/>
      <c r="D384"/>
      <c r="E384"/>
      <c r="F384"/>
      <c r="G384"/>
      <c r="H384"/>
      <c r="I384"/>
      <c r="J384"/>
      <c r="K384"/>
    </row>
    <row r="385" spans="1:11" ht="12.75">
      <c r="A385"/>
      <c r="B385"/>
      <c r="C385"/>
      <c r="D385"/>
      <c r="E385"/>
      <c r="F385"/>
      <c r="G385"/>
      <c r="H385"/>
      <c r="I385"/>
      <c r="J385"/>
      <c r="K385"/>
    </row>
    <row r="386" spans="1:11" ht="12.75">
      <c r="A386"/>
      <c r="B386"/>
      <c r="C386"/>
      <c r="D386"/>
      <c r="E386"/>
      <c r="F386"/>
      <c r="G386"/>
      <c r="H386"/>
      <c r="I386"/>
      <c r="J386"/>
      <c r="K386"/>
    </row>
    <row r="387" spans="1:11" ht="12.75">
      <c r="A387"/>
      <c r="B387"/>
      <c r="C387"/>
      <c r="D387"/>
      <c r="E387"/>
      <c r="F387"/>
      <c r="G387"/>
      <c r="H387"/>
      <c r="I387"/>
      <c r="J387"/>
      <c r="K387"/>
    </row>
    <row r="388" spans="1:11" ht="12.75">
      <c r="A388"/>
      <c r="B388"/>
      <c r="C388"/>
      <c r="D388"/>
      <c r="E388"/>
      <c r="F388"/>
      <c r="G388"/>
      <c r="H388"/>
      <c r="I388"/>
      <c r="J388"/>
      <c r="K388"/>
    </row>
    <row r="389" spans="1:11" ht="12.75">
      <c r="A389"/>
      <c r="B389"/>
      <c r="C389"/>
      <c r="D389"/>
      <c r="E389"/>
      <c r="F389"/>
      <c r="G389"/>
      <c r="H389"/>
      <c r="I389"/>
      <c r="J389"/>
      <c r="K389"/>
    </row>
    <row r="390" spans="1:11" ht="12.75">
      <c r="A390"/>
      <c r="B390"/>
      <c r="C390"/>
      <c r="D390"/>
      <c r="E390"/>
      <c r="F390"/>
      <c r="G390"/>
      <c r="H390"/>
      <c r="I390"/>
      <c r="J390"/>
      <c r="K390"/>
    </row>
    <row r="391" spans="1:11" ht="12.75">
      <c r="A391"/>
      <c r="B391"/>
      <c r="C391"/>
      <c r="D391"/>
      <c r="E391"/>
      <c r="F391"/>
      <c r="G391"/>
      <c r="H391"/>
      <c r="I391"/>
      <c r="J391"/>
      <c r="K391"/>
    </row>
    <row r="392" spans="1:11" ht="12.75">
      <c r="A392"/>
      <c r="B392"/>
      <c r="C392"/>
      <c r="D392"/>
      <c r="E392"/>
      <c r="F392"/>
      <c r="G392"/>
      <c r="H392"/>
      <c r="I392"/>
      <c r="J392"/>
      <c r="K392"/>
    </row>
    <row r="393" spans="1:11" ht="12.75">
      <c r="A393"/>
      <c r="B393"/>
      <c r="C393"/>
      <c r="D393"/>
      <c r="E393"/>
      <c r="F393"/>
      <c r="G393"/>
      <c r="H393"/>
      <c r="I393"/>
      <c r="J393"/>
      <c r="K393"/>
    </row>
    <row r="394" spans="1:11" ht="12.75">
      <c r="A394"/>
      <c r="B394"/>
      <c r="C394"/>
      <c r="D394"/>
      <c r="E394"/>
      <c r="F394"/>
      <c r="G394"/>
      <c r="H394"/>
      <c r="I394"/>
      <c r="J394"/>
      <c r="K394"/>
    </row>
    <row r="395" spans="1:11" ht="12.75">
      <c r="A395"/>
      <c r="B395"/>
      <c r="C395"/>
      <c r="D395"/>
      <c r="E395"/>
      <c r="F395"/>
      <c r="G395"/>
      <c r="H395"/>
      <c r="I395"/>
      <c r="J395"/>
      <c r="K395"/>
    </row>
    <row r="396" spans="1:11" ht="12.75">
      <c r="A396"/>
      <c r="B396"/>
      <c r="C396"/>
      <c r="D396"/>
      <c r="E396"/>
      <c r="F396"/>
      <c r="G396"/>
      <c r="H396"/>
      <c r="I396"/>
      <c r="J396"/>
      <c r="K396"/>
    </row>
    <row r="397" spans="1:11" ht="12.75">
      <c r="A397"/>
      <c r="B397"/>
      <c r="C397"/>
      <c r="D397"/>
      <c r="E397"/>
      <c r="F397"/>
      <c r="G397"/>
      <c r="H397"/>
      <c r="I397"/>
      <c r="J397"/>
      <c r="K397"/>
    </row>
    <row r="398" spans="1:11" ht="12.75">
      <c r="A398"/>
      <c r="B398"/>
      <c r="C398"/>
      <c r="D398"/>
      <c r="E398"/>
      <c r="F398"/>
      <c r="G398"/>
      <c r="H398"/>
      <c r="I398"/>
      <c r="J398"/>
      <c r="K398"/>
    </row>
    <row r="399" spans="1:11" ht="12.75">
      <c r="A399"/>
      <c r="B399"/>
      <c r="C399"/>
      <c r="D399"/>
      <c r="E399"/>
      <c r="F399"/>
      <c r="G399"/>
      <c r="H399"/>
      <c r="I399"/>
      <c r="J399"/>
      <c r="K399"/>
    </row>
    <row r="400" spans="1:11" ht="12.75">
      <c r="A400"/>
      <c r="B400"/>
      <c r="C400"/>
      <c r="D400"/>
      <c r="E400"/>
      <c r="F400"/>
      <c r="G400"/>
      <c r="H400"/>
      <c r="I400"/>
      <c r="J400"/>
      <c r="K400"/>
    </row>
    <row r="401" spans="1:11" ht="12.75">
      <c r="A401"/>
      <c r="B401"/>
      <c r="C401"/>
      <c r="D401"/>
      <c r="E401"/>
      <c r="F401"/>
      <c r="G401"/>
      <c r="H401"/>
      <c r="I401"/>
      <c r="J401"/>
      <c r="K401"/>
    </row>
    <row r="402" spans="1:11" ht="12.75">
      <c r="A402"/>
      <c r="B402"/>
      <c r="C402"/>
      <c r="D402"/>
      <c r="E402"/>
      <c r="F402"/>
      <c r="G402"/>
      <c r="H402"/>
      <c r="I402"/>
      <c r="J402"/>
      <c r="K402"/>
    </row>
    <row r="403" spans="1:11" ht="12.75">
      <c r="A403"/>
      <c r="B403"/>
      <c r="C403"/>
      <c r="D403"/>
      <c r="E403"/>
      <c r="F403"/>
      <c r="G403"/>
      <c r="H403"/>
      <c r="I403"/>
      <c r="J403"/>
      <c r="K403"/>
    </row>
    <row r="404" spans="1:11" ht="12.75">
      <c r="A404"/>
      <c r="B404"/>
      <c r="C404"/>
      <c r="D404"/>
      <c r="E404"/>
      <c r="F404"/>
      <c r="G404"/>
      <c r="H404"/>
      <c r="I404"/>
      <c r="J404"/>
      <c r="K404"/>
    </row>
    <row r="405" spans="1:11" ht="12.75">
      <c r="A405"/>
      <c r="B405"/>
      <c r="C405"/>
      <c r="D405"/>
      <c r="E405"/>
      <c r="F405"/>
      <c r="G405"/>
      <c r="H405"/>
      <c r="I405"/>
      <c r="J405"/>
      <c r="K405"/>
    </row>
    <row r="406" spans="1:11" ht="12.75">
      <c r="A406"/>
      <c r="B406"/>
      <c r="C406"/>
      <c r="D406"/>
      <c r="E406"/>
      <c r="F406"/>
      <c r="G406"/>
      <c r="H406"/>
      <c r="I406"/>
      <c r="J406"/>
      <c r="K406"/>
    </row>
    <row r="407" spans="1:11" ht="12.75">
      <c r="A407"/>
      <c r="B407"/>
      <c r="C407"/>
      <c r="D407"/>
      <c r="E407"/>
      <c r="F407"/>
      <c r="G407"/>
      <c r="H407"/>
      <c r="I407"/>
      <c r="J407"/>
      <c r="K407"/>
    </row>
    <row r="408" spans="1:11" ht="12.75">
      <c r="A408"/>
      <c r="B408"/>
      <c r="C408"/>
      <c r="D408"/>
      <c r="E408"/>
      <c r="F408"/>
      <c r="G408"/>
      <c r="H408"/>
      <c r="I408"/>
      <c r="J408"/>
      <c r="K408"/>
    </row>
    <row r="409" spans="1:11" ht="12.75">
      <c r="A409"/>
      <c r="B409"/>
      <c r="C409"/>
      <c r="D409"/>
      <c r="E409"/>
      <c r="F409"/>
      <c r="G409"/>
      <c r="H409"/>
      <c r="I409"/>
      <c r="J409"/>
      <c r="K409"/>
    </row>
    <row r="410" spans="1:11" ht="12.75">
      <c r="A410"/>
      <c r="B410"/>
      <c r="C410"/>
      <c r="D410"/>
      <c r="E410"/>
      <c r="F410"/>
      <c r="G410"/>
      <c r="H410"/>
      <c r="I410"/>
      <c r="J410"/>
      <c r="K410"/>
    </row>
    <row r="411" spans="1:11" ht="12.75">
      <c r="A411"/>
      <c r="B411"/>
      <c r="C411"/>
      <c r="D411"/>
      <c r="E411"/>
      <c r="F411"/>
      <c r="G411"/>
      <c r="H411"/>
      <c r="I411"/>
      <c r="J411"/>
      <c r="K411"/>
    </row>
    <row r="412" spans="1:11" ht="12.75">
      <c r="A412"/>
      <c r="B412"/>
      <c r="C412"/>
      <c r="D412"/>
      <c r="E412"/>
      <c r="F412"/>
      <c r="G412"/>
      <c r="H412"/>
      <c r="I412"/>
      <c r="J412"/>
      <c r="K412"/>
    </row>
    <row r="413" spans="1:11" ht="12.75">
      <c r="A413"/>
      <c r="B413"/>
      <c r="C413"/>
      <c r="D413"/>
      <c r="E413"/>
      <c r="F413"/>
      <c r="G413"/>
      <c r="H413"/>
      <c r="I413"/>
      <c r="J413"/>
      <c r="K413"/>
    </row>
    <row r="414" spans="1:11" ht="12.75">
      <c r="A414"/>
      <c r="B414"/>
      <c r="C414"/>
      <c r="D414"/>
      <c r="E414"/>
      <c r="F414"/>
      <c r="G414"/>
      <c r="H414"/>
      <c r="I414"/>
      <c r="J414"/>
      <c r="K414"/>
    </row>
    <row r="415" spans="1:11" ht="12.75">
      <c r="A415"/>
      <c r="B415"/>
      <c r="C415"/>
      <c r="D415"/>
      <c r="E415"/>
      <c r="F415"/>
      <c r="G415"/>
      <c r="H415"/>
      <c r="I415"/>
      <c r="J415"/>
      <c r="K415"/>
    </row>
    <row r="416" spans="1:11" ht="12.75">
      <c r="A416"/>
      <c r="B416"/>
      <c r="C416"/>
      <c r="D416"/>
      <c r="E416"/>
      <c r="F416"/>
      <c r="G416"/>
      <c r="H416"/>
      <c r="I416"/>
      <c r="J416"/>
      <c r="K416"/>
    </row>
    <row r="417" spans="1:11" ht="12.75">
      <c r="A417"/>
      <c r="B417"/>
      <c r="C417"/>
      <c r="D417"/>
      <c r="E417"/>
      <c r="F417"/>
      <c r="G417"/>
      <c r="H417"/>
      <c r="I417"/>
      <c r="J417"/>
      <c r="K417"/>
    </row>
    <row r="418" spans="1:11" ht="12.75">
      <c r="A418"/>
      <c r="B418"/>
      <c r="C418"/>
      <c r="D418"/>
      <c r="E418"/>
      <c r="F418"/>
      <c r="G418"/>
      <c r="H418"/>
      <c r="I418"/>
      <c r="J418"/>
      <c r="K418"/>
    </row>
    <row r="419" spans="1:11" ht="12.75">
      <c r="A419"/>
      <c r="B419"/>
      <c r="C419"/>
      <c r="D419"/>
      <c r="E419"/>
      <c r="F419"/>
      <c r="G419"/>
      <c r="H419"/>
      <c r="I419"/>
      <c r="J419"/>
      <c r="K419"/>
    </row>
    <row r="420" spans="1:11" ht="12.75">
      <c r="A420"/>
      <c r="B420"/>
      <c r="C420"/>
      <c r="D420"/>
      <c r="E420"/>
      <c r="F420"/>
      <c r="G420"/>
      <c r="H420"/>
      <c r="I420"/>
      <c r="J420"/>
      <c r="K420"/>
    </row>
    <row r="421" spans="1:11" ht="12.75">
      <c r="A421"/>
      <c r="B421"/>
      <c r="C421"/>
      <c r="D421"/>
      <c r="E421"/>
      <c r="F421"/>
      <c r="G421"/>
      <c r="H421"/>
      <c r="I421"/>
      <c r="J421"/>
      <c r="K421"/>
    </row>
    <row r="422" spans="1:11" ht="12.75">
      <c r="A422"/>
      <c r="B422"/>
      <c r="C422"/>
      <c r="D422"/>
      <c r="E422"/>
      <c r="F422"/>
      <c r="G422"/>
      <c r="H422"/>
      <c r="I422"/>
      <c r="J422"/>
      <c r="K422"/>
    </row>
    <row r="423" spans="1:11" ht="12.75">
      <c r="A423"/>
      <c r="B423"/>
      <c r="C423"/>
      <c r="D423"/>
      <c r="E423"/>
      <c r="F423"/>
      <c r="G423"/>
      <c r="H423"/>
      <c r="I423"/>
      <c r="J423"/>
      <c r="K423"/>
    </row>
    <row r="424" spans="1:11" ht="12.75">
      <c r="A424"/>
      <c r="B424"/>
      <c r="C424"/>
      <c r="D424"/>
      <c r="E424"/>
      <c r="F424"/>
      <c r="G424"/>
      <c r="H424"/>
      <c r="I424"/>
      <c r="J424"/>
      <c r="K424"/>
    </row>
    <row r="425" spans="1:11" ht="12.75">
      <c r="A425"/>
      <c r="B425"/>
      <c r="C425"/>
      <c r="D425"/>
      <c r="E425"/>
      <c r="F425"/>
      <c r="G425"/>
      <c r="H425"/>
      <c r="I425"/>
      <c r="J425"/>
      <c r="K425"/>
    </row>
    <row r="426" spans="1:11" ht="12.75">
      <c r="A426"/>
      <c r="B426"/>
      <c r="C426"/>
      <c r="D426"/>
      <c r="E426"/>
      <c r="F426"/>
      <c r="G426"/>
      <c r="H426"/>
      <c r="I426"/>
      <c r="J426"/>
      <c r="K426"/>
    </row>
    <row r="427" spans="1:11" ht="12.75">
      <c r="A427"/>
      <c r="B427"/>
      <c r="C427"/>
      <c r="D427"/>
      <c r="E427"/>
      <c r="F427"/>
      <c r="G427"/>
      <c r="H427"/>
      <c r="I427"/>
      <c r="J427"/>
      <c r="K427"/>
    </row>
    <row r="428" spans="1:11" ht="12.75">
      <c r="A428"/>
      <c r="B428"/>
      <c r="C428"/>
      <c r="D428"/>
      <c r="E428"/>
      <c r="F428"/>
      <c r="G428"/>
      <c r="H428"/>
      <c r="I428"/>
      <c r="J428"/>
      <c r="K428"/>
    </row>
    <row r="429" spans="1:11" ht="12.75">
      <c r="A429"/>
      <c r="B429"/>
      <c r="C429"/>
      <c r="D429"/>
      <c r="E429"/>
      <c r="F429"/>
      <c r="G429"/>
      <c r="H429"/>
      <c r="I429"/>
      <c r="J429"/>
      <c r="K429"/>
    </row>
    <row r="430" spans="1:11" ht="12.75">
      <c r="A430"/>
      <c r="B430"/>
      <c r="C430"/>
      <c r="D430"/>
      <c r="E430"/>
      <c r="F430"/>
      <c r="G430"/>
      <c r="H430"/>
      <c r="I430"/>
      <c r="J430"/>
      <c r="K430"/>
    </row>
    <row r="431" spans="1:11" ht="12.75">
      <c r="A431"/>
      <c r="B431"/>
      <c r="C431"/>
      <c r="D431"/>
      <c r="E431"/>
      <c r="F431"/>
      <c r="G431"/>
      <c r="H431"/>
      <c r="I431"/>
      <c r="J431"/>
      <c r="K431"/>
    </row>
    <row r="432" spans="1:11" ht="12.75">
      <c r="A432"/>
      <c r="B432"/>
      <c r="C432"/>
      <c r="D432"/>
      <c r="E432"/>
      <c r="F432"/>
      <c r="G432"/>
      <c r="H432"/>
      <c r="I432"/>
      <c r="J432"/>
      <c r="K432"/>
    </row>
    <row r="433" spans="1:11" ht="12.75">
      <c r="A433"/>
      <c r="B433"/>
      <c r="C433"/>
      <c r="D433"/>
      <c r="E433"/>
      <c r="F433"/>
      <c r="G433"/>
      <c r="H433"/>
      <c r="I433"/>
      <c r="J433"/>
      <c r="K433"/>
    </row>
    <row r="434" spans="1:11" ht="12.75">
      <c r="A434"/>
      <c r="B434"/>
      <c r="C434"/>
      <c r="D434"/>
      <c r="E434"/>
      <c r="F434"/>
      <c r="G434"/>
      <c r="H434"/>
      <c r="I434"/>
      <c r="J434"/>
      <c r="K434"/>
    </row>
    <row r="435" spans="1:11" ht="12.75">
      <c r="A435"/>
      <c r="B435"/>
      <c r="C435"/>
      <c r="D435"/>
      <c r="E435"/>
      <c r="F435"/>
      <c r="G435"/>
      <c r="H435"/>
      <c r="I435"/>
      <c r="J435"/>
      <c r="K435"/>
    </row>
    <row r="436" spans="1:11" ht="12.75">
      <c r="A436"/>
      <c r="B436"/>
      <c r="C436"/>
      <c r="D436"/>
      <c r="E436"/>
      <c r="F436"/>
      <c r="G436"/>
      <c r="H436"/>
      <c r="I436"/>
      <c r="J436"/>
      <c r="K436"/>
    </row>
    <row r="437" spans="1:11" ht="12.75">
      <c r="A437"/>
      <c r="B437"/>
      <c r="C437"/>
      <c r="D437"/>
      <c r="E437"/>
      <c r="F437"/>
      <c r="G437"/>
      <c r="H437"/>
      <c r="I437"/>
      <c r="J437"/>
      <c r="K437"/>
    </row>
    <row r="438" spans="1:11" ht="12.75">
      <c r="A438"/>
      <c r="B438"/>
      <c r="C438"/>
      <c r="D438"/>
      <c r="E438"/>
      <c r="F438"/>
      <c r="G438"/>
      <c r="H438"/>
      <c r="I438"/>
      <c r="J438"/>
      <c r="K438"/>
    </row>
    <row r="439" spans="1:11" ht="12.75">
      <c r="A439"/>
      <c r="B439"/>
      <c r="C439"/>
      <c r="D439"/>
      <c r="E439"/>
      <c r="F439"/>
      <c r="G439"/>
      <c r="H439"/>
      <c r="I439"/>
      <c r="J439"/>
      <c r="K439"/>
    </row>
    <row r="440" spans="1:11" ht="12.75">
      <c r="A440"/>
      <c r="B440"/>
      <c r="C440"/>
      <c r="D440"/>
      <c r="E440"/>
      <c r="F440"/>
      <c r="G440"/>
      <c r="H440"/>
      <c r="I440"/>
      <c r="J440"/>
      <c r="K440"/>
    </row>
    <row r="441" spans="1:11" ht="12.75">
      <c r="A441"/>
      <c r="B441"/>
      <c r="C441"/>
      <c r="D441"/>
      <c r="E441"/>
      <c r="F441"/>
      <c r="G441"/>
      <c r="H441"/>
      <c r="I441"/>
      <c r="J441"/>
      <c r="K441"/>
    </row>
    <row r="442" spans="1:11" ht="12.75">
      <c r="A442"/>
      <c r="B442"/>
      <c r="C442"/>
      <c r="D442"/>
      <c r="E442"/>
      <c r="F442"/>
      <c r="G442"/>
      <c r="H442"/>
      <c r="I442"/>
      <c r="J442"/>
      <c r="K442"/>
    </row>
    <row r="443" spans="1:11" ht="12.75">
      <c r="A443"/>
      <c r="B443"/>
      <c r="C443"/>
      <c r="D443"/>
      <c r="E443"/>
      <c r="F443"/>
      <c r="G443"/>
      <c r="H443"/>
      <c r="I443"/>
      <c r="J443"/>
      <c r="K443"/>
    </row>
    <row r="444" spans="1:11" ht="12.75">
      <c r="A444"/>
      <c r="B444"/>
      <c r="C444"/>
      <c r="D444"/>
      <c r="E444"/>
      <c r="F444"/>
      <c r="G444"/>
      <c r="H444"/>
      <c r="I444"/>
      <c r="J444"/>
      <c r="K444"/>
    </row>
    <row r="445" spans="1:11" ht="12.75">
      <c r="A445"/>
      <c r="B445"/>
      <c r="C445"/>
      <c r="D445"/>
      <c r="E445"/>
      <c r="F445"/>
      <c r="G445"/>
      <c r="H445"/>
      <c r="I445"/>
      <c r="J445"/>
      <c r="K445"/>
    </row>
    <row r="446" spans="1:11" ht="12.75">
      <c r="A446"/>
      <c r="B446"/>
      <c r="C446"/>
      <c r="D446"/>
      <c r="E446"/>
      <c r="F446"/>
      <c r="G446"/>
      <c r="H446"/>
      <c r="I446"/>
      <c r="J446"/>
      <c r="K446"/>
    </row>
    <row r="447" spans="1:11" ht="12.75">
      <c r="A447"/>
      <c r="B447"/>
      <c r="C447"/>
      <c r="D447"/>
      <c r="E447"/>
      <c r="F447"/>
      <c r="G447"/>
      <c r="H447"/>
      <c r="I447"/>
      <c r="J447"/>
      <c r="K447"/>
    </row>
    <row r="448" spans="1:11" ht="12.75">
      <c r="A448"/>
      <c r="B448"/>
      <c r="C448"/>
      <c r="D448"/>
      <c r="E448"/>
      <c r="F448"/>
      <c r="G448"/>
      <c r="H448"/>
      <c r="I448"/>
      <c r="J448"/>
      <c r="K448"/>
    </row>
    <row r="449" spans="1:11" ht="12.75">
      <c r="A449"/>
      <c r="B449"/>
      <c r="C449"/>
      <c r="D449"/>
      <c r="E449"/>
      <c r="F449"/>
      <c r="G449"/>
      <c r="H449"/>
      <c r="I449"/>
      <c r="J449"/>
      <c r="K449"/>
    </row>
    <row r="450" spans="1:11" ht="12.75">
      <c r="A450"/>
      <c r="B450"/>
      <c r="C450"/>
      <c r="D450"/>
      <c r="E450"/>
      <c r="F450"/>
      <c r="G450"/>
      <c r="H450"/>
      <c r="I450"/>
      <c r="J450"/>
      <c r="K450"/>
    </row>
    <row r="451" spans="1:11" ht="12.75">
      <c r="A451"/>
      <c r="B451"/>
      <c r="C451"/>
      <c r="D451"/>
      <c r="E451"/>
      <c r="F451"/>
      <c r="G451"/>
      <c r="H451"/>
      <c r="I451"/>
      <c r="J451"/>
      <c r="K451"/>
    </row>
    <row r="452" spans="1:11" ht="12.75">
      <c r="A452"/>
      <c r="B452"/>
      <c r="C452"/>
      <c r="D452"/>
      <c r="E452"/>
      <c r="F452"/>
      <c r="G452"/>
      <c r="H452"/>
      <c r="I452"/>
      <c r="J452"/>
      <c r="K452"/>
    </row>
    <row r="453" spans="1:11" ht="12.75">
      <c r="A453"/>
      <c r="B453"/>
      <c r="C453"/>
      <c r="D453"/>
      <c r="E453"/>
      <c r="F453"/>
      <c r="G453"/>
      <c r="H453"/>
      <c r="I453"/>
      <c r="J453"/>
      <c r="K453"/>
    </row>
    <row r="454" spans="1:11" ht="12.75">
      <c r="A454"/>
      <c r="B454"/>
      <c r="C454"/>
      <c r="D454"/>
      <c r="E454"/>
      <c r="F454"/>
      <c r="G454"/>
      <c r="H454"/>
      <c r="I454"/>
      <c r="J454"/>
      <c r="K454"/>
    </row>
    <row r="455" spans="1:11" ht="12.75">
      <c r="A455"/>
      <c r="B455"/>
      <c r="C455"/>
      <c r="D455"/>
      <c r="E455"/>
      <c r="F455"/>
      <c r="G455"/>
      <c r="H455"/>
      <c r="I455"/>
      <c r="J455"/>
      <c r="K455"/>
    </row>
    <row r="456" spans="1:11" ht="12.75">
      <c r="A456"/>
      <c r="B456"/>
      <c r="C456"/>
      <c r="D456"/>
      <c r="E456"/>
      <c r="F456"/>
      <c r="G456"/>
      <c r="H456"/>
      <c r="I456"/>
      <c r="J456"/>
      <c r="K456"/>
    </row>
    <row r="457" spans="1:11" ht="12.75">
      <c r="A457"/>
      <c r="B457"/>
      <c r="C457"/>
      <c r="D457"/>
      <c r="E457"/>
      <c r="F457"/>
      <c r="G457"/>
      <c r="H457"/>
      <c r="I457"/>
      <c r="J457"/>
      <c r="K457"/>
    </row>
    <row r="458" spans="1:11" ht="12.75">
      <c r="A458"/>
      <c r="B458"/>
      <c r="C458"/>
      <c r="D458"/>
      <c r="E458"/>
      <c r="F458"/>
      <c r="G458"/>
      <c r="H458"/>
      <c r="I458"/>
      <c r="J458"/>
      <c r="K458"/>
    </row>
    <row r="459" spans="1:11" ht="12.75">
      <c r="A459"/>
      <c r="B459"/>
      <c r="C459"/>
      <c r="D459"/>
      <c r="E459"/>
      <c r="F459"/>
      <c r="G459"/>
      <c r="H459"/>
      <c r="I459"/>
      <c r="J459"/>
      <c r="K459"/>
    </row>
    <row r="460" spans="1:11" ht="12.75">
      <c r="A460"/>
      <c r="B460"/>
      <c r="C460"/>
      <c r="D460"/>
      <c r="E460"/>
      <c r="F460"/>
      <c r="G460"/>
      <c r="H460"/>
      <c r="I460"/>
      <c r="J460"/>
      <c r="K460"/>
    </row>
    <row r="461" spans="1:11" ht="12.75">
      <c r="A461"/>
      <c r="B461"/>
      <c r="C461"/>
      <c r="D461"/>
      <c r="E461"/>
      <c r="F461"/>
      <c r="G461"/>
      <c r="H461"/>
      <c r="I461"/>
      <c r="J461"/>
      <c r="K461"/>
    </row>
    <row r="462" spans="1:11" ht="12.75">
      <c r="A462"/>
      <c r="B462"/>
      <c r="C462"/>
      <c r="D462"/>
      <c r="E462"/>
      <c r="F462"/>
      <c r="G462"/>
      <c r="H462"/>
      <c r="I462"/>
      <c r="J462"/>
      <c r="K462"/>
    </row>
    <row r="463" spans="1:11" ht="12.75">
      <c r="A463"/>
      <c r="B463"/>
      <c r="C463"/>
      <c r="D463"/>
      <c r="E463"/>
      <c r="F463"/>
      <c r="G463"/>
      <c r="H463"/>
      <c r="I463"/>
      <c r="J463"/>
      <c r="K463"/>
    </row>
    <row r="464" spans="1:11" ht="12.75">
      <c r="A464"/>
      <c r="B464"/>
      <c r="C464"/>
      <c r="D464"/>
      <c r="E464"/>
      <c r="F464"/>
      <c r="G464"/>
      <c r="H464"/>
      <c r="I464"/>
      <c r="J464"/>
      <c r="K464"/>
    </row>
    <row r="465" spans="1:11" ht="12.75">
      <c r="A465"/>
      <c r="B465"/>
      <c r="C465"/>
      <c r="D465"/>
      <c r="E465"/>
      <c r="F465"/>
      <c r="G465"/>
      <c r="H465"/>
      <c r="I465"/>
      <c r="J465"/>
      <c r="K465"/>
    </row>
    <row r="466" spans="1:11" ht="12.75">
      <c r="A466"/>
      <c r="B466"/>
      <c r="C466"/>
      <c r="D466"/>
      <c r="E466"/>
      <c r="F466"/>
      <c r="G466"/>
      <c r="H466"/>
      <c r="I466"/>
      <c r="J466"/>
      <c r="K466"/>
    </row>
    <row r="467" spans="1:11" ht="12.75">
      <c r="A467"/>
      <c r="B467"/>
      <c r="C467"/>
      <c r="D467"/>
      <c r="E467"/>
      <c r="F467"/>
      <c r="G467"/>
      <c r="H467"/>
      <c r="I467"/>
      <c r="J467"/>
      <c r="K467"/>
    </row>
    <row r="468" spans="1:11" ht="12.75">
      <c r="A468"/>
      <c r="B468"/>
      <c r="C468"/>
      <c r="D468"/>
      <c r="E468"/>
      <c r="F468"/>
      <c r="G468"/>
      <c r="H468"/>
      <c r="I468"/>
      <c r="J468"/>
      <c r="K468"/>
    </row>
    <row r="469" spans="1:11" ht="12.75">
      <c r="A469"/>
      <c r="B469"/>
      <c r="C469"/>
      <c r="D469"/>
      <c r="E469"/>
      <c r="F469"/>
      <c r="G469"/>
      <c r="H469"/>
      <c r="I469"/>
      <c r="J469"/>
      <c r="K469"/>
    </row>
    <row r="470" spans="1:11" ht="12.75">
      <c r="A470"/>
      <c r="B470"/>
      <c r="C470"/>
      <c r="D470"/>
      <c r="E470"/>
      <c r="F470"/>
      <c r="G470"/>
      <c r="H470"/>
      <c r="I470"/>
      <c r="J470"/>
      <c r="K470"/>
    </row>
    <row r="471" spans="1:11" ht="12.75">
      <c r="A471"/>
      <c r="B471"/>
      <c r="C471"/>
      <c r="D471"/>
      <c r="E471"/>
      <c r="F471"/>
      <c r="G471"/>
      <c r="H471"/>
      <c r="I471"/>
      <c r="J471"/>
      <c r="K471"/>
    </row>
    <row r="472" spans="1:11" ht="12.75">
      <c r="A472"/>
      <c r="B472"/>
      <c r="C472"/>
      <c r="D472"/>
      <c r="E472"/>
      <c r="F472"/>
      <c r="G472"/>
      <c r="H472"/>
      <c r="I472"/>
      <c r="J472"/>
      <c r="K472"/>
    </row>
    <row r="473" spans="1:11" ht="12.75">
      <c r="A473"/>
      <c r="B473"/>
      <c r="C473"/>
      <c r="D473"/>
      <c r="E473"/>
      <c r="F473"/>
      <c r="G473"/>
      <c r="H473"/>
      <c r="I473"/>
      <c r="J473"/>
      <c r="K473"/>
    </row>
    <row r="474" spans="1:11" ht="12.75">
      <c r="A474"/>
      <c r="B474"/>
      <c r="C474"/>
      <c r="D474"/>
      <c r="E474"/>
      <c r="F474"/>
      <c r="G474"/>
      <c r="H474"/>
      <c r="I474"/>
      <c r="J474"/>
      <c r="K474"/>
    </row>
    <row r="475" spans="1:11" ht="12.75">
      <c r="A475"/>
      <c r="B475"/>
      <c r="C475"/>
      <c r="D475"/>
      <c r="E475"/>
      <c r="F475"/>
      <c r="G475"/>
      <c r="H475"/>
      <c r="I475"/>
      <c r="J475"/>
      <c r="K475"/>
    </row>
    <row r="476" spans="1:11" ht="12.75">
      <c r="A476"/>
      <c r="B476"/>
      <c r="C476"/>
      <c r="D476"/>
      <c r="E476"/>
      <c r="F476"/>
      <c r="G476"/>
      <c r="H476"/>
      <c r="I476"/>
      <c r="J476"/>
      <c r="K476"/>
    </row>
    <row r="477" spans="1:11" ht="12.75">
      <c r="A477"/>
      <c r="B477"/>
      <c r="C477"/>
      <c r="D477"/>
      <c r="E477"/>
      <c r="F477"/>
      <c r="G477"/>
      <c r="H477"/>
      <c r="I477"/>
      <c r="J477"/>
      <c r="K477"/>
    </row>
    <row r="478" spans="1:11" ht="12.75">
      <c r="A478"/>
      <c r="B478"/>
      <c r="C478"/>
      <c r="D478"/>
      <c r="E478"/>
      <c r="F478"/>
      <c r="G478"/>
      <c r="H478"/>
      <c r="I478"/>
      <c r="J478"/>
      <c r="K478"/>
    </row>
    <row r="479" spans="1:11" ht="12.75">
      <c r="A479"/>
      <c r="B479"/>
      <c r="C479"/>
      <c r="D479"/>
      <c r="E479"/>
      <c r="F479"/>
      <c r="G479"/>
      <c r="H479"/>
      <c r="I479"/>
      <c r="J479"/>
      <c r="K479"/>
    </row>
    <row r="480" spans="1:11" ht="12.75">
      <c r="A480"/>
      <c r="B480"/>
      <c r="C480"/>
      <c r="D480"/>
      <c r="E480"/>
      <c r="F480"/>
      <c r="G480"/>
      <c r="H480"/>
      <c r="I480"/>
      <c r="J480"/>
      <c r="K480"/>
    </row>
    <row r="481" spans="1:11" ht="12.75">
      <c r="A481"/>
      <c r="B481"/>
      <c r="C481"/>
      <c r="D481"/>
      <c r="E481"/>
      <c r="F481"/>
      <c r="G481"/>
      <c r="H481"/>
      <c r="I481"/>
      <c r="J481"/>
      <c r="K481"/>
    </row>
    <row r="482" spans="1:11" ht="12.75">
      <c r="A482"/>
      <c r="B482"/>
      <c r="C482"/>
      <c r="D482"/>
      <c r="E482"/>
      <c r="F482"/>
      <c r="G482"/>
      <c r="H482"/>
      <c r="I482"/>
      <c r="J482"/>
      <c r="K482"/>
    </row>
    <row r="483" spans="1:11" ht="12.75">
      <c r="A483"/>
      <c r="B483"/>
      <c r="C483"/>
      <c r="D483"/>
      <c r="E483"/>
      <c r="F483"/>
      <c r="G483"/>
      <c r="H483"/>
      <c r="I483"/>
      <c r="J483"/>
      <c r="K483"/>
    </row>
    <row r="484" spans="1:11" ht="12.75">
      <c r="A484"/>
      <c r="B484"/>
      <c r="C484"/>
      <c r="D484"/>
      <c r="E484"/>
      <c r="F484"/>
      <c r="G484"/>
      <c r="H484"/>
      <c r="I484"/>
      <c r="J484"/>
      <c r="K484"/>
    </row>
    <row r="485" spans="1:11" ht="12.75">
      <c r="A485"/>
      <c r="B485"/>
      <c r="C485"/>
      <c r="D485"/>
      <c r="E485"/>
      <c r="F485"/>
      <c r="G485"/>
      <c r="H485"/>
      <c r="I485"/>
      <c r="J485"/>
      <c r="K485"/>
    </row>
    <row r="486" spans="1:11" ht="12.75">
      <c r="A486"/>
      <c r="B486"/>
      <c r="C486"/>
      <c r="D486"/>
      <c r="E486"/>
      <c r="F486"/>
      <c r="G486"/>
      <c r="H486"/>
      <c r="I486"/>
      <c r="J486"/>
      <c r="K486"/>
    </row>
    <row r="487" spans="1:11" ht="12.75">
      <c r="A487"/>
      <c r="B487"/>
      <c r="C487"/>
      <c r="D487"/>
      <c r="E487"/>
      <c r="F487"/>
      <c r="G487"/>
      <c r="H487"/>
      <c r="I487"/>
      <c r="J487"/>
      <c r="K487"/>
    </row>
    <row r="488" spans="1:11" ht="12.75">
      <c r="A488"/>
      <c r="B488"/>
      <c r="C488"/>
      <c r="D488"/>
      <c r="E488"/>
      <c r="F488"/>
      <c r="G488"/>
      <c r="H488"/>
      <c r="I488"/>
      <c r="J488"/>
      <c r="K488"/>
    </row>
    <row r="489" spans="1:11" ht="12.75">
      <c r="A489"/>
      <c r="B489"/>
      <c r="C489"/>
      <c r="D489"/>
      <c r="E489"/>
      <c r="F489"/>
      <c r="G489"/>
      <c r="H489"/>
      <c r="I489"/>
      <c r="J489"/>
      <c r="K489"/>
    </row>
    <row r="490" spans="1:11" ht="12.75">
      <c r="A490"/>
      <c r="B490"/>
      <c r="C490"/>
      <c r="D490"/>
      <c r="E490"/>
      <c r="F490"/>
      <c r="G490"/>
      <c r="H490"/>
      <c r="I490"/>
      <c r="J490"/>
      <c r="K490"/>
    </row>
    <row r="491" spans="1:11" ht="12.75">
      <c r="A491"/>
      <c r="B491"/>
      <c r="C491"/>
      <c r="D491"/>
      <c r="E491"/>
      <c r="F491"/>
      <c r="G491"/>
      <c r="H491"/>
      <c r="I491"/>
      <c r="J491"/>
      <c r="K491"/>
    </row>
    <row r="492" spans="1:11" ht="12.75">
      <c r="A492"/>
      <c r="B492"/>
      <c r="C492"/>
      <c r="D492"/>
      <c r="E492"/>
      <c r="F492"/>
      <c r="G492"/>
      <c r="H492"/>
      <c r="I492"/>
      <c r="J492"/>
      <c r="K492"/>
    </row>
    <row r="493" spans="1:11" ht="12.75">
      <c r="A493"/>
      <c r="B493"/>
      <c r="C493"/>
      <c r="D493"/>
      <c r="E493"/>
      <c r="F493"/>
      <c r="G493"/>
      <c r="H493"/>
      <c r="I493"/>
      <c r="J493"/>
      <c r="K493"/>
    </row>
    <row r="494" spans="1:11" ht="12.75">
      <c r="A494"/>
      <c r="B494"/>
      <c r="C494"/>
      <c r="D494"/>
      <c r="E494"/>
      <c r="F494"/>
      <c r="G494"/>
      <c r="H494"/>
      <c r="I494"/>
      <c r="J494"/>
      <c r="K494"/>
    </row>
    <row r="495" spans="1:11" ht="12.75">
      <c r="A495"/>
      <c r="B495"/>
      <c r="C495"/>
      <c r="D495"/>
      <c r="E495"/>
      <c r="F495"/>
      <c r="G495"/>
      <c r="H495"/>
      <c r="I495"/>
      <c r="J495"/>
      <c r="K495"/>
    </row>
    <row r="496" spans="1:11" ht="12.75">
      <c r="A496"/>
      <c r="B496"/>
      <c r="C496"/>
      <c r="D496"/>
      <c r="E496"/>
      <c r="F496"/>
      <c r="G496"/>
      <c r="H496"/>
      <c r="I496"/>
      <c r="J496"/>
      <c r="K496"/>
    </row>
    <row r="497" spans="1:11" ht="12.75">
      <c r="A497"/>
      <c r="B497"/>
      <c r="C497"/>
      <c r="D497"/>
      <c r="E497"/>
      <c r="F497"/>
      <c r="G497"/>
      <c r="H497"/>
      <c r="I497"/>
      <c r="J497"/>
      <c r="K497"/>
    </row>
    <row r="498" spans="1:11" ht="12.75">
      <c r="A498"/>
      <c r="B498"/>
      <c r="C498"/>
      <c r="D498"/>
      <c r="E498"/>
      <c r="F498"/>
      <c r="G498"/>
      <c r="H498"/>
      <c r="I498"/>
      <c r="J498"/>
      <c r="K498"/>
    </row>
    <row r="499" spans="1:11" ht="12.75">
      <c r="A499"/>
      <c r="B499"/>
      <c r="C499"/>
      <c r="D499"/>
      <c r="E499"/>
      <c r="F499"/>
      <c r="G499"/>
      <c r="H499"/>
      <c r="I499"/>
      <c r="J499"/>
      <c r="K499"/>
    </row>
    <row r="500" spans="1:11" ht="12.75">
      <c r="A500"/>
      <c r="B500"/>
      <c r="C500"/>
      <c r="D500"/>
      <c r="E500"/>
      <c r="F500"/>
      <c r="G500"/>
      <c r="H500"/>
      <c r="I500"/>
      <c r="J500"/>
      <c r="K500"/>
    </row>
    <row r="501" spans="1:11" ht="12.75">
      <c r="A501"/>
      <c r="B501"/>
      <c r="C501"/>
      <c r="D501"/>
      <c r="E501"/>
      <c r="F501"/>
      <c r="G501"/>
      <c r="H501"/>
      <c r="I501"/>
      <c r="J501"/>
      <c r="K501"/>
    </row>
    <row r="502" spans="1:11" ht="12.75">
      <c r="A502"/>
      <c r="B502"/>
      <c r="C502"/>
      <c r="D502"/>
      <c r="E502"/>
      <c r="F502"/>
      <c r="G502"/>
      <c r="H502"/>
      <c r="I502"/>
      <c r="J502"/>
      <c r="K502"/>
    </row>
    <row r="503" spans="1:11" ht="12.75">
      <c r="A503"/>
      <c r="B503"/>
      <c r="C503"/>
      <c r="D503"/>
      <c r="E503"/>
      <c r="F503"/>
      <c r="G503"/>
      <c r="H503"/>
      <c r="I503"/>
      <c r="J503"/>
      <c r="K503"/>
    </row>
    <row r="504" spans="1:11" ht="12.75">
      <c r="A504"/>
      <c r="B504"/>
      <c r="C504"/>
      <c r="D504"/>
      <c r="E504"/>
      <c r="F504"/>
      <c r="G504"/>
      <c r="H504"/>
      <c r="I504"/>
      <c r="J504"/>
      <c r="K504"/>
    </row>
    <row r="505" spans="1:11" ht="12.75">
      <c r="A505"/>
      <c r="B505"/>
      <c r="C505"/>
      <c r="D505"/>
      <c r="E505"/>
      <c r="F505"/>
      <c r="G505"/>
      <c r="H505"/>
      <c r="I505"/>
      <c r="J505"/>
      <c r="K505"/>
    </row>
    <row r="506" spans="1:11" ht="12.75">
      <c r="A506"/>
      <c r="B506"/>
      <c r="C506"/>
      <c r="D506"/>
      <c r="E506"/>
      <c r="F506"/>
      <c r="G506"/>
      <c r="H506"/>
      <c r="I506"/>
      <c r="J506"/>
      <c r="K506"/>
    </row>
    <row r="507" spans="1:11" ht="12.75">
      <c r="A507"/>
      <c r="B507"/>
      <c r="C507"/>
      <c r="D507"/>
      <c r="E507"/>
      <c r="F507"/>
      <c r="G507"/>
      <c r="H507"/>
      <c r="I507"/>
      <c r="J507"/>
      <c r="K507"/>
    </row>
    <row r="508" spans="1:11" ht="12.75">
      <c r="A508"/>
      <c r="B508"/>
      <c r="C508"/>
      <c r="D508"/>
      <c r="E508"/>
      <c r="F508"/>
      <c r="G508"/>
      <c r="H508"/>
      <c r="I508"/>
      <c r="J508"/>
      <c r="K508"/>
    </row>
    <row r="509" spans="1:11" ht="12.75">
      <c r="A509"/>
      <c r="B509"/>
      <c r="C509"/>
      <c r="D509"/>
      <c r="E509"/>
      <c r="F509"/>
      <c r="G509"/>
      <c r="H509"/>
      <c r="I509"/>
      <c r="J509"/>
      <c r="K509"/>
    </row>
    <row r="510" spans="1:11" ht="12.75">
      <c r="A510"/>
      <c r="B510"/>
      <c r="C510"/>
      <c r="D510"/>
      <c r="E510"/>
      <c r="F510"/>
      <c r="G510"/>
      <c r="H510"/>
      <c r="I510"/>
      <c r="J510"/>
      <c r="K510"/>
    </row>
    <row r="511" spans="1:11" ht="12.75">
      <c r="A511"/>
      <c r="B511"/>
      <c r="C511"/>
      <c r="D511"/>
      <c r="E511"/>
      <c r="F511"/>
      <c r="G511"/>
      <c r="H511"/>
      <c r="I511"/>
      <c r="J511"/>
      <c r="K511"/>
    </row>
    <row r="512" spans="1:11" ht="12.75">
      <c r="A512"/>
      <c r="B512"/>
      <c r="C512"/>
      <c r="D512"/>
      <c r="E512"/>
      <c r="F512"/>
      <c r="G512"/>
      <c r="H512"/>
      <c r="I512"/>
      <c r="J512"/>
      <c r="K512"/>
    </row>
    <row r="513" spans="1:11" ht="12.75">
      <c r="A513"/>
      <c r="B513"/>
      <c r="C513"/>
      <c r="D513"/>
      <c r="E513"/>
      <c r="F513"/>
      <c r="G513"/>
      <c r="H513"/>
      <c r="I513"/>
      <c r="J513"/>
      <c r="K513"/>
    </row>
    <row r="514" spans="1:11" ht="12.75">
      <c r="A514"/>
      <c r="B514"/>
      <c r="C514"/>
      <c r="D514"/>
      <c r="E514"/>
      <c r="F514"/>
      <c r="G514"/>
      <c r="H514"/>
      <c r="I514"/>
      <c r="J514"/>
      <c r="K514"/>
    </row>
    <row r="515" spans="1:11" ht="12.75">
      <c r="A515"/>
      <c r="B515"/>
      <c r="C515"/>
      <c r="D515"/>
      <c r="E515"/>
      <c r="F515"/>
      <c r="G515"/>
      <c r="H515"/>
      <c r="I515"/>
      <c r="J515"/>
      <c r="K515"/>
    </row>
    <row r="516" spans="1:11" ht="12.75">
      <c r="A516"/>
      <c r="B516"/>
      <c r="C516"/>
      <c r="D516"/>
      <c r="E516"/>
      <c r="F516"/>
      <c r="G516"/>
      <c r="H516"/>
      <c r="I516"/>
      <c r="J516"/>
      <c r="K516"/>
    </row>
    <row r="517" spans="1:11" ht="12.75">
      <c r="A517"/>
      <c r="B517"/>
      <c r="C517"/>
      <c r="D517"/>
      <c r="E517"/>
      <c r="F517"/>
      <c r="G517"/>
      <c r="H517"/>
      <c r="I517"/>
      <c r="J517"/>
      <c r="K517"/>
    </row>
    <row r="518" spans="1:11" ht="12.75">
      <c r="A518"/>
      <c r="B518"/>
      <c r="C518"/>
      <c r="D518"/>
      <c r="E518"/>
      <c r="F518"/>
      <c r="G518"/>
      <c r="H518"/>
      <c r="I518"/>
      <c r="J518"/>
      <c r="K518"/>
    </row>
    <row r="519" spans="1:11" ht="12.75">
      <c r="A519"/>
      <c r="B519"/>
      <c r="C519"/>
      <c r="D519"/>
      <c r="E519"/>
      <c r="F519"/>
      <c r="G519"/>
      <c r="H519"/>
      <c r="I519"/>
      <c r="J519"/>
      <c r="K519"/>
    </row>
    <row r="520" spans="1:11" ht="12.75">
      <c r="A520"/>
      <c r="B520"/>
      <c r="C520"/>
      <c r="D520"/>
      <c r="E520"/>
      <c r="F520"/>
      <c r="G520"/>
      <c r="H520"/>
      <c r="I520"/>
      <c r="J520"/>
      <c r="K520"/>
    </row>
    <row r="521" spans="1:11" ht="12.75">
      <c r="A521"/>
      <c r="B521"/>
      <c r="C521"/>
      <c r="D521"/>
      <c r="E521"/>
      <c r="F521"/>
      <c r="G521"/>
      <c r="H521"/>
      <c r="I521"/>
      <c r="J521"/>
      <c r="K521"/>
    </row>
    <row r="522" spans="1:11" ht="12.75">
      <c r="A522"/>
      <c r="B522"/>
      <c r="C522"/>
      <c r="D522"/>
      <c r="E522"/>
      <c r="F522"/>
      <c r="G522"/>
      <c r="H522"/>
      <c r="I522"/>
      <c r="J522"/>
      <c r="K522"/>
    </row>
    <row r="523" spans="1:11" ht="12.75">
      <c r="A523"/>
      <c r="B523"/>
      <c r="C523"/>
      <c r="D523"/>
      <c r="E523"/>
      <c r="F523"/>
      <c r="G523"/>
      <c r="H523"/>
      <c r="I523"/>
      <c r="J523"/>
      <c r="K523"/>
    </row>
    <row r="524" spans="1:11" ht="12.75">
      <c r="A524"/>
      <c r="B524"/>
      <c r="C524"/>
      <c r="D524"/>
      <c r="E524"/>
      <c r="F524"/>
      <c r="G524"/>
      <c r="H524"/>
      <c r="I524"/>
      <c r="J524"/>
      <c r="K524"/>
    </row>
    <row r="525" spans="1:11" ht="12.75">
      <c r="A525"/>
      <c r="B525"/>
      <c r="C525"/>
      <c r="D525"/>
      <c r="E525"/>
      <c r="F525"/>
      <c r="G525"/>
      <c r="H525"/>
      <c r="I525"/>
      <c r="J525"/>
      <c r="K525"/>
    </row>
    <row r="526" spans="1:11" ht="12.75">
      <c r="A526"/>
      <c r="B526"/>
      <c r="C526"/>
      <c r="D526"/>
      <c r="E526"/>
      <c r="F526"/>
      <c r="G526"/>
      <c r="H526"/>
      <c r="I526"/>
      <c r="J526"/>
      <c r="K526"/>
    </row>
    <row r="527" spans="1:11" ht="12.75">
      <c r="A527"/>
      <c r="B527"/>
      <c r="C527"/>
      <c r="D527"/>
      <c r="E527"/>
      <c r="F527"/>
      <c r="G527"/>
      <c r="H527"/>
      <c r="I527"/>
      <c r="J527"/>
      <c r="K527"/>
    </row>
    <row r="528" spans="1:11" ht="12.75">
      <c r="A528"/>
      <c r="B528"/>
      <c r="C528"/>
      <c r="D528"/>
      <c r="E528"/>
      <c r="F528"/>
      <c r="G528"/>
      <c r="H528"/>
      <c r="I528"/>
      <c r="J528"/>
      <c r="K528"/>
    </row>
    <row r="529" spans="1:11" ht="12.75">
      <c r="A529"/>
      <c r="B529"/>
      <c r="C529"/>
      <c r="D529"/>
      <c r="E529"/>
      <c r="F529"/>
      <c r="G529"/>
      <c r="H529"/>
      <c r="I529"/>
      <c r="J529"/>
      <c r="K529"/>
    </row>
    <row r="530" spans="1:11" ht="12.75">
      <c r="A530"/>
      <c r="B530"/>
      <c r="C530"/>
      <c r="D530"/>
      <c r="E530"/>
      <c r="F530"/>
      <c r="G530"/>
      <c r="H530"/>
      <c r="I530"/>
      <c r="J530"/>
      <c r="K530"/>
    </row>
    <row r="531" spans="1:11" ht="12.75">
      <c r="A531"/>
      <c r="B531"/>
      <c r="C531"/>
      <c r="D531"/>
      <c r="E531"/>
      <c r="F531"/>
      <c r="G531"/>
      <c r="H531"/>
      <c r="I531"/>
      <c r="J531"/>
      <c r="K531"/>
    </row>
    <row r="532" spans="1:11" ht="12.75">
      <c r="A532"/>
      <c r="B532"/>
      <c r="C532"/>
      <c r="D532"/>
      <c r="E532"/>
      <c r="F532"/>
      <c r="G532"/>
      <c r="H532"/>
      <c r="I532"/>
      <c r="J532"/>
      <c r="K532"/>
    </row>
    <row r="533" spans="1:11" ht="12.75">
      <c r="A533"/>
      <c r="B533"/>
      <c r="C533"/>
      <c r="D533"/>
      <c r="E533"/>
      <c r="F533"/>
      <c r="G533"/>
      <c r="H533"/>
      <c r="I533"/>
      <c r="J533"/>
      <c r="K533"/>
    </row>
    <row r="534" spans="1:11" ht="12.75">
      <c r="A534"/>
      <c r="B534"/>
      <c r="C534"/>
      <c r="D534"/>
      <c r="E534"/>
      <c r="F534"/>
      <c r="G534"/>
      <c r="H534"/>
      <c r="I534"/>
      <c r="J534"/>
      <c r="K534"/>
    </row>
    <row r="535" spans="1:11" ht="12.75">
      <c r="A535"/>
      <c r="B535"/>
      <c r="C535"/>
      <c r="D535"/>
      <c r="E535"/>
      <c r="F535"/>
      <c r="G535"/>
      <c r="H535"/>
      <c r="I535"/>
      <c r="J535"/>
      <c r="K535"/>
    </row>
    <row r="536" spans="1:11" ht="12.75">
      <c r="A536"/>
      <c r="B536"/>
      <c r="C536"/>
      <c r="D536"/>
      <c r="E536"/>
      <c r="F536"/>
      <c r="G536"/>
      <c r="H536"/>
      <c r="I536"/>
      <c r="J536"/>
      <c r="K536"/>
    </row>
    <row r="537" spans="1:11" ht="12.75">
      <c r="A537"/>
      <c r="B537"/>
      <c r="C537"/>
      <c r="D537"/>
      <c r="E537"/>
      <c r="F537"/>
      <c r="G537"/>
      <c r="H537"/>
      <c r="I537"/>
      <c r="J537"/>
      <c r="K537"/>
    </row>
    <row r="538" spans="1:11" ht="12.75">
      <c r="A538"/>
      <c r="B538"/>
      <c r="C538"/>
      <c r="D538"/>
      <c r="E538"/>
      <c r="F538"/>
      <c r="G538"/>
      <c r="H538"/>
      <c r="I538"/>
      <c r="J538"/>
      <c r="K538"/>
    </row>
    <row r="539" spans="1:11" ht="12.75">
      <c r="I539"/>
      <c r="J539"/>
      <c r="K539"/>
    </row>
  </sheetData>
  <sortState ref="J35:L51">
    <sortCondition ref="J35"/>
  </sortState>
  <mergeCells count="6">
    <mergeCell ref="N9:N12"/>
    <mergeCell ref="E10:H10"/>
    <mergeCell ref="C2:H2"/>
    <mergeCell ref="C3:H3"/>
    <mergeCell ref="C9:D9"/>
    <mergeCell ref="E9:H9"/>
  </mergeCells>
  <phoneticPr fontId="4" type="noConversion"/>
  <printOptions horizontalCentered="1"/>
  <pageMargins left="0" right="0" top="0" bottom="0.25" header="0" footer="0.25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B1:Y114"/>
  <sheetViews>
    <sheetView topLeftCell="A97" workbookViewId="0">
      <selection activeCell="M63" sqref="M63"/>
    </sheetView>
  </sheetViews>
  <sheetFormatPr defaultRowHeight="12.75"/>
  <cols>
    <col min="1" max="1" width="2.42578125" customWidth="1"/>
    <col min="2" max="2" width="4.28515625" customWidth="1"/>
    <col min="3" max="3" width="17.85546875" customWidth="1"/>
    <col min="4" max="4" width="7.5703125" customWidth="1"/>
    <col min="5" max="5" width="10.42578125" style="79" customWidth="1"/>
    <col min="6" max="6" width="9.7109375" style="79" customWidth="1"/>
    <col min="7" max="7" width="10.140625" style="79" customWidth="1"/>
    <col min="8" max="8" width="11.85546875" style="79" customWidth="1"/>
    <col min="9" max="9" width="6.85546875" style="79" customWidth="1"/>
    <col min="10" max="10" width="10" style="79" customWidth="1"/>
    <col min="11" max="11" width="10.28515625" customWidth="1"/>
    <col min="14" max="15" width="11.7109375" customWidth="1"/>
    <col min="17" max="17" width="5.42578125" customWidth="1"/>
    <col min="19" max="19" width="11.28515625" bestFit="1" customWidth="1"/>
    <col min="20" max="20" width="10.140625" customWidth="1"/>
    <col min="25" max="25" width="18.140625" customWidth="1"/>
  </cols>
  <sheetData>
    <row r="1" spans="2:25">
      <c r="B1" s="1"/>
      <c r="C1" s="1"/>
      <c r="D1" s="1"/>
      <c r="E1" s="449" t="s">
        <v>682</v>
      </c>
      <c r="F1" s="86"/>
      <c r="G1" s="86"/>
      <c r="H1" s="86"/>
      <c r="I1" s="86"/>
      <c r="J1" s="86"/>
      <c r="K1" s="86"/>
      <c r="L1" s="86"/>
      <c r="M1" s="86"/>
      <c r="N1" s="86"/>
      <c r="O1" s="79"/>
    </row>
    <row r="2" spans="2:25" ht="15.75">
      <c r="B2" s="2" t="s">
        <v>483</v>
      </c>
      <c r="C2" s="1"/>
      <c r="D2" s="1" t="str">
        <f>+'Kopertina '!F4</f>
        <v>Eskeld</v>
      </c>
      <c r="E2" s="86"/>
      <c r="F2" s="86"/>
      <c r="G2" s="86"/>
      <c r="H2" s="86"/>
      <c r="I2" s="86"/>
      <c r="J2" s="86"/>
      <c r="K2" s="86"/>
      <c r="L2" s="86">
        <f>S!K7</f>
        <v>2012</v>
      </c>
      <c r="M2" s="86"/>
      <c r="N2" s="449"/>
      <c r="O2" s="79"/>
    </row>
    <row r="3" spans="2:25" ht="15.75">
      <c r="B3" s="2" t="s">
        <v>484</v>
      </c>
      <c r="C3" s="1"/>
      <c r="D3" s="1" t="str">
        <f>+'Kopertina '!D44</f>
        <v>K86607207N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79"/>
    </row>
    <row r="4" spans="2:25" ht="16.5" thickBot="1">
      <c r="B4" s="2" t="s">
        <v>485</v>
      </c>
      <c r="C4" s="1"/>
      <c r="D4" s="1" t="str">
        <f>+'Shenimet Shpjeg'!E10</f>
        <v>Shkolle jo publike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79"/>
    </row>
    <row r="5" spans="2:25" ht="12.75" customHeight="1">
      <c r="B5" s="508" t="s">
        <v>1</v>
      </c>
      <c r="C5" s="509" t="s">
        <v>486</v>
      </c>
      <c r="D5" s="1576" t="s">
        <v>487</v>
      </c>
      <c r="E5" s="1569" t="s">
        <v>488</v>
      </c>
      <c r="F5" s="1571" t="s">
        <v>489</v>
      </c>
      <c r="G5" s="1572"/>
      <c r="H5" s="1573"/>
      <c r="I5" s="1569" t="s">
        <v>490</v>
      </c>
      <c r="J5" s="1569" t="s">
        <v>755</v>
      </c>
      <c r="K5" s="1569" t="s">
        <v>685</v>
      </c>
      <c r="L5" s="1569" t="s">
        <v>756</v>
      </c>
      <c r="M5" s="1569" t="s">
        <v>757</v>
      </c>
      <c r="N5" s="1583" t="s">
        <v>758</v>
      </c>
      <c r="O5" s="1578" t="s">
        <v>759</v>
      </c>
    </row>
    <row r="6" spans="2:25" ht="29.25" customHeight="1" thickBot="1">
      <c r="B6" s="510"/>
      <c r="C6" s="511"/>
      <c r="D6" s="1577"/>
      <c r="E6" s="1570"/>
      <c r="F6" s="450" t="s">
        <v>491</v>
      </c>
      <c r="G6" s="450" t="s">
        <v>492</v>
      </c>
      <c r="H6" s="450" t="s">
        <v>754</v>
      </c>
      <c r="I6" s="1570"/>
      <c r="J6" s="1570"/>
      <c r="K6" s="1570"/>
      <c r="L6" s="1570"/>
      <c r="M6" s="1570"/>
      <c r="N6" s="1584"/>
      <c r="O6" s="1579"/>
      <c r="T6" s="1562" t="s">
        <v>802</v>
      </c>
      <c r="U6" s="1562"/>
      <c r="V6" s="1562"/>
      <c r="W6" s="1562"/>
    </row>
    <row r="7" spans="2:25" ht="13.5" thickBot="1">
      <c r="B7" s="451"/>
      <c r="C7" s="452" t="s">
        <v>493</v>
      </c>
      <c r="D7" s="452" t="s">
        <v>494</v>
      </c>
      <c r="E7" s="453">
        <v>1</v>
      </c>
      <c r="F7" s="453">
        <v>2</v>
      </c>
      <c r="G7" s="453">
        <v>3</v>
      </c>
      <c r="H7" s="453" t="s">
        <v>495</v>
      </c>
      <c r="I7" s="453">
        <v>5</v>
      </c>
      <c r="J7" s="453">
        <v>6</v>
      </c>
      <c r="K7" s="453" t="s">
        <v>496</v>
      </c>
      <c r="L7" s="454" t="s">
        <v>497</v>
      </c>
      <c r="M7" s="455">
        <v>9</v>
      </c>
      <c r="N7" s="455" t="s">
        <v>498</v>
      </c>
      <c r="O7" s="456" t="s">
        <v>499</v>
      </c>
    </row>
    <row r="8" spans="2:25">
      <c r="B8" s="258"/>
      <c r="C8" s="723" t="s">
        <v>683</v>
      </c>
      <c r="D8" s="724"/>
      <c r="E8" s="725"/>
      <c r="F8" s="726"/>
      <c r="G8" s="559"/>
      <c r="H8" s="559">
        <f>E8+F8-G8</f>
        <v>0</v>
      </c>
      <c r="I8" s="727">
        <v>0</v>
      </c>
      <c r="J8" s="559">
        <v>0</v>
      </c>
      <c r="K8" s="559">
        <f>E8</f>
        <v>0</v>
      </c>
      <c r="L8" s="559">
        <v>0</v>
      </c>
      <c r="M8" s="728">
        <v>0</v>
      </c>
      <c r="N8" s="729">
        <v>0</v>
      </c>
      <c r="O8" s="362">
        <f>H8</f>
        <v>0</v>
      </c>
    </row>
    <row r="9" spans="2:25">
      <c r="B9" s="259">
        <v>1</v>
      </c>
      <c r="C9" s="477" t="s">
        <v>684</v>
      </c>
      <c r="D9" s="628"/>
      <c r="E9" s="629">
        <f>E8</f>
        <v>0</v>
      </c>
      <c r="F9" s="629">
        <f t="shared" ref="F9:O9" si="0">F8</f>
        <v>0</v>
      </c>
      <c r="G9" s="629">
        <f t="shared" si="0"/>
        <v>0</v>
      </c>
      <c r="H9" s="629">
        <f t="shared" si="0"/>
        <v>0</v>
      </c>
      <c r="I9" s="629"/>
      <c r="J9" s="629">
        <f t="shared" si="0"/>
        <v>0</v>
      </c>
      <c r="K9" s="629">
        <f t="shared" si="0"/>
        <v>0</v>
      </c>
      <c r="L9" s="629">
        <f t="shared" si="0"/>
        <v>0</v>
      </c>
      <c r="M9" s="629">
        <f t="shared" si="0"/>
        <v>0</v>
      </c>
      <c r="N9" s="629">
        <f t="shared" si="0"/>
        <v>0</v>
      </c>
      <c r="O9" s="730">
        <f t="shared" si="0"/>
        <v>0</v>
      </c>
      <c r="Q9" s="57"/>
      <c r="R9" s="57"/>
      <c r="S9" s="142" t="s">
        <v>776</v>
      </c>
      <c r="T9" s="142"/>
      <c r="U9" s="142"/>
      <c r="V9" s="57"/>
      <c r="W9" s="57"/>
      <c r="X9" s="57"/>
      <c r="Y9" s="57"/>
    </row>
    <row r="10" spans="2:25" ht="13.5" thickBot="1">
      <c r="B10" s="457"/>
      <c r="C10" s="261" t="s">
        <v>1127</v>
      </c>
      <c r="D10" s="460">
        <v>2008</v>
      </c>
      <c r="E10" s="461">
        <v>57680944</v>
      </c>
      <c r="F10" s="461"/>
      <c r="G10" s="461"/>
      <c r="H10" s="121">
        <f>E10+F10-G10</f>
        <v>57680944</v>
      </c>
      <c r="I10" s="260">
        <v>5</v>
      </c>
      <c r="J10" s="121">
        <v>8226744.5999999996</v>
      </c>
      <c r="K10" s="121">
        <f>E10-J10</f>
        <v>49454199.399999999</v>
      </c>
      <c r="L10" s="121">
        <f>K10*I10/100/12*2+F10*I10/100/12*0</f>
        <v>412118.32833333337</v>
      </c>
      <c r="M10" s="462">
        <v>0</v>
      </c>
      <c r="N10" s="462">
        <f>J10+L10-M10</f>
        <v>8638862.9283333328</v>
      </c>
      <c r="O10" s="463">
        <f>H10-N10</f>
        <v>49042081.071666665</v>
      </c>
      <c r="Q10" s="57"/>
      <c r="R10" s="57"/>
      <c r="S10" s="57"/>
      <c r="T10" s="57"/>
      <c r="U10" s="57"/>
      <c r="V10" s="57"/>
      <c r="W10" s="57"/>
      <c r="X10" s="57"/>
      <c r="Y10" s="57"/>
    </row>
    <row r="11" spans="2:25" ht="13.5" thickBot="1">
      <c r="B11" s="457"/>
      <c r="C11" s="261" t="s">
        <v>700</v>
      </c>
      <c r="D11" s="460"/>
      <c r="E11" s="461"/>
      <c r="F11" s="461"/>
      <c r="G11" s="461"/>
      <c r="H11" s="121">
        <f>E11+F11-G11</f>
        <v>0</v>
      </c>
      <c r="I11" s="260">
        <v>5</v>
      </c>
      <c r="J11" s="121"/>
      <c r="K11" s="121">
        <f>E11-J11</f>
        <v>0</v>
      </c>
      <c r="L11" s="121">
        <f>K11*I11/100/12*2+F11*I11/100/12*0</f>
        <v>0</v>
      </c>
      <c r="M11" s="462">
        <v>0</v>
      </c>
      <c r="N11" s="462">
        <f>J11+L11-M11</f>
        <v>0</v>
      </c>
      <c r="O11" s="463">
        <f>H11-N11</f>
        <v>0</v>
      </c>
      <c r="Q11" s="1535" t="s">
        <v>1</v>
      </c>
      <c r="R11" s="433" t="s">
        <v>231</v>
      </c>
      <c r="S11" s="434"/>
      <c r="T11" s="683" t="s">
        <v>232</v>
      </c>
      <c r="U11" s="683" t="s">
        <v>212</v>
      </c>
      <c r="V11" s="683" t="s">
        <v>233</v>
      </c>
      <c r="W11" s="683" t="s">
        <v>214</v>
      </c>
      <c r="X11" s="683" t="s">
        <v>215</v>
      </c>
      <c r="Y11" s="683" t="s">
        <v>234</v>
      </c>
    </row>
    <row r="12" spans="2:25" ht="13.5" thickBot="1">
      <c r="B12" s="457">
        <v>2</v>
      </c>
      <c r="C12" s="261" t="s">
        <v>701</v>
      </c>
      <c r="D12" s="460"/>
      <c r="E12" s="461"/>
      <c r="F12" s="461"/>
      <c r="G12" s="461"/>
      <c r="H12" s="121">
        <f>E12+F12-G12</f>
        <v>0</v>
      </c>
      <c r="I12" s="260">
        <v>5</v>
      </c>
      <c r="J12" s="121"/>
      <c r="K12" s="121">
        <f>E12-J12</f>
        <v>0</v>
      </c>
      <c r="L12" s="121">
        <f>K12*I12/100+F12*I12/100/12*0</f>
        <v>0</v>
      </c>
      <c r="M12" s="462">
        <v>0</v>
      </c>
      <c r="N12" s="462">
        <f>J12+L12-M12</f>
        <v>0</v>
      </c>
      <c r="O12" s="463">
        <f>H12-N12</f>
        <v>0</v>
      </c>
      <c r="Q12" s="1536"/>
      <c r="R12" s="434" t="s">
        <v>1</v>
      </c>
      <c r="S12" s="435" t="s">
        <v>218</v>
      </c>
      <c r="T12" s="418" t="s">
        <v>235</v>
      </c>
      <c r="U12" s="418" t="s">
        <v>236</v>
      </c>
      <c r="V12" s="418"/>
      <c r="W12" s="418"/>
      <c r="X12" s="418" t="s">
        <v>222</v>
      </c>
      <c r="Y12" s="418"/>
    </row>
    <row r="13" spans="2:25" ht="13.5" thickBot="1">
      <c r="B13" s="259"/>
      <c r="C13" s="464" t="s">
        <v>500</v>
      </c>
      <c r="D13" s="465"/>
      <c r="E13" s="466">
        <f>SUM(E10:E12)</f>
        <v>57680944</v>
      </c>
      <c r="F13" s="466">
        <f t="shared" ref="F13:O13" si="1">SUM(F10:F12)</f>
        <v>0</v>
      </c>
      <c r="G13" s="466">
        <f t="shared" si="1"/>
        <v>0</v>
      </c>
      <c r="H13" s="466">
        <f t="shared" si="1"/>
        <v>57680944</v>
      </c>
      <c r="I13" s="466"/>
      <c r="J13" s="466">
        <f t="shared" si="1"/>
        <v>8226744.5999999996</v>
      </c>
      <c r="K13" s="466">
        <f t="shared" si="1"/>
        <v>49454199.399999999</v>
      </c>
      <c r="L13" s="466">
        <f t="shared" si="1"/>
        <v>412118.32833333337</v>
      </c>
      <c r="M13" s="466">
        <f t="shared" si="1"/>
        <v>0</v>
      </c>
      <c r="N13" s="466">
        <f t="shared" si="1"/>
        <v>8638862.9283333328</v>
      </c>
      <c r="O13" s="731">
        <f t="shared" si="1"/>
        <v>49042081.071666665</v>
      </c>
      <c r="Q13" s="732">
        <v>1</v>
      </c>
      <c r="R13" s="733">
        <f>S!O39</f>
        <v>14</v>
      </c>
      <c r="S13" s="1202">
        <f>S!P39</f>
        <v>12.12</v>
      </c>
      <c r="T13" s="733">
        <f>S!Q39</f>
        <v>132800</v>
      </c>
      <c r="U13" s="733">
        <f>S!R39</f>
        <v>0</v>
      </c>
      <c r="V13" s="733">
        <f>S!S39</f>
        <v>0</v>
      </c>
      <c r="W13" s="733">
        <f>S!T39</f>
        <v>0</v>
      </c>
      <c r="X13" s="733">
        <f>S!U39</f>
        <v>0</v>
      </c>
      <c r="Y13" s="733" t="str">
        <f>S!V39</f>
        <v>Kondicioner</v>
      </c>
    </row>
    <row r="14" spans="2:25">
      <c r="B14" s="457"/>
      <c r="C14" s="467" t="s">
        <v>501</v>
      </c>
      <c r="D14" s="468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91"/>
      <c r="Q14" s="667">
        <v>2</v>
      </c>
      <c r="R14" s="734">
        <f>S!O40</f>
        <v>23</v>
      </c>
      <c r="S14" s="1203">
        <f>S!P40</f>
        <v>22.12</v>
      </c>
      <c r="T14" s="734">
        <f>S!Q40</f>
        <v>77700</v>
      </c>
      <c r="U14" s="734">
        <f>S!R40</f>
        <v>0</v>
      </c>
      <c r="V14" s="734">
        <f>S!S40</f>
        <v>0</v>
      </c>
      <c r="W14" s="734">
        <f>S!T40</f>
        <v>0</v>
      </c>
      <c r="X14" s="734">
        <f>S!U40</f>
        <v>0</v>
      </c>
      <c r="Y14" s="734" t="str">
        <f>S!V40</f>
        <v>Kondicioner</v>
      </c>
    </row>
    <row r="15" spans="2:25">
      <c r="B15" s="469"/>
      <c r="C15" s="470" t="s">
        <v>502</v>
      </c>
      <c r="D15" s="471"/>
      <c r="E15" s="128"/>
      <c r="F15" s="128"/>
      <c r="G15" s="128"/>
      <c r="H15" s="389"/>
      <c r="I15" s="128"/>
      <c r="J15" s="128"/>
      <c r="K15" s="128"/>
      <c r="L15" s="128"/>
      <c r="M15" s="128"/>
      <c r="N15" s="128"/>
      <c r="O15" s="395"/>
      <c r="Q15" s="667">
        <v>3</v>
      </c>
      <c r="R15" s="734">
        <f>S!O41</f>
        <v>87</v>
      </c>
      <c r="S15" s="1203">
        <f>S!P41</f>
        <v>19.12</v>
      </c>
      <c r="T15" s="734">
        <f>S!Q41</f>
        <v>154500</v>
      </c>
      <c r="U15" s="734">
        <f>S!R41</f>
        <v>0</v>
      </c>
      <c r="V15" s="734">
        <f>S!S41</f>
        <v>0</v>
      </c>
      <c r="W15" s="734">
        <f>S!T41</f>
        <v>0</v>
      </c>
      <c r="X15" s="734">
        <f>S!U41</f>
        <v>0</v>
      </c>
      <c r="Y15" s="734" t="str">
        <f>S!V41</f>
        <v>Kondicioner</v>
      </c>
    </row>
    <row r="16" spans="2:25">
      <c r="B16" s="259">
        <v>1</v>
      </c>
      <c r="C16" s="261" t="s">
        <v>502</v>
      </c>
      <c r="D16" s="460"/>
      <c r="E16" s="121">
        <v>0</v>
      </c>
      <c r="F16" s="121">
        <v>0</v>
      </c>
      <c r="G16" s="121">
        <v>0</v>
      </c>
      <c r="H16" s="389">
        <f t="shared" ref="H16:H20" si="2">E16+F16-G16</f>
        <v>0</v>
      </c>
      <c r="I16" s="121">
        <v>5</v>
      </c>
      <c r="J16" s="121"/>
      <c r="K16" s="121">
        <f>E16-J16</f>
        <v>0</v>
      </c>
      <c r="L16" s="121">
        <f>K16*I16/100/12*2+F16*I16/100/12*0</f>
        <v>0</v>
      </c>
      <c r="M16" s="121"/>
      <c r="N16" s="121">
        <f>J16+L16-M16</f>
        <v>0</v>
      </c>
      <c r="O16" s="125">
        <f>H16-N16</f>
        <v>0</v>
      </c>
      <c r="Q16" s="667">
        <v>4</v>
      </c>
      <c r="R16" s="734">
        <f>S!O42</f>
        <v>27</v>
      </c>
      <c r="S16" s="1203">
        <f>S!P42</f>
        <v>25.02</v>
      </c>
      <c r="T16" s="734">
        <f>S!Q42</f>
        <v>150000</v>
      </c>
      <c r="U16" s="734">
        <f>S!R42</f>
        <v>0</v>
      </c>
      <c r="V16" s="734">
        <f>S!S42</f>
        <v>0</v>
      </c>
      <c r="W16" s="734">
        <f>S!T42</f>
        <v>0</v>
      </c>
      <c r="X16" s="734">
        <f>S!U42</f>
        <v>0</v>
      </c>
      <c r="Y16" s="734" t="str">
        <f>S!V42</f>
        <v>Kabel  + kamera vezhguse</v>
      </c>
    </row>
    <row r="17" spans="2:25">
      <c r="B17" s="457">
        <v>2</v>
      </c>
      <c r="C17" s="472"/>
      <c r="D17" s="473"/>
      <c r="E17" s="121">
        <v>0</v>
      </c>
      <c r="F17" s="121">
        <v>0</v>
      </c>
      <c r="G17" s="121">
        <v>0</v>
      </c>
      <c r="H17" s="389">
        <f t="shared" si="2"/>
        <v>0</v>
      </c>
      <c r="I17" s="389">
        <v>5</v>
      </c>
      <c r="J17" s="389"/>
      <c r="K17" s="121">
        <f t="shared" ref="K17:K20" si="3">E17-J17</f>
        <v>0</v>
      </c>
      <c r="L17" s="121">
        <f t="shared" ref="L17:L28" si="4">K17*I17/100/12*2+F17*I17/100/12*0</f>
        <v>0</v>
      </c>
      <c r="M17" s="389"/>
      <c r="N17" s="121">
        <f t="shared" ref="N17:N29" si="5">J17+L17-M17</f>
        <v>0</v>
      </c>
      <c r="O17" s="125">
        <f t="shared" ref="O17:O29" si="6">H17-N17</f>
        <v>0</v>
      </c>
      <c r="Q17" s="667">
        <v>5</v>
      </c>
      <c r="R17" s="734">
        <f>S!O43</f>
        <v>42</v>
      </c>
      <c r="S17" s="1203">
        <f>S!P43</f>
        <v>19.059999999999999</v>
      </c>
      <c r="T17" s="734">
        <f>S!Q43</f>
        <v>31200</v>
      </c>
      <c r="U17" s="734">
        <f>S!R43</f>
        <v>0</v>
      </c>
      <c r="V17" s="734">
        <f>S!S43</f>
        <v>0</v>
      </c>
      <c r="W17" s="734">
        <f>S!T43</f>
        <v>0</v>
      </c>
      <c r="X17" s="734">
        <f>S!U43</f>
        <v>0</v>
      </c>
      <c r="Y17" s="734" t="str">
        <f>S!V43</f>
        <v>Printer + frigo+ Kabell print</v>
      </c>
    </row>
    <row r="18" spans="2:25">
      <c r="B18" s="457"/>
      <c r="C18" s="475" t="s">
        <v>501</v>
      </c>
      <c r="D18" s="474"/>
      <c r="E18" s="121"/>
      <c r="F18" s="476"/>
      <c r="G18" s="121"/>
      <c r="H18" s="389"/>
      <c r="I18" s="121"/>
      <c r="J18" s="121"/>
      <c r="K18" s="121">
        <f t="shared" si="3"/>
        <v>0</v>
      </c>
      <c r="L18" s="121">
        <f t="shared" si="4"/>
        <v>0</v>
      </c>
      <c r="M18" s="121"/>
      <c r="N18" s="121">
        <f t="shared" si="5"/>
        <v>0</v>
      </c>
      <c r="O18" s="125">
        <f t="shared" si="6"/>
        <v>0</v>
      </c>
      <c r="Q18" s="667">
        <v>6</v>
      </c>
      <c r="R18" s="734">
        <f>S!O44</f>
        <v>12</v>
      </c>
      <c r="S18" s="1203">
        <f>S!P44</f>
        <v>3.1</v>
      </c>
      <c r="T18" s="734">
        <f>S!Q44</f>
        <v>287000</v>
      </c>
      <c r="U18" s="734">
        <f>S!R44</f>
        <v>0</v>
      </c>
      <c r="V18" s="734">
        <f>S!S44</f>
        <v>0</v>
      </c>
      <c r="W18" s="734">
        <f>S!T44</f>
        <v>0</v>
      </c>
      <c r="X18" s="734">
        <f>S!U44</f>
        <v>0</v>
      </c>
      <c r="Y18" s="734" t="str">
        <f>S!V44</f>
        <v>Kompiuter</v>
      </c>
    </row>
    <row r="19" spans="2:25">
      <c r="B19" s="259">
        <v>1</v>
      </c>
      <c r="C19" s="113" t="s">
        <v>1128</v>
      </c>
      <c r="D19" s="474">
        <v>2010</v>
      </c>
      <c r="E19" s="121">
        <v>51000</v>
      </c>
      <c r="F19" s="476">
        <v>0</v>
      </c>
      <c r="G19" s="121">
        <v>0</v>
      </c>
      <c r="H19" s="389">
        <f t="shared" si="2"/>
        <v>51000</v>
      </c>
      <c r="I19" s="121">
        <v>20</v>
      </c>
      <c r="J19" s="121">
        <v>10880</v>
      </c>
      <c r="K19" s="121">
        <f t="shared" si="3"/>
        <v>40120</v>
      </c>
      <c r="L19" s="121">
        <f t="shared" si="4"/>
        <v>1337.3333333333333</v>
      </c>
      <c r="M19" s="121"/>
      <c r="N19" s="121">
        <f t="shared" si="5"/>
        <v>12217.333333333334</v>
      </c>
      <c r="O19" s="125">
        <f t="shared" si="6"/>
        <v>38782.666666666664</v>
      </c>
      <c r="Q19" s="667">
        <v>7</v>
      </c>
      <c r="R19" s="734">
        <f>S!O45</f>
        <v>13</v>
      </c>
      <c r="S19" s="1203">
        <f>S!P45</f>
        <v>3.1</v>
      </c>
      <c r="T19" s="734">
        <f>S!Q45</f>
        <v>203000</v>
      </c>
      <c r="U19" s="734">
        <f>S!R45</f>
        <v>0</v>
      </c>
      <c r="V19" s="734">
        <f>S!S45</f>
        <v>0</v>
      </c>
      <c r="W19" s="734">
        <f>S!T45</f>
        <v>0</v>
      </c>
      <c r="X19" s="734">
        <f>S!U45</f>
        <v>0</v>
      </c>
      <c r="Y19" s="734" t="str">
        <f>S!V45</f>
        <v>Kompiuter</v>
      </c>
    </row>
    <row r="20" spans="2:25">
      <c r="B20" s="457">
        <v>2</v>
      </c>
      <c r="C20" s="113" t="s">
        <v>1129</v>
      </c>
      <c r="D20" s="474">
        <v>2010</v>
      </c>
      <c r="E20" s="121">
        <v>81000</v>
      </c>
      <c r="F20" s="476">
        <v>0</v>
      </c>
      <c r="G20" s="121">
        <v>0</v>
      </c>
      <c r="H20" s="389">
        <f t="shared" si="2"/>
        <v>81000</v>
      </c>
      <c r="I20" s="121">
        <v>20</v>
      </c>
      <c r="J20" s="121">
        <v>17280</v>
      </c>
      <c r="K20" s="121">
        <f t="shared" si="3"/>
        <v>63720</v>
      </c>
      <c r="L20" s="121">
        <f t="shared" si="4"/>
        <v>2124</v>
      </c>
      <c r="M20" s="121"/>
      <c r="N20" s="121">
        <f t="shared" si="5"/>
        <v>19404</v>
      </c>
      <c r="O20" s="125">
        <f t="shared" si="6"/>
        <v>61596</v>
      </c>
      <c r="Q20" s="667">
        <v>8</v>
      </c>
      <c r="R20" s="734">
        <f>S!O46</f>
        <v>1442</v>
      </c>
      <c r="S20" s="1203">
        <f>S!P46</f>
        <v>9.11</v>
      </c>
      <c r="T20" s="734">
        <f>S!Q46</f>
        <v>118600</v>
      </c>
      <c r="U20" s="734">
        <f>S!R46</f>
        <v>0</v>
      </c>
      <c r="V20" s="734">
        <f>S!S46</f>
        <v>0</v>
      </c>
      <c r="W20" s="734">
        <f>S!T46</f>
        <v>0</v>
      </c>
      <c r="X20" s="734">
        <f>S!U46</f>
        <v>0</v>
      </c>
      <c r="Y20" s="734" t="str">
        <f>S!V46</f>
        <v>Fikse Zjarri</v>
      </c>
    </row>
    <row r="21" spans="2:25">
      <c r="B21" s="259">
        <v>3</v>
      </c>
      <c r="C21" s="113" t="s">
        <v>1130</v>
      </c>
      <c r="D21" s="474">
        <v>2010</v>
      </c>
      <c r="E21" s="121">
        <v>259200</v>
      </c>
      <c r="F21" s="476">
        <v>18300</v>
      </c>
      <c r="G21" s="121">
        <v>0</v>
      </c>
      <c r="H21" s="389">
        <f t="shared" ref="H21:H29" si="7">E21+F21-G21</f>
        <v>277500</v>
      </c>
      <c r="I21" s="121">
        <v>20</v>
      </c>
      <c r="J21" s="121">
        <v>55296</v>
      </c>
      <c r="K21" s="121">
        <f t="shared" ref="K21:K29" si="8">E21-J21</f>
        <v>203904</v>
      </c>
      <c r="L21" s="121">
        <f t="shared" si="4"/>
        <v>6796.8</v>
      </c>
      <c r="M21" s="121"/>
      <c r="N21" s="121">
        <f t="shared" si="5"/>
        <v>62092.800000000003</v>
      </c>
      <c r="O21" s="125">
        <f t="shared" si="6"/>
        <v>215407.2</v>
      </c>
      <c r="Q21" s="667">
        <v>9</v>
      </c>
      <c r="R21" s="734">
        <f>S!O47</f>
        <v>0</v>
      </c>
      <c r="S21" s="1203">
        <f>S!P47</f>
        <v>0</v>
      </c>
      <c r="T21" s="734">
        <f>S!Q47</f>
        <v>0</v>
      </c>
      <c r="U21" s="734">
        <f>S!R47</f>
        <v>0</v>
      </c>
      <c r="V21" s="734">
        <f>S!S47</f>
        <v>0</v>
      </c>
      <c r="W21" s="734">
        <f>S!T47</f>
        <v>0</v>
      </c>
      <c r="X21" s="734">
        <f>S!U47</f>
        <v>0</v>
      </c>
      <c r="Y21" s="734">
        <f>S!V47</f>
        <v>0</v>
      </c>
    </row>
    <row r="22" spans="2:25">
      <c r="B22" s="457">
        <v>4</v>
      </c>
      <c r="C22" s="113" t="s">
        <v>1131</v>
      </c>
      <c r="D22" s="474">
        <v>2010</v>
      </c>
      <c r="E22" s="121">
        <v>1247338</v>
      </c>
      <c r="F22" s="476">
        <v>0</v>
      </c>
      <c r="G22" s="121">
        <v>0</v>
      </c>
      <c r="H22" s="389">
        <f t="shared" si="7"/>
        <v>1247338</v>
      </c>
      <c r="I22" s="121">
        <v>20</v>
      </c>
      <c r="J22" s="121">
        <v>619345.04</v>
      </c>
      <c r="K22" s="121">
        <f t="shared" si="8"/>
        <v>627992.96</v>
      </c>
      <c r="L22" s="121">
        <f t="shared" si="4"/>
        <v>20933.098666666665</v>
      </c>
      <c r="M22" s="121"/>
      <c r="N22" s="121">
        <f t="shared" si="5"/>
        <v>640278.13866666669</v>
      </c>
      <c r="O22" s="125">
        <f t="shared" si="6"/>
        <v>607059.86133333331</v>
      </c>
      <c r="Q22" s="667">
        <v>10</v>
      </c>
      <c r="R22" s="734">
        <f>S!O48</f>
        <v>0</v>
      </c>
      <c r="S22" s="1203">
        <f>S!P48</f>
        <v>0</v>
      </c>
      <c r="T22" s="734">
        <f>S!Q48</f>
        <v>0</v>
      </c>
      <c r="U22" s="734">
        <f>S!R48</f>
        <v>0</v>
      </c>
      <c r="V22" s="734">
        <f>S!S48</f>
        <v>0</v>
      </c>
      <c r="W22" s="734">
        <f>S!T48</f>
        <v>0</v>
      </c>
      <c r="X22" s="734">
        <f>S!U48</f>
        <v>0</v>
      </c>
      <c r="Y22" s="734">
        <f>S!V48</f>
        <v>0</v>
      </c>
    </row>
    <row r="23" spans="2:25">
      <c r="B23" s="259">
        <v>5</v>
      </c>
      <c r="C23" s="113" t="s">
        <v>1132</v>
      </c>
      <c r="D23" s="474">
        <v>2010</v>
      </c>
      <c r="E23" s="121">
        <v>44000</v>
      </c>
      <c r="F23" s="476">
        <v>0</v>
      </c>
      <c r="G23" s="121">
        <v>0</v>
      </c>
      <c r="H23" s="389">
        <f t="shared" si="7"/>
        <v>44000</v>
      </c>
      <c r="I23" s="121">
        <v>20</v>
      </c>
      <c r="J23" s="121">
        <v>9386.4</v>
      </c>
      <c r="K23" s="121">
        <f t="shared" si="8"/>
        <v>34613.599999999999</v>
      </c>
      <c r="L23" s="121">
        <f t="shared" si="4"/>
        <v>1153.7866666666666</v>
      </c>
      <c r="M23" s="121"/>
      <c r="N23" s="121">
        <f t="shared" si="5"/>
        <v>10540.186666666666</v>
      </c>
      <c r="O23" s="125">
        <f t="shared" si="6"/>
        <v>33459.813333333332</v>
      </c>
      <c r="Q23" s="667">
        <v>11</v>
      </c>
      <c r="R23" s="734">
        <f>S!O49</f>
        <v>0</v>
      </c>
      <c r="S23" s="1203">
        <f>S!P49</f>
        <v>0</v>
      </c>
      <c r="T23" s="734">
        <f>S!Q49</f>
        <v>0</v>
      </c>
      <c r="U23" s="734">
        <f>S!R49</f>
        <v>0</v>
      </c>
      <c r="V23" s="734">
        <f>S!S49</f>
        <v>0</v>
      </c>
      <c r="W23" s="734">
        <f>S!T49</f>
        <v>0</v>
      </c>
      <c r="X23" s="734">
        <f>S!U49</f>
        <v>0</v>
      </c>
      <c r="Y23" s="734">
        <f>S!V49</f>
        <v>0</v>
      </c>
    </row>
    <row r="24" spans="2:25">
      <c r="B24" s="457">
        <v>6</v>
      </c>
      <c r="C24" s="113" t="s">
        <v>1133</v>
      </c>
      <c r="D24" s="474">
        <v>2010</v>
      </c>
      <c r="E24" s="121">
        <v>2736</v>
      </c>
      <c r="F24" s="476">
        <v>0</v>
      </c>
      <c r="G24" s="121">
        <v>0</v>
      </c>
      <c r="H24" s="389">
        <f t="shared" si="7"/>
        <v>2736</v>
      </c>
      <c r="I24" s="121">
        <v>20</v>
      </c>
      <c r="J24" s="121">
        <v>547.20000000000005</v>
      </c>
      <c r="K24" s="121">
        <f t="shared" si="8"/>
        <v>2188.8000000000002</v>
      </c>
      <c r="L24" s="121">
        <f t="shared" si="4"/>
        <v>72.959999999999994</v>
      </c>
      <c r="M24" s="121"/>
      <c r="N24" s="121">
        <f t="shared" si="5"/>
        <v>620.16000000000008</v>
      </c>
      <c r="O24" s="125">
        <f t="shared" si="6"/>
        <v>2115.84</v>
      </c>
      <c r="Q24" s="667">
        <v>12</v>
      </c>
      <c r="R24" s="734">
        <f>S!O50</f>
        <v>0</v>
      </c>
      <c r="S24" s="1203">
        <f>S!P50</f>
        <v>0</v>
      </c>
      <c r="T24" s="734">
        <f>S!Q50</f>
        <v>0</v>
      </c>
      <c r="U24" s="734">
        <f>S!R50</f>
        <v>0</v>
      </c>
      <c r="V24" s="734">
        <f>S!S50</f>
        <v>0</v>
      </c>
      <c r="W24" s="734">
        <f>S!T50</f>
        <v>0</v>
      </c>
      <c r="X24" s="734">
        <f>S!U50</f>
        <v>0</v>
      </c>
      <c r="Y24" s="734">
        <f>S!V50</f>
        <v>0</v>
      </c>
    </row>
    <row r="25" spans="2:25">
      <c r="B25" s="259">
        <v>7</v>
      </c>
      <c r="C25" s="113" t="s">
        <v>1134</v>
      </c>
      <c r="D25" s="474">
        <v>2010</v>
      </c>
      <c r="E25" s="121">
        <v>44000</v>
      </c>
      <c r="F25" s="476">
        <v>0</v>
      </c>
      <c r="G25" s="121">
        <v>0</v>
      </c>
      <c r="H25" s="389">
        <f t="shared" si="7"/>
        <v>44000</v>
      </c>
      <c r="I25" s="121">
        <v>20</v>
      </c>
      <c r="J25" s="121">
        <v>9386.4</v>
      </c>
      <c r="K25" s="121">
        <f t="shared" si="8"/>
        <v>34613.599999999999</v>
      </c>
      <c r="L25" s="121">
        <f t="shared" si="4"/>
        <v>1153.7866666666666</v>
      </c>
      <c r="M25" s="121"/>
      <c r="N25" s="121">
        <f t="shared" si="5"/>
        <v>10540.186666666666</v>
      </c>
      <c r="O25" s="125">
        <f t="shared" si="6"/>
        <v>33459.813333333332</v>
      </c>
      <c r="Q25" s="667">
        <v>13</v>
      </c>
      <c r="R25" s="734">
        <f>S!O51</f>
        <v>0</v>
      </c>
      <c r="S25" s="1203">
        <f>S!P51</f>
        <v>0</v>
      </c>
      <c r="T25" s="734">
        <f>S!Q51</f>
        <v>0</v>
      </c>
      <c r="U25" s="734">
        <f>S!R51</f>
        <v>0</v>
      </c>
      <c r="V25" s="734">
        <f>S!S51</f>
        <v>0</v>
      </c>
      <c r="W25" s="734">
        <f>S!T51</f>
        <v>0</v>
      </c>
      <c r="X25" s="734">
        <f>S!U51</f>
        <v>0</v>
      </c>
      <c r="Y25" s="734">
        <f>S!V51</f>
        <v>0</v>
      </c>
    </row>
    <row r="26" spans="2:25">
      <c r="B26" s="457">
        <v>8</v>
      </c>
      <c r="C26" s="113" t="s">
        <v>1135</v>
      </c>
      <c r="D26" s="474">
        <v>2010</v>
      </c>
      <c r="E26" s="121">
        <v>800</v>
      </c>
      <c r="F26" s="476">
        <v>0</v>
      </c>
      <c r="G26" s="121">
        <v>0</v>
      </c>
      <c r="H26" s="389">
        <f t="shared" si="7"/>
        <v>800</v>
      </c>
      <c r="I26" s="121">
        <v>20</v>
      </c>
      <c r="J26" s="121">
        <v>170.4</v>
      </c>
      <c r="K26" s="121">
        <f t="shared" si="8"/>
        <v>629.6</v>
      </c>
      <c r="L26" s="121">
        <f t="shared" si="4"/>
        <v>20.986666666666668</v>
      </c>
      <c r="M26" s="121"/>
      <c r="N26" s="121">
        <f t="shared" si="5"/>
        <v>191.38666666666668</v>
      </c>
      <c r="O26" s="125">
        <f t="shared" si="6"/>
        <v>608.61333333333334</v>
      </c>
      <c r="Q26" s="667">
        <v>14</v>
      </c>
      <c r="R26" s="734">
        <f>S!O52</f>
        <v>0</v>
      </c>
      <c r="S26" s="1203">
        <f>S!P52</f>
        <v>0</v>
      </c>
      <c r="T26" s="734">
        <f>S!Q52</f>
        <v>0</v>
      </c>
      <c r="U26" s="734">
        <f>S!R52</f>
        <v>0</v>
      </c>
      <c r="V26" s="734">
        <f>S!S52</f>
        <v>0</v>
      </c>
      <c r="W26" s="734">
        <f>S!T52</f>
        <v>0</v>
      </c>
      <c r="X26" s="734">
        <f>S!U52</f>
        <v>0</v>
      </c>
      <c r="Y26" s="734">
        <f>S!V52</f>
        <v>0</v>
      </c>
    </row>
    <row r="27" spans="2:25" ht="13.5" thickBot="1">
      <c r="B27" s="259">
        <v>9</v>
      </c>
      <c r="C27" s="113" t="s">
        <v>1103</v>
      </c>
      <c r="D27" s="474" t="s">
        <v>1136</v>
      </c>
      <c r="E27" s="121">
        <v>227400</v>
      </c>
      <c r="F27" s="476">
        <f>132800+77700+154500</f>
        <v>365000</v>
      </c>
      <c r="G27" s="121">
        <v>0</v>
      </c>
      <c r="H27" s="389">
        <f t="shared" si="7"/>
        <v>592400</v>
      </c>
      <c r="I27" s="121">
        <v>20</v>
      </c>
      <c r="J27" s="121">
        <v>18950</v>
      </c>
      <c r="K27" s="121">
        <f t="shared" si="8"/>
        <v>208450</v>
      </c>
      <c r="L27" s="121">
        <f t="shared" si="4"/>
        <v>6948.333333333333</v>
      </c>
      <c r="M27" s="121"/>
      <c r="N27" s="121">
        <f t="shared" si="5"/>
        <v>25898.333333333332</v>
      </c>
      <c r="O27" s="125">
        <f t="shared" si="6"/>
        <v>566501.66666666663</v>
      </c>
      <c r="Q27" s="1566" t="s">
        <v>340</v>
      </c>
      <c r="R27" s="1567"/>
      <c r="S27" s="1568"/>
      <c r="T27" s="665">
        <f>SUM(T13:T26)</f>
        <v>1154800</v>
      </c>
      <c r="U27" s="665">
        <f>SUM(U13:U26)</f>
        <v>0</v>
      </c>
      <c r="V27" s="665">
        <f>SUM(V13:V26)</f>
        <v>0</v>
      </c>
      <c r="W27" s="665">
        <f>SUM(W13:W26)</f>
        <v>0</v>
      </c>
      <c r="X27" s="665">
        <f>SUM(X13:X26)</f>
        <v>0</v>
      </c>
      <c r="Y27" s="666"/>
    </row>
    <row r="28" spans="2:25">
      <c r="B28" s="457">
        <v>10</v>
      </c>
      <c r="C28" s="113" t="s">
        <v>1121</v>
      </c>
      <c r="D28" s="474"/>
      <c r="E28" s="121">
        <v>0</v>
      </c>
      <c r="F28" s="476">
        <v>118600</v>
      </c>
      <c r="G28" s="121">
        <v>0</v>
      </c>
      <c r="H28" s="389">
        <f t="shared" si="7"/>
        <v>118600</v>
      </c>
      <c r="I28" s="121">
        <v>20</v>
      </c>
      <c r="J28" s="121"/>
      <c r="K28" s="121">
        <f t="shared" si="8"/>
        <v>0</v>
      </c>
      <c r="L28" s="121">
        <f t="shared" si="4"/>
        <v>0</v>
      </c>
      <c r="M28" s="121"/>
      <c r="N28" s="121">
        <f t="shared" si="5"/>
        <v>0</v>
      </c>
      <c r="O28" s="125">
        <f t="shared" si="6"/>
        <v>118600</v>
      </c>
    </row>
    <row r="29" spans="2:25" ht="13.5" thickBot="1">
      <c r="B29" s="259">
        <v>11</v>
      </c>
      <c r="C29" s="113" t="s">
        <v>1178</v>
      </c>
      <c r="D29" s="474"/>
      <c r="E29" s="121">
        <v>0</v>
      </c>
      <c r="F29" s="476">
        <v>150000</v>
      </c>
      <c r="G29" s="121">
        <v>0</v>
      </c>
      <c r="H29" s="389">
        <f t="shared" si="7"/>
        <v>150000</v>
      </c>
      <c r="I29" s="121">
        <v>20</v>
      </c>
      <c r="J29" s="121"/>
      <c r="K29" s="121">
        <f t="shared" si="8"/>
        <v>0</v>
      </c>
      <c r="L29" s="121">
        <f t="shared" ref="L29" si="9">K29*I29/100+F29*I29/100/12*0</f>
        <v>0</v>
      </c>
      <c r="M29" s="121"/>
      <c r="N29" s="121">
        <f t="shared" si="5"/>
        <v>0</v>
      </c>
      <c r="O29" s="125">
        <f t="shared" si="6"/>
        <v>150000</v>
      </c>
      <c r="S29" s="156"/>
    </row>
    <row r="30" spans="2:25" ht="13.5" thickBot="1">
      <c r="B30" s="457"/>
      <c r="C30" s="477" t="s">
        <v>503</v>
      </c>
      <c r="D30" s="478"/>
      <c r="E30" s="479">
        <f>SUM(E14:E29)</f>
        <v>1957474</v>
      </c>
      <c r="F30" s="479">
        <f>SUM(F14:F29)</f>
        <v>651900</v>
      </c>
      <c r="G30" s="479">
        <f>SUM(G14:G29)</f>
        <v>0</v>
      </c>
      <c r="H30" s="479">
        <f>SUM(H14:H29)</f>
        <v>2609374</v>
      </c>
      <c r="I30" s="479"/>
      <c r="J30" s="479">
        <f t="shared" ref="J30:O30" si="10">SUM(J14:J29)</f>
        <v>741241.44000000006</v>
      </c>
      <c r="K30" s="479">
        <f t="shared" si="10"/>
        <v>1216232.56</v>
      </c>
      <c r="L30" s="479">
        <f t="shared" si="10"/>
        <v>40541.085333333329</v>
      </c>
      <c r="M30" s="479">
        <f t="shared" si="10"/>
        <v>0</v>
      </c>
      <c r="N30" s="479">
        <f t="shared" si="10"/>
        <v>781782.52533333341</v>
      </c>
      <c r="O30" s="480">
        <f t="shared" si="10"/>
        <v>1827591.4746666667</v>
      </c>
      <c r="R30" s="21"/>
      <c r="S30" s="156"/>
      <c r="T30" s="1201"/>
    </row>
    <row r="31" spans="2:25">
      <c r="B31" s="259"/>
      <c r="C31" s="481" t="s">
        <v>504</v>
      </c>
      <c r="D31" s="482"/>
      <c r="E31" s="483"/>
      <c r="F31" s="484"/>
      <c r="G31" s="389"/>
      <c r="H31" s="484"/>
      <c r="I31" s="389"/>
      <c r="J31" s="485"/>
      <c r="K31" s="485"/>
      <c r="L31" s="485"/>
      <c r="M31" s="485"/>
      <c r="N31" s="462"/>
      <c r="O31" s="486"/>
      <c r="S31" s="156"/>
      <c r="T31" s="700"/>
    </row>
    <row r="32" spans="2:25">
      <c r="B32" s="457">
        <v>1</v>
      </c>
      <c r="C32" s="487" t="s">
        <v>1137</v>
      </c>
      <c r="D32" s="488" t="s">
        <v>1138</v>
      </c>
      <c r="E32" s="489">
        <v>6066509</v>
      </c>
      <c r="F32" s="489">
        <v>0</v>
      </c>
      <c r="G32" s="489">
        <v>0</v>
      </c>
      <c r="H32" s="489">
        <f>E32+F32-G32</f>
        <v>6066509</v>
      </c>
      <c r="I32" s="490">
        <v>20</v>
      </c>
      <c r="J32" s="489">
        <v>3115758.9200000004</v>
      </c>
      <c r="K32" s="489">
        <f>E32-J32</f>
        <v>2950750.0799999996</v>
      </c>
      <c r="L32" s="489">
        <f>K32*I32/100/12*2+F32*I32/100/12*0</f>
        <v>98358.335999999996</v>
      </c>
      <c r="M32" s="489">
        <v>0</v>
      </c>
      <c r="N32" s="489">
        <f>J32+L32-M32</f>
        <v>3214117.2560000005</v>
      </c>
      <c r="O32" s="491">
        <f>H32-N32</f>
        <v>2852391.7439999995</v>
      </c>
      <c r="S32" s="156"/>
    </row>
    <row r="33" spans="2:15" ht="13.5" thickBot="1">
      <c r="B33" s="259">
        <v>2</v>
      </c>
      <c r="C33" s="492"/>
      <c r="D33" s="488"/>
      <c r="E33" s="489"/>
      <c r="F33" s="489">
        <v>0</v>
      </c>
      <c r="G33" s="489">
        <v>0</v>
      </c>
      <c r="H33" s="489">
        <f>E33+F33-G33</f>
        <v>0</v>
      </c>
      <c r="I33" s="490">
        <v>20</v>
      </c>
      <c r="J33" s="489"/>
      <c r="K33" s="489">
        <f>E33-J33</f>
        <v>0</v>
      </c>
      <c r="L33" s="489">
        <f>K33*I33/100/2+F33*I33/100/12*0</f>
        <v>0</v>
      </c>
      <c r="M33" s="489">
        <v>0</v>
      </c>
      <c r="N33" s="489">
        <f>J33+L33-M33</f>
        <v>0</v>
      </c>
      <c r="O33" s="491">
        <f>H33-N33</f>
        <v>0</v>
      </c>
    </row>
    <row r="34" spans="2:15" ht="13.5" thickBot="1">
      <c r="B34" s="457"/>
      <c r="C34" s="495" t="s">
        <v>505</v>
      </c>
      <c r="D34" s="496"/>
      <c r="E34" s="497">
        <f>SUM(E31:E33)</f>
        <v>6066509</v>
      </c>
      <c r="F34" s="497">
        <f>SUM(F31:F33)</f>
        <v>0</v>
      </c>
      <c r="G34" s="497">
        <f>SUM(G31:G33)</f>
        <v>0</v>
      </c>
      <c r="H34" s="497">
        <f>SUM(H31:H33)</f>
        <v>6066509</v>
      </c>
      <c r="I34" s="497"/>
      <c r="J34" s="497">
        <f t="shared" ref="J34:O34" si="11">SUM(J31:J33)</f>
        <v>3115758.9200000004</v>
      </c>
      <c r="K34" s="497">
        <f t="shared" si="11"/>
        <v>2950750.0799999996</v>
      </c>
      <c r="L34" s="497">
        <f t="shared" si="11"/>
        <v>98358.335999999996</v>
      </c>
      <c r="M34" s="497">
        <f t="shared" si="11"/>
        <v>0</v>
      </c>
      <c r="N34" s="497">
        <f t="shared" si="11"/>
        <v>3214117.2560000005</v>
      </c>
      <c r="O34" s="498">
        <f t="shared" si="11"/>
        <v>2852391.7439999995</v>
      </c>
    </row>
    <row r="35" spans="2:15">
      <c r="B35" s="259"/>
      <c r="C35" s="499" t="s">
        <v>506</v>
      </c>
      <c r="D35" s="500"/>
      <c r="E35" s="483"/>
      <c r="F35" s="484"/>
      <c r="G35" s="389"/>
      <c r="H35" s="484"/>
      <c r="I35" s="389"/>
      <c r="J35" s="485"/>
      <c r="K35" s="485"/>
      <c r="L35" s="485"/>
      <c r="M35" s="485"/>
      <c r="N35" s="458"/>
      <c r="O35" s="486"/>
    </row>
    <row r="36" spans="2:15">
      <c r="B36" s="457">
        <v>1</v>
      </c>
      <c r="C36" s="493" t="s">
        <v>761</v>
      </c>
      <c r="D36" s="494"/>
      <c r="E36" s="489"/>
      <c r="F36" s="476"/>
      <c r="G36" s="389">
        <v>0</v>
      </c>
      <c r="H36" s="476">
        <f>E36+F36-G36</f>
        <v>0</v>
      </c>
      <c r="I36" s="128">
        <v>20</v>
      </c>
      <c r="J36" s="128">
        <v>0</v>
      </c>
      <c r="K36" s="128">
        <f>E36-J36</f>
        <v>0</v>
      </c>
      <c r="L36" s="128">
        <f>K36*I36/100/12*2+F36*I36/100/12*0</f>
        <v>0</v>
      </c>
      <c r="M36" s="128"/>
      <c r="N36" s="462">
        <f>J36+L36-M36</f>
        <v>0</v>
      </c>
      <c r="O36" s="395">
        <f>H36-N36</f>
        <v>0</v>
      </c>
    </row>
    <row r="37" spans="2:15">
      <c r="B37" s="259">
        <v>2</v>
      </c>
      <c r="C37" s="493" t="s">
        <v>1139</v>
      </c>
      <c r="D37" s="494"/>
      <c r="E37" s="489">
        <v>0</v>
      </c>
      <c r="F37" s="476">
        <v>0</v>
      </c>
      <c r="G37" s="389">
        <v>0</v>
      </c>
      <c r="H37" s="476">
        <f>E37+F37-G37</f>
        <v>0</v>
      </c>
      <c r="I37" s="121">
        <v>20</v>
      </c>
      <c r="J37" s="128"/>
      <c r="K37" s="128">
        <f>E37-J37</f>
        <v>0</v>
      </c>
      <c r="L37" s="128">
        <f t="shared" ref="L37:L56" si="12">K37*I37/100/12*2+F37*I37/100/12*0</f>
        <v>0</v>
      </c>
      <c r="M37" s="128"/>
      <c r="N37" s="462">
        <f t="shared" ref="N37:N57" si="13">J37+L37-M37</f>
        <v>0</v>
      </c>
      <c r="O37" s="395">
        <f t="shared" ref="O37:O57" si="14">H37-N37</f>
        <v>0</v>
      </c>
    </row>
    <row r="38" spans="2:15">
      <c r="B38" s="457">
        <v>3</v>
      </c>
      <c r="C38" s="493" t="s">
        <v>1140</v>
      </c>
      <c r="D38" s="494" t="s">
        <v>1141</v>
      </c>
      <c r="E38" s="489">
        <v>1771120</v>
      </c>
      <c r="F38" s="476">
        <v>0</v>
      </c>
      <c r="G38" s="389">
        <v>0</v>
      </c>
      <c r="H38" s="476">
        <f t="shared" ref="H38:H57" si="15">E38+F38-G38</f>
        <v>1771120</v>
      </c>
      <c r="I38" s="128">
        <v>20</v>
      </c>
      <c r="J38" s="128">
        <v>594022.40000000002</v>
      </c>
      <c r="K38" s="128">
        <f t="shared" ref="K38:K42" si="16">E38-J38</f>
        <v>1177097.6000000001</v>
      </c>
      <c r="L38" s="128">
        <f t="shared" si="12"/>
        <v>39236.586666666662</v>
      </c>
      <c r="M38" s="128"/>
      <c r="N38" s="462">
        <f t="shared" si="13"/>
        <v>633258.98666666669</v>
      </c>
      <c r="O38" s="395">
        <f t="shared" si="14"/>
        <v>1137861.0133333332</v>
      </c>
    </row>
    <row r="39" spans="2:15">
      <c r="B39" s="259">
        <v>4</v>
      </c>
      <c r="C39" s="493" t="s">
        <v>1142</v>
      </c>
      <c r="D39" s="494" t="s">
        <v>1141</v>
      </c>
      <c r="E39" s="489">
        <v>1573199</v>
      </c>
      <c r="F39" s="476">
        <v>0</v>
      </c>
      <c r="G39" s="389">
        <v>0</v>
      </c>
      <c r="H39" s="476">
        <f t="shared" si="15"/>
        <v>1573199</v>
      </c>
      <c r="I39" s="121">
        <v>20</v>
      </c>
      <c r="J39" s="128">
        <v>687117.72</v>
      </c>
      <c r="K39" s="128">
        <f t="shared" si="16"/>
        <v>886081.28</v>
      </c>
      <c r="L39" s="128">
        <f t="shared" si="12"/>
        <v>29536.042666666672</v>
      </c>
      <c r="M39" s="128"/>
      <c r="N39" s="462">
        <f t="shared" si="13"/>
        <v>716653.76266666665</v>
      </c>
      <c r="O39" s="395">
        <f t="shared" si="14"/>
        <v>856545.23733333335</v>
      </c>
    </row>
    <row r="40" spans="2:15">
      <c r="B40" s="457">
        <v>5</v>
      </c>
      <c r="C40" s="493" t="s">
        <v>1143</v>
      </c>
      <c r="D40" s="494">
        <v>2011</v>
      </c>
      <c r="E40" s="489">
        <v>439500</v>
      </c>
      <c r="F40" s="476">
        <v>0</v>
      </c>
      <c r="G40" s="389">
        <v>0</v>
      </c>
      <c r="H40" s="476">
        <f t="shared" si="15"/>
        <v>439500</v>
      </c>
      <c r="I40" s="128">
        <v>20</v>
      </c>
      <c r="J40" s="128">
        <v>36625</v>
      </c>
      <c r="K40" s="128">
        <f t="shared" si="16"/>
        <v>402875</v>
      </c>
      <c r="L40" s="128">
        <f t="shared" si="12"/>
        <v>13429.166666666666</v>
      </c>
      <c r="M40" s="128"/>
      <c r="N40" s="462">
        <f t="shared" si="13"/>
        <v>50054.166666666664</v>
      </c>
      <c r="O40" s="395">
        <f t="shared" si="14"/>
        <v>389445.83333333331</v>
      </c>
    </row>
    <row r="41" spans="2:15">
      <c r="B41" s="259">
        <v>6</v>
      </c>
      <c r="C41" s="493" t="s">
        <v>1144</v>
      </c>
      <c r="D41" s="494" t="s">
        <v>1145</v>
      </c>
      <c r="E41" s="489">
        <v>52000</v>
      </c>
      <c r="F41" s="476">
        <v>0</v>
      </c>
      <c r="G41" s="389">
        <v>0</v>
      </c>
      <c r="H41" s="476">
        <f t="shared" si="15"/>
        <v>52000</v>
      </c>
      <c r="I41" s="121">
        <v>20</v>
      </c>
      <c r="J41" s="128">
        <v>19932.8</v>
      </c>
      <c r="K41" s="128">
        <f t="shared" si="16"/>
        <v>32067.200000000001</v>
      </c>
      <c r="L41" s="128">
        <f t="shared" si="12"/>
        <v>1068.9066666666665</v>
      </c>
      <c r="M41" s="128"/>
      <c r="N41" s="462">
        <f t="shared" si="13"/>
        <v>21001.706666666665</v>
      </c>
      <c r="O41" s="395">
        <f t="shared" si="14"/>
        <v>30998.293333333335</v>
      </c>
    </row>
    <row r="42" spans="2:15">
      <c r="B42" s="457">
        <v>7</v>
      </c>
      <c r="C42" s="493" t="s">
        <v>1146</v>
      </c>
      <c r="D42" s="494" t="s">
        <v>1147</v>
      </c>
      <c r="E42" s="489">
        <v>245833</v>
      </c>
      <c r="F42" s="476">
        <v>0</v>
      </c>
      <c r="G42" s="389">
        <v>0</v>
      </c>
      <c r="H42" s="476">
        <f t="shared" si="15"/>
        <v>245833</v>
      </c>
      <c r="I42" s="128">
        <v>20</v>
      </c>
      <c r="J42" s="128">
        <v>122064.04000000001</v>
      </c>
      <c r="K42" s="128">
        <f t="shared" si="16"/>
        <v>123768.95999999999</v>
      </c>
      <c r="L42" s="128">
        <f t="shared" si="12"/>
        <v>4125.6319999999996</v>
      </c>
      <c r="M42" s="128"/>
      <c r="N42" s="462">
        <f t="shared" si="13"/>
        <v>126189.67200000001</v>
      </c>
      <c r="O42" s="395">
        <f t="shared" si="14"/>
        <v>119643.32799999999</v>
      </c>
    </row>
    <row r="43" spans="2:15">
      <c r="B43" s="259">
        <v>8</v>
      </c>
      <c r="C43" s="493" t="s">
        <v>1148</v>
      </c>
      <c r="D43" s="494" t="s">
        <v>1149</v>
      </c>
      <c r="E43" s="489">
        <v>23333</v>
      </c>
      <c r="F43" s="476">
        <v>0</v>
      </c>
      <c r="G43" s="389">
        <v>0</v>
      </c>
      <c r="H43" s="476">
        <f t="shared" si="15"/>
        <v>23333</v>
      </c>
      <c r="I43" s="121">
        <v>20</v>
      </c>
      <c r="J43" s="128">
        <v>8165.8</v>
      </c>
      <c r="K43" s="128">
        <f t="shared" ref="K43:K57" si="17">E43-J43</f>
        <v>15167.2</v>
      </c>
      <c r="L43" s="128">
        <f t="shared" si="12"/>
        <v>505.57333333333332</v>
      </c>
      <c r="M43" s="128"/>
      <c r="N43" s="462">
        <f t="shared" si="13"/>
        <v>8671.373333333333</v>
      </c>
      <c r="O43" s="395">
        <f t="shared" si="14"/>
        <v>14661.626666666667</v>
      </c>
    </row>
    <row r="44" spans="2:15">
      <c r="B44" s="457">
        <v>9</v>
      </c>
      <c r="C44" s="493" t="s">
        <v>1150</v>
      </c>
      <c r="D44" s="494" t="s">
        <v>1151</v>
      </c>
      <c r="E44" s="489">
        <v>13000</v>
      </c>
      <c r="F44" s="476">
        <v>0</v>
      </c>
      <c r="G44" s="389">
        <v>0</v>
      </c>
      <c r="H44" s="476">
        <f t="shared" si="15"/>
        <v>13000</v>
      </c>
      <c r="I44" s="128">
        <v>20</v>
      </c>
      <c r="J44" s="128">
        <v>3640</v>
      </c>
      <c r="K44" s="128">
        <f t="shared" si="17"/>
        <v>9360</v>
      </c>
      <c r="L44" s="128">
        <f t="shared" si="12"/>
        <v>312</v>
      </c>
      <c r="M44" s="128"/>
      <c r="N44" s="462">
        <f t="shared" si="13"/>
        <v>3952</v>
      </c>
      <c r="O44" s="395">
        <f t="shared" si="14"/>
        <v>9048</v>
      </c>
    </row>
    <row r="45" spans="2:15">
      <c r="B45" s="259">
        <v>10</v>
      </c>
      <c r="C45" s="493" t="s">
        <v>1152</v>
      </c>
      <c r="D45" s="494" t="s">
        <v>1153</v>
      </c>
      <c r="E45" s="489">
        <v>180000</v>
      </c>
      <c r="F45" s="476">
        <v>0</v>
      </c>
      <c r="G45" s="389">
        <v>0</v>
      </c>
      <c r="H45" s="476">
        <f t="shared" si="15"/>
        <v>180000</v>
      </c>
      <c r="I45" s="121">
        <v>20</v>
      </c>
      <c r="J45" s="128">
        <v>55200</v>
      </c>
      <c r="K45" s="128">
        <f t="shared" si="17"/>
        <v>124800</v>
      </c>
      <c r="L45" s="128">
        <f t="shared" si="12"/>
        <v>4160</v>
      </c>
      <c r="M45" s="128"/>
      <c r="N45" s="462">
        <f t="shared" si="13"/>
        <v>59360</v>
      </c>
      <c r="O45" s="395">
        <f t="shared" si="14"/>
        <v>120640</v>
      </c>
    </row>
    <row r="46" spans="2:15">
      <c r="B46" s="457">
        <v>11</v>
      </c>
      <c r="C46" s="493" t="s">
        <v>1154</v>
      </c>
      <c r="D46" s="494" t="s">
        <v>1155</v>
      </c>
      <c r="E46" s="489">
        <v>220000</v>
      </c>
      <c r="F46" s="476">
        <v>0</v>
      </c>
      <c r="G46" s="389">
        <v>0</v>
      </c>
      <c r="H46" s="476">
        <f t="shared" si="15"/>
        <v>220000</v>
      </c>
      <c r="I46" s="128">
        <v>20</v>
      </c>
      <c r="J46" s="128">
        <v>67466.399999999994</v>
      </c>
      <c r="K46" s="128">
        <f t="shared" si="17"/>
        <v>152533.6</v>
      </c>
      <c r="L46" s="128">
        <f t="shared" si="12"/>
        <v>5084.4533333333338</v>
      </c>
      <c r="M46" s="128"/>
      <c r="N46" s="462">
        <f t="shared" si="13"/>
        <v>72550.853333333333</v>
      </c>
      <c r="O46" s="395">
        <f t="shared" si="14"/>
        <v>147449.14666666667</v>
      </c>
    </row>
    <row r="47" spans="2:15">
      <c r="B47" s="259">
        <v>12</v>
      </c>
      <c r="C47" s="493" t="s">
        <v>1156</v>
      </c>
      <c r="D47" s="494" t="s">
        <v>1157</v>
      </c>
      <c r="E47" s="489">
        <v>17500</v>
      </c>
      <c r="F47" s="476">
        <v>0</v>
      </c>
      <c r="G47" s="389">
        <v>0</v>
      </c>
      <c r="H47" s="476">
        <f t="shared" si="15"/>
        <v>17500</v>
      </c>
      <c r="I47" s="121">
        <v>20</v>
      </c>
      <c r="J47" s="128">
        <v>4433.6000000000004</v>
      </c>
      <c r="K47" s="128">
        <f t="shared" si="17"/>
        <v>13066.4</v>
      </c>
      <c r="L47" s="128">
        <f t="shared" si="12"/>
        <v>435.54666666666668</v>
      </c>
      <c r="M47" s="128"/>
      <c r="N47" s="462">
        <f t="shared" si="13"/>
        <v>4869.1466666666674</v>
      </c>
      <c r="O47" s="395">
        <f t="shared" si="14"/>
        <v>12630.853333333333</v>
      </c>
    </row>
    <row r="48" spans="2:15">
      <c r="B48" s="457">
        <v>13</v>
      </c>
      <c r="C48" s="493" t="s">
        <v>1158</v>
      </c>
      <c r="D48" s="494" t="s">
        <v>1149</v>
      </c>
      <c r="E48" s="489">
        <v>21667</v>
      </c>
      <c r="F48" s="476">
        <v>12900</v>
      </c>
      <c r="G48" s="389">
        <v>0</v>
      </c>
      <c r="H48" s="476">
        <f t="shared" si="15"/>
        <v>34567</v>
      </c>
      <c r="I48" s="128">
        <v>20</v>
      </c>
      <c r="J48" s="128">
        <v>8463.25</v>
      </c>
      <c r="K48" s="128">
        <f t="shared" si="17"/>
        <v>13203.75</v>
      </c>
      <c r="L48" s="128">
        <f t="shared" si="12"/>
        <v>440.125</v>
      </c>
      <c r="M48" s="128"/>
      <c r="N48" s="462">
        <f t="shared" si="13"/>
        <v>8903.375</v>
      </c>
      <c r="O48" s="395">
        <f t="shared" si="14"/>
        <v>25663.625</v>
      </c>
    </row>
    <row r="49" spans="2:15">
      <c r="B49" s="259">
        <v>14</v>
      </c>
      <c r="C49" s="493" t="s">
        <v>1159</v>
      </c>
      <c r="D49" s="494" t="s">
        <v>1160</v>
      </c>
      <c r="E49" s="489">
        <v>123750</v>
      </c>
      <c r="F49" s="476">
        <v>0</v>
      </c>
      <c r="G49" s="389">
        <v>0</v>
      </c>
      <c r="H49" s="476">
        <f t="shared" si="15"/>
        <v>123750</v>
      </c>
      <c r="I49" s="121">
        <v>20</v>
      </c>
      <c r="J49" s="128">
        <v>42538.5</v>
      </c>
      <c r="K49" s="128">
        <f t="shared" si="17"/>
        <v>81211.5</v>
      </c>
      <c r="L49" s="128">
        <f t="shared" si="12"/>
        <v>2707.0499999999997</v>
      </c>
      <c r="M49" s="128"/>
      <c r="N49" s="462">
        <f t="shared" si="13"/>
        <v>45245.55</v>
      </c>
      <c r="O49" s="395">
        <f t="shared" si="14"/>
        <v>78504.45</v>
      </c>
    </row>
    <row r="50" spans="2:15">
      <c r="B50" s="457">
        <v>15</v>
      </c>
      <c r="C50" s="493" t="s">
        <v>1161</v>
      </c>
      <c r="D50" s="494" t="s">
        <v>1149</v>
      </c>
      <c r="E50" s="489">
        <v>22417</v>
      </c>
      <c r="F50" s="476">
        <v>0</v>
      </c>
      <c r="G50" s="389">
        <v>0</v>
      </c>
      <c r="H50" s="476">
        <f t="shared" si="15"/>
        <v>22417</v>
      </c>
      <c r="I50" s="128">
        <v>20</v>
      </c>
      <c r="J50" s="128">
        <v>7845.8</v>
      </c>
      <c r="K50" s="128">
        <f t="shared" si="17"/>
        <v>14571.2</v>
      </c>
      <c r="L50" s="128">
        <f t="shared" si="12"/>
        <v>485.70666666666665</v>
      </c>
      <c r="M50" s="128"/>
      <c r="N50" s="462">
        <f t="shared" si="13"/>
        <v>8331.5066666666662</v>
      </c>
      <c r="O50" s="395">
        <f t="shared" si="14"/>
        <v>14085.493333333334</v>
      </c>
    </row>
    <row r="51" spans="2:15">
      <c r="B51" s="259">
        <v>16</v>
      </c>
      <c r="C51" s="493" t="s">
        <v>1162</v>
      </c>
      <c r="D51" s="494" t="s">
        <v>1163</v>
      </c>
      <c r="E51" s="489">
        <v>116660</v>
      </c>
      <c r="F51" s="476">
        <v>0</v>
      </c>
      <c r="G51" s="389">
        <v>0</v>
      </c>
      <c r="H51" s="476">
        <f t="shared" si="15"/>
        <v>116660</v>
      </c>
      <c r="I51" s="121">
        <v>20</v>
      </c>
      <c r="J51" s="128">
        <v>55685.919999999998</v>
      </c>
      <c r="K51" s="128">
        <f t="shared" si="17"/>
        <v>60974.080000000002</v>
      </c>
      <c r="L51" s="128">
        <f t="shared" si="12"/>
        <v>2032.4693333333335</v>
      </c>
      <c r="M51" s="128"/>
      <c r="N51" s="462">
        <f t="shared" si="13"/>
        <v>57718.389333333333</v>
      </c>
      <c r="O51" s="395">
        <f t="shared" si="14"/>
        <v>58941.610666666667</v>
      </c>
    </row>
    <row r="52" spans="2:15">
      <c r="B52" s="457">
        <v>17</v>
      </c>
      <c r="C52" s="493" t="s">
        <v>1164</v>
      </c>
      <c r="D52" s="494" t="s">
        <v>1165</v>
      </c>
      <c r="E52" s="489">
        <v>730000</v>
      </c>
      <c r="F52" s="476">
        <v>0</v>
      </c>
      <c r="G52" s="389">
        <v>0</v>
      </c>
      <c r="H52" s="476">
        <f t="shared" si="15"/>
        <v>730000</v>
      </c>
      <c r="I52" s="128">
        <v>20</v>
      </c>
      <c r="J52" s="128">
        <v>262800</v>
      </c>
      <c r="K52" s="128">
        <f t="shared" si="17"/>
        <v>467200</v>
      </c>
      <c r="L52" s="128">
        <f t="shared" si="12"/>
        <v>15573.333333333334</v>
      </c>
      <c r="M52" s="128"/>
      <c r="N52" s="462">
        <f t="shared" si="13"/>
        <v>278373.33333333331</v>
      </c>
      <c r="O52" s="395">
        <f t="shared" si="14"/>
        <v>451626.66666666669</v>
      </c>
    </row>
    <row r="53" spans="2:15">
      <c r="B53" s="259">
        <v>18</v>
      </c>
      <c r="C53" s="493"/>
      <c r="D53" s="494"/>
      <c r="E53" s="489">
        <v>0</v>
      </c>
      <c r="F53" s="476">
        <v>0</v>
      </c>
      <c r="G53" s="389">
        <v>0</v>
      </c>
      <c r="H53" s="476">
        <f t="shared" si="15"/>
        <v>0</v>
      </c>
      <c r="I53" s="121">
        <v>20</v>
      </c>
      <c r="J53" s="128">
        <v>0</v>
      </c>
      <c r="K53" s="128">
        <f t="shared" si="17"/>
        <v>0</v>
      </c>
      <c r="L53" s="128">
        <f t="shared" si="12"/>
        <v>0</v>
      </c>
      <c r="M53" s="128"/>
      <c r="N53" s="462">
        <f t="shared" si="13"/>
        <v>0</v>
      </c>
      <c r="O53" s="395">
        <f t="shared" si="14"/>
        <v>0</v>
      </c>
    </row>
    <row r="54" spans="2:15">
      <c r="B54" s="457">
        <v>19</v>
      </c>
      <c r="C54" s="493" t="s">
        <v>1166</v>
      </c>
      <c r="D54" s="494" t="s">
        <v>1167</v>
      </c>
      <c r="E54" s="489">
        <v>2195036</v>
      </c>
      <c r="F54" s="476">
        <v>490000</v>
      </c>
      <c r="G54" s="389">
        <v>0</v>
      </c>
      <c r="H54" s="476">
        <f t="shared" si="15"/>
        <v>2685036</v>
      </c>
      <c r="I54" s="1200">
        <v>25</v>
      </c>
      <c r="J54" s="128">
        <v>1187675</v>
      </c>
      <c r="K54" s="128">
        <f t="shared" si="17"/>
        <v>1007361</v>
      </c>
      <c r="L54" s="128">
        <f t="shared" si="12"/>
        <v>41973.375</v>
      </c>
      <c r="M54" s="128"/>
      <c r="N54" s="462">
        <f t="shared" si="13"/>
        <v>1229648.375</v>
      </c>
      <c r="O54" s="395">
        <f t="shared" si="14"/>
        <v>1455387.625</v>
      </c>
    </row>
    <row r="55" spans="2:15">
      <c r="B55" s="259">
        <v>20</v>
      </c>
      <c r="C55" s="493" t="s">
        <v>1168</v>
      </c>
      <c r="D55" s="494" t="s">
        <v>1136</v>
      </c>
      <c r="E55" s="489">
        <v>1233130</v>
      </c>
      <c r="F55" s="476">
        <v>0</v>
      </c>
      <c r="G55" s="389">
        <v>0</v>
      </c>
      <c r="H55" s="476">
        <f t="shared" si="15"/>
        <v>1233130</v>
      </c>
      <c r="I55" s="1117">
        <v>25</v>
      </c>
      <c r="J55" s="128">
        <v>128451.04166666666</v>
      </c>
      <c r="K55" s="128">
        <f t="shared" si="17"/>
        <v>1104678.9583333333</v>
      </c>
      <c r="L55" s="128">
        <f t="shared" si="12"/>
        <v>46028.289930555555</v>
      </c>
      <c r="M55" s="128"/>
      <c r="N55" s="462">
        <f t="shared" si="13"/>
        <v>174479.33159722222</v>
      </c>
      <c r="O55" s="395">
        <f t="shared" si="14"/>
        <v>1058650.6684027778</v>
      </c>
    </row>
    <row r="56" spans="2:15">
      <c r="B56" s="457">
        <v>21</v>
      </c>
      <c r="C56" s="493"/>
      <c r="D56" s="494"/>
      <c r="E56" s="489"/>
      <c r="F56" s="476">
        <v>0</v>
      </c>
      <c r="G56" s="389">
        <v>0</v>
      </c>
      <c r="H56" s="476">
        <f t="shared" si="15"/>
        <v>0</v>
      </c>
      <c r="I56" s="128">
        <v>20</v>
      </c>
      <c r="J56" s="128"/>
      <c r="K56" s="128">
        <f t="shared" si="17"/>
        <v>0</v>
      </c>
      <c r="L56" s="128">
        <f t="shared" si="12"/>
        <v>0</v>
      </c>
      <c r="M56" s="128"/>
      <c r="N56" s="462">
        <f t="shared" si="13"/>
        <v>0</v>
      </c>
      <c r="O56" s="395">
        <f t="shared" si="14"/>
        <v>0</v>
      </c>
    </row>
    <row r="57" spans="2:15" ht="13.5" thickBot="1">
      <c r="B57" s="259">
        <v>22</v>
      </c>
      <c r="C57" s="493"/>
      <c r="D57" s="494"/>
      <c r="E57" s="489"/>
      <c r="F57" s="476">
        <v>0</v>
      </c>
      <c r="G57" s="389">
        <v>0</v>
      </c>
      <c r="H57" s="476">
        <f t="shared" si="15"/>
        <v>0</v>
      </c>
      <c r="I57" s="121">
        <v>20</v>
      </c>
      <c r="J57" s="128"/>
      <c r="K57" s="128">
        <f t="shared" si="17"/>
        <v>0</v>
      </c>
      <c r="L57" s="128">
        <f t="shared" ref="L57" si="18">K57*I57/100+F57*I57/100/12*0</f>
        <v>0</v>
      </c>
      <c r="M57" s="128"/>
      <c r="N57" s="462">
        <f t="shared" si="13"/>
        <v>0</v>
      </c>
      <c r="O57" s="395">
        <f t="shared" si="14"/>
        <v>0</v>
      </c>
    </row>
    <row r="58" spans="2:15" ht="13.5" thickBot="1">
      <c r="B58" s="674"/>
      <c r="C58" s="676" t="s">
        <v>507</v>
      </c>
      <c r="D58" s="677"/>
      <c r="E58" s="501">
        <f>SUM(E35:E57)</f>
        <v>8978145</v>
      </c>
      <c r="F58" s="501">
        <f>SUM(F35:F57)</f>
        <v>502900</v>
      </c>
      <c r="G58" s="501">
        <f>SUM(G35:G57)</f>
        <v>0</v>
      </c>
      <c r="H58" s="501">
        <f>SUM(H35:H57)</f>
        <v>9481045</v>
      </c>
      <c r="I58" s="501"/>
      <c r="J58" s="501">
        <f t="shared" ref="J58:O58" si="19">SUM(J35:J57)</f>
        <v>3292127.271666667</v>
      </c>
      <c r="K58" s="501">
        <f t="shared" si="19"/>
        <v>5686017.7283333335</v>
      </c>
      <c r="L58" s="501">
        <f t="shared" si="19"/>
        <v>207134.2572638889</v>
      </c>
      <c r="M58" s="501">
        <f t="shared" si="19"/>
        <v>0</v>
      </c>
      <c r="N58" s="501">
        <f>SUM(N35:N57)</f>
        <v>3499261.5289305551</v>
      </c>
      <c r="O58" s="480">
        <f t="shared" si="19"/>
        <v>5981783.471069444</v>
      </c>
    </row>
    <row r="59" spans="2:15" ht="13.5" thickBot="1">
      <c r="B59" s="502"/>
      <c r="C59" s="627" t="s">
        <v>760</v>
      </c>
      <c r="D59" s="503"/>
      <c r="E59" s="504"/>
      <c r="F59" s="505"/>
      <c r="G59" s="506"/>
      <c r="H59" s="721">
        <f>E59+F59-G59</f>
        <v>0</v>
      </c>
      <c r="I59" s="507">
        <v>0</v>
      </c>
      <c r="J59" s="505"/>
      <c r="K59" s="505"/>
      <c r="L59" s="485">
        <f>K59*I59/100+F59*I59/100/12*0</f>
        <v>0</v>
      </c>
      <c r="M59" s="504"/>
      <c r="N59" s="504">
        <f>J59+L59-M59</f>
        <v>0</v>
      </c>
      <c r="O59" s="675">
        <f>K59-L59</f>
        <v>0</v>
      </c>
    </row>
    <row r="60" spans="2:15" ht="13.5" thickBot="1">
      <c r="B60" s="1580" t="s">
        <v>508</v>
      </c>
      <c r="C60" s="1581"/>
      <c r="D60" s="1582"/>
      <c r="E60" s="722">
        <f t="shared" ref="E60:O60" si="20">E9+E13+E30+E34+E58+E59</f>
        <v>74683072</v>
      </c>
      <c r="F60" s="722">
        <f t="shared" si="20"/>
        <v>1154800</v>
      </c>
      <c r="G60" s="722">
        <f t="shared" si="20"/>
        <v>0</v>
      </c>
      <c r="H60" s="722">
        <f t="shared" si="20"/>
        <v>75837872</v>
      </c>
      <c r="I60" s="722">
        <f t="shared" si="20"/>
        <v>0</v>
      </c>
      <c r="J60" s="722">
        <f t="shared" si="20"/>
        <v>15375872.231666666</v>
      </c>
      <c r="K60" s="722">
        <f t="shared" si="20"/>
        <v>59307199.768333331</v>
      </c>
      <c r="L60" s="722">
        <f t="shared" si="20"/>
        <v>758152.00693055568</v>
      </c>
      <c r="M60" s="722">
        <f t="shared" si="20"/>
        <v>0</v>
      </c>
      <c r="N60" s="722">
        <f>N9+N13+N30+N34+N58+N59</f>
        <v>16134024.238597222</v>
      </c>
      <c r="O60" s="722">
        <f t="shared" si="20"/>
        <v>59703847.761402786</v>
      </c>
    </row>
    <row r="61" spans="2:15">
      <c r="B61" s="1"/>
      <c r="C61" s="1"/>
      <c r="D61" s="1"/>
      <c r="E61" s="86"/>
      <c r="F61" s="1320"/>
      <c r="G61" s="86"/>
      <c r="H61" s="86"/>
      <c r="I61" s="86"/>
      <c r="J61" s="86"/>
      <c r="K61" s="1319"/>
      <c r="L61" s="86"/>
      <c r="M61" s="86"/>
      <c r="N61" s="86"/>
      <c r="O61" s="79"/>
    </row>
    <row r="62" spans="2:15">
      <c r="F62" s="79">
        <f>+F60-T27</f>
        <v>0</v>
      </c>
    </row>
    <row r="63" spans="2:15">
      <c r="C63" s="735"/>
      <c r="D63" s="735"/>
      <c r="E63" s="735"/>
      <c r="F63" s="736"/>
      <c r="G63" s="736"/>
      <c r="H63" s="736"/>
    </row>
    <row r="64" spans="2:15">
      <c r="B64" s="735"/>
      <c r="C64" s="735"/>
      <c r="D64" s="735"/>
      <c r="E64" s="736"/>
      <c r="F64" s="736"/>
      <c r="H64" s="736"/>
    </row>
    <row r="65" spans="2:8">
      <c r="B65" s="735" t="str">
        <f>+B2</f>
        <v xml:space="preserve">Tatimpaguesi        </v>
      </c>
      <c r="C65" s="735"/>
      <c r="D65" s="735" t="str">
        <f t="shared" ref="D65" si="21">+D2</f>
        <v>Eskeld</v>
      </c>
      <c r="E65" s="735"/>
      <c r="F65" s="735"/>
      <c r="H65" s="736"/>
    </row>
    <row r="66" spans="2:8">
      <c r="B66" s="735" t="str">
        <f t="shared" ref="B66:D67" si="22">+B3</f>
        <v xml:space="preserve">Nipt          </v>
      </c>
      <c r="C66" s="735"/>
      <c r="D66" s="735" t="str">
        <f t="shared" si="22"/>
        <v>K86607207N</v>
      </c>
      <c r="E66" s="735"/>
      <c r="F66" s="735"/>
      <c r="H66" s="736"/>
    </row>
    <row r="67" spans="2:8">
      <c r="B67" s="735" t="str">
        <f t="shared" si="22"/>
        <v xml:space="preserve">Aktiviteti             </v>
      </c>
      <c r="C67" s="735"/>
      <c r="D67" s="735" t="str">
        <f t="shared" si="22"/>
        <v>Shkolle jo publike</v>
      </c>
      <c r="E67" s="735"/>
      <c r="F67" s="735"/>
      <c r="H67" s="736"/>
    </row>
    <row r="68" spans="2:8" ht="15.75">
      <c r="B68" s="751" t="s">
        <v>839</v>
      </c>
      <c r="C68" s="752"/>
      <c r="D68" s="752"/>
      <c r="E68" s="752"/>
      <c r="F68" s="752"/>
      <c r="H68" s="736"/>
    </row>
    <row r="69" spans="2:8" ht="13.5" thickBot="1">
      <c r="B69" s="737"/>
      <c r="C69" s="735"/>
      <c r="D69" s="735"/>
      <c r="E69" s="735"/>
      <c r="F69" s="735"/>
      <c r="H69" s="736"/>
    </row>
    <row r="70" spans="2:8" ht="13.5" thickBot="1">
      <c r="B70" s="738" t="s">
        <v>834</v>
      </c>
      <c r="C70" s="739" t="s">
        <v>835</v>
      </c>
      <c r="D70" s="739" t="s">
        <v>836</v>
      </c>
      <c r="E70" s="739" t="s">
        <v>837</v>
      </c>
      <c r="F70" s="739" t="s">
        <v>838</v>
      </c>
      <c r="H70" s="736"/>
    </row>
    <row r="71" spans="2:8">
      <c r="B71" s="740">
        <v>1</v>
      </c>
      <c r="C71" s="741"/>
      <c r="D71" s="742"/>
      <c r="E71" s="742"/>
      <c r="F71" s="743"/>
      <c r="H71" s="736"/>
    </row>
    <row r="72" spans="2:8">
      <c r="B72" s="744">
        <v>2</v>
      </c>
      <c r="C72" s="261"/>
      <c r="D72" s="299"/>
      <c r="E72" s="299"/>
      <c r="F72" s="125"/>
      <c r="H72" s="736"/>
    </row>
    <row r="73" spans="2:8">
      <c r="B73" s="744">
        <v>3</v>
      </c>
      <c r="C73" s="261"/>
      <c r="D73" s="299"/>
      <c r="E73" s="299"/>
      <c r="F73" s="125"/>
      <c r="H73" s="736"/>
    </row>
    <row r="74" spans="2:8">
      <c r="B74" s="744">
        <v>4</v>
      </c>
      <c r="C74" s="261"/>
      <c r="D74" s="299"/>
      <c r="E74" s="299"/>
      <c r="F74" s="125"/>
      <c r="H74" s="736"/>
    </row>
    <row r="75" spans="2:8">
      <c r="B75" s="744">
        <v>5</v>
      </c>
      <c r="C75" s="745"/>
      <c r="D75" s="299"/>
      <c r="E75" s="261"/>
      <c r="F75" s="125"/>
      <c r="H75" s="736"/>
    </row>
    <row r="76" spans="2:8">
      <c r="B76" s="744">
        <v>6</v>
      </c>
      <c r="C76" s="745"/>
      <c r="D76" s="299"/>
      <c r="E76" s="261"/>
      <c r="F76" s="125"/>
      <c r="H76" s="736"/>
    </row>
    <row r="77" spans="2:8">
      <c r="B77" s="744">
        <v>7</v>
      </c>
      <c r="C77" s="745"/>
      <c r="D77" s="299"/>
      <c r="E77" s="261"/>
      <c r="F77" s="125"/>
      <c r="H77" s="736"/>
    </row>
    <row r="78" spans="2:8">
      <c r="B78" s="744">
        <v>8</v>
      </c>
      <c r="C78" s="745"/>
      <c r="D78" s="299"/>
      <c r="E78" s="261"/>
      <c r="F78" s="125"/>
      <c r="H78" s="736"/>
    </row>
    <row r="79" spans="2:8">
      <c r="B79" s="744">
        <v>9</v>
      </c>
      <c r="C79" s="745"/>
      <c r="D79" s="299"/>
      <c r="E79" s="261"/>
      <c r="F79" s="125"/>
      <c r="H79" s="736"/>
    </row>
    <row r="80" spans="2:8">
      <c r="B80" s="744">
        <v>10</v>
      </c>
      <c r="C80" s="261"/>
      <c r="D80" s="299"/>
      <c r="E80" s="261"/>
      <c r="F80" s="125"/>
      <c r="H80" s="736"/>
    </row>
    <row r="81" spans="2:8">
      <c r="B81" s="744">
        <v>11</v>
      </c>
      <c r="C81" s="261"/>
      <c r="D81" s="299"/>
      <c r="E81" s="261"/>
      <c r="F81" s="125"/>
      <c r="H81" s="736"/>
    </row>
    <row r="82" spans="2:8">
      <c r="B82" s="744">
        <v>12</v>
      </c>
      <c r="C82" s="261"/>
      <c r="D82" s="299"/>
      <c r="E82" s="261"/>
      <c r="F82" s="125"/>
      <c r="H82" s="736"/>
    </row>
    <row r="83" spans="2:8">
      <c r="B83" s="744">
        <v>13</v>
      </c>
      <c r="C83" s="261"/>
      <c r="D83" s="299"/>
      <c r="E83" s="261"/>
      <c r="F83" s="125"/>
      <c r="H83" s="736"/>
    </row>
    <row r="84" spans="2:8">
      <c r="B84" s="744">
        <v>14</v>
      </c>
      <c r="C84" s="261"/>
      <c r="D84" s="299"/>
      <c r="E84" s="261"/>
      <c r="F84" s="125"/>
      <c r="H84" s="736"/>
    </row>
    <row r="85" spans="2:8">
      <c r="B85" s="744">
        <v>15</v>
      </c>
      <c r="C85" s="261"/>
      <c r="D85" s="261"/>
      <c r="E85" s="261"/>
      <c r="F85" s="125"/>
      <c r="H85" s="736"/>
    </row>
    <row r="86" spans="2:8">
      <c r="B86" s="744">
        <v>16</v>
      </c>
      <c r="C86" s="261"/>
      <c r="D86" s="261"/>
      <c r="E86" s="261"/>
      <c r="F86" s="125"/>
      <c r="H86" s="736"/>
    </row>
    <row r="87" spans="2:8">
      <c r="B87" s="744">
        <v>17</v>
      </c>
      <c r="C87" s="261"/>
      <c r="D87" s="261"/>
      <c r="E87" s="261"/>
      <c r="F87" s="125"/>
      <c r="H87" s="736"/>
    </row>
    <row r="88" spans="2:8">
      <c r="B88" s="744">
        <v>18</v>
      </c>
      <c r="C88" s="261"/>
      <c r="D88" s="261"/>
      <c r="E88" s="261"/>
      <c r="F88" s="125"/>
      <c r="H88" s="736"/>
    </row>
    <row r="89" spans="2:8">
      <c r="B89" s="744">
        <v>19</v>
      </c>
      <c r="C89" s="261"/>
      <c r="D89" s="261"/>
      <c r="E89" s="261"/>
      <c r="F89" s="125"/>
      <c r="H89" s="736"/>
    </row>
    <row r="90" spans="2:8" ht="13.5" thickBot="1">
      <c r="B90" s="746">
        <v>20</v>
      </c>
      <c r="C90" s="747"/>
      <c r="D90" s="747"/>
      <c r="E90" s="747"/>
      <c r="F90" s="748"/>
      <c r="H90" s="736"/>
    </row>
    <row r="91" spans="2:8" ht="13.5" thickBot="1">
      <c r="B91" s="1574" t="s">
        <v>380</v>
      </c>
      <c r="C91" s="1575"/>
      <c r="D91" s="749"/>
      <c r="E91" s="749"/>
      <c r="F91" s="750">
        <f>SUM(F71:F90)</f>
        <v>0</v>
      </c>
      <c r="H91" s="736"/>
    </row>
    <row r="92" spans="2:8">
      <c r="B92" s="735"/>
      <c r="C92" s="735"/>
      <c r="D92" s="735"/>
      <c r="E92" s="736"/>
      <c r="F92" s="736"/>
      <c r="H92" s="736"/>
    </row>
    <row r="93" spans="2:8">
      <c r="C93" s="735"/>
      <c r="D93" s="735"/>
      <c r="E93" s="735"/>
      <c r="F93" s="736"/>
      <c r="G93" s="736"/>
      <c r="H93" s="736"/>
    </row>
    <row r="94" spans="2:8">
      <c r="C94" s="735"/>
      <c r="D94" s="735"/>
      <c r="E94" s="735"/>
      <c r="F94" s="736"/>
      <c r="G94" s="736"/>
      <c r="H94" s="736"/>
    </row>
    <row r="95" spans="2:8">
      <c r="C95" s="735"/>
      <c r="D95" s="735"/>
      <c r="E95" s="735"/>
      <c r="F95" s="736"/>
      <c r="G95" s="736"/>
      <c r="H95" s="736"/>
    </row>
    <row r="96" spans="2:8">
      <c r="C96" s="735"/>
      <c r="D96" s="735"/>
      <c r="E96" s="735"/>
      <c r="F96" s="736"/>
      <c r="G96" s="736"/>
      <c r="H96" s="736"/>
    </row>
    <row r="97" spans="3:8">
      <c r="C97" s="735"/>
      <c r="D97" s="735"/>
      <c r="E97" s="735"/>
      <c r="F97" s="736"/>
      <c r="G97" s="736"/>
      <c r="H97" s="736"/>
    </row>
    <row r="98" spans="3:8">
      <c r="C98" s="735"/>
      <c r="D98" s="735"/>
      <c r="E98" s="735"/>
      <c r="F98" s="736"/>
      <c r="G98" s="736"/>
      <c r="H98" s="736"/>
    </row>
    <row r="99" spans="3:8">
      <c r="C99" s="735"/>
      <c r="D99" s="735"/>
      <c r="E99" s="735"/>
      <c r="F99" s="736"/>
      <c r="G99" s="736"/>
      <c r="H99" s="736"/>
    </row>
    <row r="100" spans="3:8">
      <c r="C100" s="735"/>
      <c r="D100" s="735"/>
      <c r="E100" s="735"/>
      <c r="F100" s="736"/>
      <c r="G100" s="736"/>
      <c r="H100" s="736"/>
    </row>
    <row r="101" spans="3:8">
      <c r="C101" s="735"/>
      <c r="D101" s="735"/>
      <c r="E101" s="735"/>
      <c r="F101" s="736"/>
      <c r="G101" s="736"/>
      <c r="H101" s="736"/>
    </row>
    <row r="102" spans="3:8">
      <c r="C102" s="735"/>
      <c r="D102" s="735"/>
      <c r="E102" s="735"/>
      <c r="F102" s="736"/>
      <c r="G102" s="736"/>
      <c r="H102" s="736"/>
    </row>
    <row r="103" spans="3:8">
      <c r="C103" s="735"/>
      <c r="D103" s="735"/>
      <c r="E103" s="735"/>
      <c r="F103" s="736"/>
      <c r="G103" s="736"/>
      <c r="H103" s="736"/>
    </row>
    <row r="104" spans="3:8">
      <c r="C104" s="735"/>
      <c r="D104" s="735"/>
      <c r="E104" s="735"/>
      <c r="F104" s="736"/>
      <c r="G104" s="736"/>
      <c r="H104" s="736"/>
    </row>
    <row r="105" spans="3:8">
      <c r="C105" s="735"/>
      <c r="D105" s="735"/>
      <c r="E105" s="735"/>
      <c r="F105" s="736"/>
      <c r="G105" s="736"/>
      <c r="H105" s="736"/>
    </row>
    <row r="106" spans="3:8">
      <c r="C106" s="735"/>
      <c r="D106" s="735"/>
      <c r="E106" s="735"/>
      <c r="F106" s="736"/>
      <c r="G106" s="736"/>
      <c r="H106" s="736"/>
    </row>
    <row r="107" spans="3:8">
      <c r="C107" s="735"/>
      <c r="D107" s="735"/>
      <c r="E107" s="735"/>
      <c r="F107" s="736"/>
      <c r="G107" s="736"/>
      <c r="H107" s="736"/>
    </row>
    <row r="108" spans="3:8">
      <c r="C108" s="735"/>
      <c r="D108" s="735"/>
      <c r="E108" s="735"/>
      <c r="F108" s="736"/>
      <c r="G108" s="736"/>
      <c r="H108" s="736"/>
    </row>
    <row r="109" spans="3:8">
      <c r="C109" s="735"/>
      <c r="D109" s="735"/>
      <c r="E109" s="735"/>
      <c r="F109" s="736"/>
      <c r="G109" s="736"/>
      <c r="H109" s="736"/>
    </row>
    <row r="110" spans="3:8">
      <c r="C110" s="735"/>
      <c r="D110" s="735"/>
      <c r="E110" s="735"/>
      <c r="F110" s="736"/>
      <c r="G110" s="736"/>
      <c r="H110" s="736"/>
    </row>
    <row r="111" spans="3:8">
      <c r="C111" s="735"/>
      <c r="D111" s="735"/>
      <c r="E111" s="735"/>
      <c r="F111" s="736"/>
      <c r="G111" s="736"/>
      <c r="H111" s="736"/>
    </row>
    <row r="112" spans="3:8">
      <c r="C112" s="735"/>
      <c r="D112" s="735"/>
      <c r="E112" s="735"/>
      <c r="F112" s="736"/>
      <c r="G112" s="736"/>
      <c r="H112" s="736"/>
    </row>
    <row r="113" spans="3:8">
      <c r="C113" s="735"/>
      <c r="D113" s="735"/>
      <c r="E113" s="735"/>
      <c r="F113" s="736"/>
      <c r="G113" s="736"/>
      <c r="H113" s="736"/>
    </row>
    <row r="114" spans="3:8">
      <c r="C114" s="735"/>
      <c r="D114" s="735"/>
      <c r="E114" s="735"/>
      <c r="F114" s="736"/>
      <c r="G114" s="736"/>
      <c r="H114" s="736"/>
    </row>
  </sheetData>
  <sortState ref="X29:Y43">
    <sortCondition ref="X29"/>
  </sortState>
  <mergeCells count="15">
    <mergeCell ref="B91:C91"/>
    <mergeCell ref="D5:D6"/>
    <mergeCell ref="O5:O6"/>
    <mergeCell ref="B60:D60"/>
    <mergeCell ref="J5:J6"/>
    <mergeCell ref="K5:K6"/>
    <mergeCell ref="L5:L6"/>
    <mergeCell ref="M5:M6"/>
    <mergeCell ref="N5:N6"/>
    <mergeCell ref="I5:I6"/>
    <mergeCell ref="Q11:Q12"/>
    <mergeCell ref="Q27:S27"/>
    <mergeCell ref="T6:W6"/>
    <mergeCell ref="E5:E6"/>
    <mergeCell ref="F5:H5"/>
  </mergeCells>
  <phoneticPr fontId="4" type="noConversion"/>
  <printOptions horizont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5"/>
  <sheetViews>
    <sheetView workbookViewId="0">
      <selection activeCell="E14" sqref="E14:E23"/>
    </sheetView>
  </sheetViews>
  <sheetFormatPr defaultRowHeight="12.75"/>
  <cols>
    <col min="1" max="2" width="4.140625" customWidth="1"/>
    <col min="3" max="3" width="44.7109375" customWidth="1"/>
    <col min="4" max="4" width="9.42578125" customWidth="1"/>
    <col min="5" max="5" width="14.85546875" style="79" customWidth="1"/>
    <col min="6" max="6" width="15.140625" style="79" customWidth="1"/>
  </cols>
  <sheetData>
    <row r="1" spans="1:6" ht="14.25">
      <c r="A1" s="10"/>
      <c r="B1" s="10"/>
      <c r="C1" s="10"/>
      <c r="D1" s="10"/>
      <c r="E1" s="82" t="str">
        <f>'Kopertina '!F4</f>
        <v>Eskeld</v>
      </c>
      <c r="F1" s="82"/>
    </row>
    <row r="2" spans="1:6" ht="15.75">
      <c r="A2" s="10"/>
      <c r="B2" s="1331" t="s">
        <v>0</v>
      </c>
      <c r="C2" s="1331"/>
      <c r="D2" s="1331"/>
      <c r="E2" s="1331"/>
      <c r="F2" s="83">
        <f>'Kopertina '!F29</f>
        <v>2012</v>
      </c>
    </row>
    <row r="3" spans="1:6" ht="15" thickBot="1">
      <c r="A3" s="10"/>
      <c r="B3" s="10"/>
      <c r="C3" s="10"/>
      <c r="D3" s="10"/>
      <c r="E3" s="82"/>
      <c r="F3" s="82"/>
    </row>
    <row r="4" spans="1:6" ht="15" customHeight="1">
      <c r="A4" s="10"/>
      <c r="B4" s="1336" t="s">
        <v>1</v>
      </c>
      <c r="C4" s="1336" t="s">
        <v>269</v>
      </c>
      <c r="D4" s="1336" t="s">
        <v>3</v>
      </c>
      <c r="E4" s="1334" t="s">
        <v>703</v>
      </c>
      <c r="F4" s="1334" t="s">
        <v>723</v>
      </c>
    </row>
    <row r="5" spans="1:6" ht="15.75" customHeight="1" thickBot="1">
      <c r="A5" s="10"/>
      <c r="B5" s="1340"/>
      <c r="C5" s="1340"/>
      <c r="D5" s="1340"/>
      <c r="E5" s="1339"/>
      <c r="F5" s="1339"/>
    </row>
    <row r="6" spans="1:6" ht="19.5" customHeight="1">
      <c r="A6" s="10"/>
      <c r="B6" s="311" t="s">
        <v>4</v>
      </c>
      <c r="C6" s="312" t="s">
        <v>270</v>
      </c>
      <c r="D6" s="313"/>
      <c r="E6" s="304">
        <f>E7+E8+E12+E24+E25</f>
        <v>79324505.294</v>
      </c>
      <c r="F6" s="678">
        <f>F7+F8+F12+F24+F25</f>
        <v>70462593.899999991</v>
      </c>
    </row>
    <row r="7" spans="1:6" ht="15">
      <c r="A7" s="10"/>
      <c r="B7" s="314"/>
      <c r="C7" s="640" t="s">
        <v>271</v>
      </c>
      <c r="D7" s="644" t="s">
        <v>458</v>
      </c>
      <c r="E7" s="632"/>
      <c r="F7" s="635"/>
    </row>
    <row r="8" spans="1:6" ht="15">
      <c r="A8" s="10"/>
      <c r="B8" s="314"/>
      <c r="C8" s="636" t="s">
        <v>30</v>
      </c>
      <c r="D8" s="644"/>
      <c r="E8" s="632">
        <f>E9+E10+E11</f>
        <v>0</v>
      </c>
      <c r="F8" s="635">
        <f>F9+F10+F11</f>
        <v>0</v>
      </c>
    </row>
    <row r="9" spans="1:6" ht="15">
      <c r="A9" s="10"/>
      <c r="B9" s="314"/>
      <c r="C9" s="305" t="s">
        <v>272</v>
      </c>
      <c r="D9" s="318" t="s">
        <v>686</v>
      </c>
      <c r="E9" s="305">
        <f>+'L  1'!G14</f>
        <v>0</v>
      </c>
      <c r="F9" s="306"/>
    </row>
    <row r="10" spans="1:6" ht="14.25">
      <c r="A10" s="10"/>
      <c r="B10" s="314"/>
      <c r="C10" s="316" t="s">
        <v>273</v>
      </c>
      <c r="D10" s="315" t="s">
        <v>458</v>
      </c>
      <c r="E10" s="305"/>
      <c r="F10" s="306"/>
    </row>
    <row r="11" spans="1:6" ht="14.25">
      <c r="A11" s="10"/>
      <c r="B11" s="314"/>
      <c r="C11" s="316" t="s">
        <v>274</v>
      </c>
      <c r="D11" s="315" t="s">
        <v>458</v>
      </c>
      <c r="E11" s="305"/>
      <c r="F11" s="306"/>
    </row>
    <row r="12" spans="1:6" ht="15">
      <c r="A12" s="10"/>
      <c r="B12" s="314"/>
      <c r="C12" s="636" t="s">
        <v>31</v>
      </c>
      <c r="D12" s="645"/>
      <c r="E12" s="636">
        <f>E13+E14+E15+E16+E17+E18+E19+E20+E21+E22+E23</f>
        <v>79324505.294</v>
      </c>
      <c r="F12" s="637">
        <f>F13+F14+F15+F16+F17+F18+F19+F20+F21+F22</f>
        <v>70462593.899999991</v>
      </c>
    </row>
    <row r="13" spans="1:6" ht="15">
      <c r="A13" s="10"/>
      <c r="B13" s="314"/>
      <c r="C13" s="305" t="s">
        <v>32</v>
      </c>
      <c r="D13" s="1299" t="s">
        <v>129</v>
      </c>
      <c r="E13" s="1300">
        <f>+'M1'!I54</f>
        <v>2960307.91</v>
      </c>
      <c r="F13" s="306">
        <f>+'M1'!E54</f>
        <v>1697917</v>
      </c>
    </row>
    <row r="14" spans="1:6" ht="15">
      <c r="A14" s="10"/>
      <c r="B14" s="314"/>
      <c r="C14" s="305" t="s">
        <v>33</v>
      </c>
      <c r="D14" s="1299" t="s">
        <v>158</v>
      </c>
      <c r="E14" s="1300">
        <f>+F14+T!L27-T!M27</f>
        <v>573184.24399999902</v>
      </c>
      <c r="F14" s="306">
        <v>432030.3</v>
      </c>
    </row>
    <row r="15" spans="1:6" ht="15">
      <c r="A15" s="10"/>
      <c r="B15" s="314"/>
      <c r="C15" s="305" t="s">
        <v>34</v>
      </c>
      <c r="D15" s="1299" t="s">
        <v>158</v>
      </c>
      <c r="E15" s="1300">
        <f>+T!E24+T!I24</f>
        <v>177192.9</v>
      </c>
      <c r="F15" s="306">
        <v>145114.29999999999</v>
      </c>
    </row>
    <row r="16" spans="1:6" ht="15">
      <c r="A16" s="10"/>
      <c r="B16" s="314"/>
      <c r="C16" s="305" t="s">
        <v>35</v>
      </c>
      <c r="D16" s="1299" t="s">
        <v>158</v>
      </c>
      <c r="E16" s="1300">
        <f>+T!K24</f>
        <v>50510</v>
      </c>
      <c r="F16" s="306">
        <v>34012</v>
      </c>
    </row>
    <row r="17" spans="1:8" ht="15">
      <c r="A17" s="10"/>
      <c r="B17" s="314"/>
      <c r="C17" s="305" t="s">
        <v>36</v>
      </c>
      <c r="D17" s="318" t="s">
        <v>691</v>
      </c>
      <c r="E17" s="305">
        <f>+IF('C3'!F36&lt;0,0,'C3'!F36)</f>
        <v>0</v>
      </c>
      <c r="F17" s="306">
        <v>110099</v>
      </c>
    </row>
    <row r="18" spans="1:8" ht="14.25">
      <c r="A18" s="10"/>
      <c r="B18" s="314"/>
      <c r="C18" s="305" t="s">
        <v>37</v>
      </c>
      <c r="D18" s="1292" t="s">
        <v>130</v>
      </c>
      <c r="E18" s="305">
        <f>IF('P -Ardh Analiz '!V26=0,0,+'P -Ardh Analiz '!V26)</f>
        <v>0</v>
      </c>
      <c r="F18" s="306"/>
    </row>
    <row r="19" spans="1:8" ht="14.25">
      <c r="A19" s="10"/>
      <c r="B19" s="314"/>
      <c r="C19" s="305" t="s">
        <v>38</v>
      </c>
      <c r="D19" s="315" t="s">
        <v>458</v>
      </c>
      <c r="E19" s="305">
        <v>0</v>
      </c>
      <c r="F19" s="306"/>
    </row>
    <row r="20" spans="1:8" ht="14.25">
      <c r="A20" s="10"/>
      <c r="B20" s="314"/>
      <c r="C20" s="305" t="s">
        <v>275</v>
      </c>
      <c r="D20" s="1301" t="s">
        <v>458</v>
      </c>
      <c r="E20" s="1300">
        <f>+F20</f>
        <v>68043421.299999997</v>
      </c>
      <c r="F20" s="306">
        <v>68043421.299999997</v>
      </c>
    </row>
    <row r="21" spans="1:8" ht="14.25">
      <c r="A21" s="10"/>
      <c r="B21" s="314"/>
      <c r="C21" s="320" t="s">
        <v>39</v>
      </c>
      <c r="D21" s="1301" t="s">
        <v>458</v>
      </c>
      <c r="E21" s="1300"/>
      <c r="F21" s="306"/>
    </row>
    <row r="22" spans="1:8" ht="14.25">
      <c r="A22" s="10"/>
      <c r="B22" s="314"/>
      <c r="C22" s="305" t="s">
        <v>276</v>
      </c>
      <c r="D22" s="1301" t="s">
        <v>458</v>
      </c>
      <c r="E22" s="1300">
        <v>0</v>
      </c>
      <c r="F22" s="306">
        <v>0</v>
      </c>
    </row>
    <row r="23" spans="1:8" ht="15">
      <c r="A23" s="10"/>
      <c r="B23" s="314"/>
      <c r="C23" s="305" t="s">
        <v>1264</v>
      </c>
      <c r="D23" s="1302" t="s">
        <v>650</v>
      </c>
      <c r="E23" s="1300">
        <f>+'L  2'!G27</f>
        <v>7519888.9399999995</v>
      </c>
      <c r="F23" s="306"/>
    </row>
    <row r="24" spans="1:8" ht="15">
      <c r="A24" s="10"/>
      <c r="B24" s="314"/>
      <c r="C24" s="640" t="s">
        <v>40</v>
      </c>
      <c r="D24" s="644" t="s">
        <v>458</v>
      </c>
      <c r="E24" s="640"/>
      <c r="F24" s="635"/>
    </row>
    <row r="25" spans="1:8" ht="15">
      <c r="A25" s="10"/>
      <c r="B25" s="314"/>
      <c r="C25" s="640" t="s">
        <v>126</v>
      </c>
      <c r="D25" s="644" t="s">
        <v>458</v>
      </c>
      <c r="E25" s="640"/>
      <c r="F25" s="635"/>
    </row>
    <row r="26" spans="1:8" ht="15">
      <c r="A26" s="10"/>
      <c r="B26" s="314"/>
      <c r="C26" s="305"/>
      <c r="D26" s="317"/>
      <c r="E26" s="305"/>
      <c r="F26" s="306"/>
    </row>
    <row r="27" spans="1:8" ht="15">
      <c r="A27" s="10"/>
      <c r="B27" s="321" t="s">
        <v>20</v>
      </c>
      <c r="C27" s="307" t="s">
        <v>277</v>
      </c>
      <c r="D27" s="1303"/>
      <c r="E27" s="307">
        <f>E28+E31+E32+E33+E34</f>
        <v>0</v>
      </c>
      <c r="F27" s="308">
        <f>F28+F31+F32+F33+F34</f>
        <v>0</v>
      </c>
    </row>
    <row r="28" spans="1:8" ht="15">
      <c r="A28" s="10"/>
      <c r="B28" s="322"/>
      <c r="C28" s="640" t="s">
        <v>41</v>
      </c>
      <c r="D28" s="644" t="s">
        <v>458</v>
      </c>
      <c r="E28" s="632">
        <f>E29+E30</f>
        <v>0</v>
      </c>
      <c r="F28" s="635">
        <f>F29+F30</f>
        <v>0</v>
      </c>
    </row>
    <row r="29" spans="1:8" ht="15">
      <c r="A29" s="10"/>
      <c r="B29" s="322"/>
      <c r="C29" s="305" t="s">
        <v>42</v>
      </c>
      <c r="D29" s="318" t="s">
        <v>650</v>
      </c>
      <c r="E29" s="305"/>
      <c r="F29" s="306"/>
      <c r="H29" s="79"/>
    </row>
    <row r="30" spans="1:8" ht="15">
      <c r="A30" s="10"/>
      <c r="B30" s="322"/>
      <c r="C30" s="305" t="s">
        <v>43</v>
      </c>
      <c r="D30" s="315"/>
      <c r="E30" s="305"/>
      <c r="F30" s="306"/>
    </row>
    <row r="31" spans="1:8" ht="15">
      <c r="A31" s="10"/>
      <c r="B31" s="322"/>
      <c r="C31" s="640" t="s">
        <v>44</v>
      </c>
      <c r="D31" s="641" t="s">
        <v>762</v>
      </c>
      <c r="E31" s="640"/>
      <c r="F31" s="642"/>
    </row>
    <row r="32" spans="1:8" ht="15">
      <c r="A32" s="10"/>
      <c r="B32" s="322"/>
      <c r="C32" s="640" t="s">
        <v>278</v>
      </c>
      <c r="D32" s="643" t="s">
        <v>458</v>
      </c>
      <c r="E32" s="640"/>
      <c r="F32" s="642"/>
    </row>
    <row r="33" spans="1:6" ht="15">
      <c r="A33" s="10"/>
      <c r="B33" s="322"/>
      <c r="C33" s="640" t="s">
        <v>40</v>
      </c>
      <c r="D33" s="643" t="s">
        <v>458</v>
      </c>
      <c r="E33" s="640"/>
      <c r="F33" s="642"/>
    </row>
    <row r="34" spans="1:6" ht="15">
      <c r="A34" s="10"/>
      <c r="B34" s="322"/>
      <c r="C34" s="305"/>
      <c r="D34" s="317"/>
      <c r="E34" s="305"/>
      <c r="F34" s="306"/>
    </row>
    <row r="35" spans="1:6" ht="15">
      <c r="A35" s="10"/>
      <c r="B35" s="322"/>
      <c r="C35" s="305"/>
      <c r="D35" s="317"/>
      <c r="E35" s="305"/>
      <c r="F35" s="306"/>
    </row>
    <row r="36" spans="1:6" ht="21" customHeight="1">
      <c r="A36" s="10"/>
      <c r="B36" s="323"/>
      <c r="C36" s="324" t="s">
        <v>279</v>
      </c>
      <c r="D36" s="1303"/>
      <c r="E36" s="307">
        <f>E6+E27</f>
        <v>79324505.294</v>
      </c>
      <c r="F36" s="308">
        <f>F6+F27</f>
        <v>70462593.899999991</v>
      </c>
    </row>
    <row r="37" spans="1:6" ht="15">
      <c r="A37" s="10"/>
      <c r="B37" s="322"/>
      <c r="C37" s="325"/>
      <c r="D37" s="326"/>
      <c r="E37" s="319"/>
      <c r="F37" s="327"/>
    </row>
    <row r="38" spans="1:6" ht="19.5" customHeight="1">
      <c r="A38" s="10"/>
      <c r="B38" s="321" t="s">
        <v>45</v>
      </c>
      <c r="C38" s="328" t="s">
        <v>46</v>
      </c>
      <c r="D38" s="1303"/>
      <c r="E38" s="307">
        <f>E39+E40+E41+E42+E43+E44+E45+E46+E47+E48+E49+E50</f>
        <v>8854589.2538624983</v>
      </c>
      <c r="F38" s="308">
        <f>F39+F40+F41+F42+F43+F44+F45+F46+F47+F48+F49+F50</f>
        <v>7368941</v>
      </c>
    </row>
    <row r="39" spans="1:6" ht="14.25">
      <c r="A39" s="10"/>
      <c r="B39" s="314"/>
      <c r="C39" s="305" t="s">
        <v>47</v>
      </c>
      <c r="D39" s="315" t="s">
        <v>764</v>
      </c>
      <c r="E39" s="305">
        <f>'Pasq e ndrysh te kap 2'!E18</f>
        <v>100000</v>
      </c>
      <c r="F39" s="306">
        <v>100000</v>
      </c>
    </row>
    <row r="40" spans="1:6" ht="14.25">
      <c r="A40" s="10"/>
      <c r="B40" s="314"/>
      <c r="C40" s="305" t="s">
        <v>48</v>
      </c>
      <c r="D40" s="315" t="s">
        <v>764</v>
      </c>
      <c r="E40" s="305"/>
      <c r="F40" s="306"/>
    </row>
    <row r="41" spans="1:6" ht="14.25">
      <c r="A41" s="10"/>
      <c r="B41" s="314"/>
      <c r="C41" s="305" t="s">
        <v>49</v>
      </c>
      <c r="D41" s="315" t="s">
        <v>764</v>
      </c>
      <c r="E41" s="305"/>
      <c r="F41" s="306"/>
    </row>
    <row r="42" spans="1:6" ht="14.25">
      <c r="A42" s="10"/>
      <c r="B42" s="314"/>
      <c r="C42" s="305" t="s">
        <v>50</v>
      </c>
      <c r="D42" s="315" t="s">
        <v>764</v>
      </c>
      <c r="E42" s="305"/>
      <c r="F42" s="306"/>
    </row>
    <row r="43" spans="1:6" ht="14.25">
      <c r="A43" s="10"/>
      <c r="B43" s="314"/>
      <c r="C43" s="305" t="s">
        <v>51</v>
      </c>
      <c r="D43" s="315" t="s">
        <v>764</v>
      </c>
      <c r="E43" s="305"/>
      <c r="F43" s="306"/>
    </row>
    <row r="44" spans="1:6" ht="14.25">
      <c r="A44" s="10"/>
      <c r="B44" s="314"/>
      <c r="C44" s="320" t="s">
        <v>337</v>
      </c>
      <c r="D44" s="315" t="s">
        <v>764</v>
      </c>
      <c r="E44" s="305"/>
      <c r="F44" s="306"/>
    </row>
    <row r="45" spans="1:6" ht="14.25">
      <c r="A45" s="10"/>
      <c r="B45" s="314"/>
      <c r="C45" s="320" t="s">
        <v>52</v>
      </c>
      <c r="D45" s="315" t="s">
        <v>764</v>
      </c>
      <c r="E45" s="305">
        <f>'Pasq e ndrysh te kap 2'!H18</f>
        <v>0</v>
      </c>
      <c r="F45" s="306">
        <v>0</v>
      </c>
    </row>
    <row r="46" spans="1:6" ht="14.25">
      <c r="A46" s="10"/>
      <c r="B46" s="314"/>
      <c r="C46" s="305" t="s">
        <v>694</v>
      </c>
      <c r="D46" s="315" t="s">
        <v>764</v>
      </c>
      <c r="E46" s="305"/>
      <c r="F46" s="306"/>
    </row>
    <row r="47" spans="1:6" ht="14.25">
      <c r="A47" s="10"/>
      <c r="B47" s="314"/>
      <c r="C47" s="320" t="s">
        <v>53</v>
      </c>
      <c r="D47" s="315" t="s">
        <v>764</v>
      </c>
      <c r="E47" s="305">
        <f>'Pasq e ndrysh te kap 2'!I13-'Pasq e ndrysh te kap 2'!I15</f>
        <v>7268941</v>
      </c>
      <c r="F47" s="306">
        <v>3938052</v>
      </c>
    </row>
    <row r="48" spans="1:6" ht="14.25">
      <c r="A48" s="10"/>
      <c r="B48" s="314"/>
      <c r="C48" s="305" t="s">
        <v>54</v>
      </c>
      <c r="D48" s="315" t="s">
        <v>765</v>
      </c>
      <c r="E48" s="305">
        <f>'Ardh e shp - natyres'!E39</f>
        <v>1485648.2538624986</v>
      </c>
      <c r="F48" s="306">
        <v>3330889</v>
      </c>
    </row>
    <row r="49" spans="1:6" ht="14.25">
      <c r="A49" s="10"/>
      <c r="B49" s="314"/>
      <c r="C49" s="305" t="s">
        <v>282</v>
      </c>
      <c r="D49" s="315" t="s">
        <v>458</v>
      </c>
      <c r="E49" s="305"/>
      <c r="F49" s="306"/>
    </row>
    <row r="50" spans="1:6" ht="15">
      <c r="A50" s="10"/>
      <c r="B50" s="314"/>
      <c r="C50" s="305"/>
      <c r="D50" s="317"/>
      <c r="E50" s="305"/>
      <c r="F50" s="306"/>
    </row>
    <row r="51" spans="1:6" ht="15">
      <c r="A51" s="10"/>
      <c r="B51" s="314"/>
      <c r="C51" s="305"/>
      <c r="D51" s="317"/>
      <c r="E51" s="305"/>
      <c r="F51" s="306"/>
    </row>
    <row r="52" spans="1:6" ht="22.5" customHeight="1">
      <c r="A52" s="10"/>
      <c r="B52" s="329"/>
      <c r="C52" s="1338" t="s">
        <v>280</v>
      </c>
      <c r="D52" s="1338"/>
      <c r="E52" s="307">
        <f>E36+E38</f>
        <v>88179094.5478625</v>
      </c>
      <c r="F52" s="308">
        <f>F36+F38</f>
        <v>77831534.899999991</v>
      </c>
    </row>
    <row r="53" spans="1:6" ht="15.75" thickBot="1">
      <c r="A53" s="10"/>
      <c r="B53" s="330"/>
      <c r="C53" s="309"/>
      <c r="D53" s="331"/>
      <c r="E53" s="309"/>
      <c r="F53" s="310"/>
    </row>
    <row r="55" spans="1:6">
      <c r="E55" s="79">
        <f>'AKTIVI '!E53-'PASIVI '!E52</f>
        <v>-0.33856666088104248</v>
      </c>
      <c r="F55" s="79">
        <f>'AKTIVI '!F53-'PASIVI '!F52</f>
        <v>-0.13166666030883789</v>
      </c>
    </row>
  </sheetData>
  <mergeCells count="7">
    <mergeCell ref="B2:E2"/>
    <mergeCell ref="C52:D52"/>
    <mergeCell ref="E4:E5"/>
    <mergeCell ref="F4:F5"/>
    <mergeCell ref="C4:C5"/>
    <mergeCell ref="B4:B5"/>
    <mergeCell ref="D4:D5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7030A0"/>
  </sheetPr>
  <dimension ref="B1:K43"/>
  <sheetViews>
    <sheetView topLeftCell="A13" workbookViewId="0">
      <selection activeCell="I41" sqref="I41"/>
    </sheetView>
  </sheetViews>
  <sheetFormatPr defaultRowHeight="12.75"/>
  <cols>
    <col min="1" max="2" width="3.85546875" customWidth="1"/>
    <col min="3" max="3" width="33.42578125" customWidth="1"/>
    <col min="4" max="4" width="14" customWidth="1"/>
    <col min="5" max="5" width="13.140625" customWidth="1"/>
    <col min="6" max="6" width="15.42578125" customWidth="1"/>
    <col min="7" max="8" width="16.28515625" style="156" customWidth="1"/>
    <col min="9" max="9" width="22.140625" customWidth="1"/>
    <col min="10" max="10" width="7.85546875" customWidth="1"/>
  </cols>
  <sheetData>
    <row r="1" spans="2:11">
      <c r="B1" s="2"/>
      <c r="C1" s="2" t="str">
        <f>'Kopertina '!F4</f>
        <v>Eskeld</v>
      </c>
      <c r="D1" s="2"/>
      <c r="E1" s="2"/>
      <c r="F1" s="2"/>
      <c r="G1" s="157"/>
      <c r="H1" s="157"/>
      <c r="I1" s="2"/>
    </row>
    <row r="2" spans="2:11">
      <c r="B2" s="1"/>
      <c r="C2" s="1"/>
      <c r="D2" s="1"/>
      <c r="E2" s="1"/>
      <c r="F2" s="2"/>
      <c r="G2" s="157"/>
      <c r="H2" s="157"/>
      <c r="I2" s="2"/>
      <c r="J2" s="2"/>
      <c r="K2" s="2" t="s">
        <v>160</v>
      </c>
    </row>
    <row r="3" spans="2:11">
      <c r="B3" s="1"/>
      <c r="C3" s="1354" t="s">
        <v>166</v>
      </c>
      <c r="D3" s="1354"/>
      <c r="E3" s="1354"/>
      <c r="F3" s="1354"/>
      <c r="G3" s="158"/>
      <c r="H3" s="1130"/>
      <c r="I3" s="50"/>
    </row>
    <row r="4" spans="2:11" ht="13.5" thickBot="1">
      <c r="B4" s="1"/>
      <c r="C4" s="1"/>
      <c r="D4" s="1"/>
      <c r="E4" s="1"/>
      <c r="F4" s="1"/>
      <c r="G4" s="120"/>
      <c r="H4" s="120"/>
      <c r="I4" s="1"/>
      <c r="J4" s="19">
        <f>'Kopertina '!F29</f>
        <v>2012</v>
      </c>
    </row>
    <row r="5" spans="2:11">
      <c r="B5" s="16"/>
      <c r="C5" s="17"/>
      <c r="D5" s="17"/>
      <c r="E5" s="17"/>
      <c r="F5" s="17"/>
      <c r="G5" s="159"/>
      <c r="H5" s="159"/>
      <c r="I5" s="17"/>
      <c r="J5" s="18"/>
    </row>
    <row r="6" spans="2:11" ht="13.5" thickBot="1">
      <c r="B6" s="5"/>
      <c r="C6" s="1"/>
      <c r="D6" s="1"/>
      <c r="E6" s="1"/>
      <c r="F6" s="1"/>
      <c r="G6" s="120"/>
      <c r="H6" s="120"/>
      <c r="I6" s="1"/>
      <c r="J6" s="6"/>
    </row>
    <row r="7" spans="2:11" ht="21" customHeight="1" thickBot="1">
      <c r="B7" s="1586" t="s">
        <v>1</v>
      </c>
      <c r="C7" s="1588" t="s">
        <v>225</v>
      </c>
      <c r="D7" s="438"/>
      <c r="E7" s="438" t="s">
        <v>464</v>
      </c>
      <c r="F7" s="1590" t="s">
        <v>348</v>
      </c>
      <c r="G7" s="1591"/>
      <c r="H7" s="1591"/>
      <c r="I7" s="1592"/>
      <c r="J7" s="6"/>
    </row>
    <row r="8" spans="2:11" ht="21" customHeight="1" thickBot="1">
      <c r="B8" s="1587"/>
      <c r="C8" s="1589"/>
      <c r="D8" s="1245"/>
      <c r="E8" s="1246" t="s">
        <v>465</v>
      </c>
      <c r="F8" s="1133" t="s">
        <v>349</v>
      </c>
      <c r="G8" s="1247" t="s">
        <v>350</v>
      </c>
      <c r="H8" s="1247" t="s">
        <v>1124</v>
      </c>
      <c r="I8" s="1248" t="s">
        <v>467</v>
      </c>
      <c r="J8" s="6"/>
    </row>
    <row r="9" spans="2:11">
      <c r="B9" s="1252" t="s">
        <v>73</v>
      </c>
      <c r="C9" s="1253" t="s">
        <v>805</v>
      </c>
      <c r="D9" s="793"/>
      <c r="E9" s="793"/>
      <c r="F9" s="172"/>
      <c r="G9" s="361">
        <v>0</v>
      </c>
      <c r="H9" s="361"/>
      <c r="I9" s="1254">
        <f>F9+G9*140+H9*105</f>
        <v>0</v>
      </c>
      <c r="J9" s="1226"/>
    </row>
    <row r="10" spans="2:11">
      <c r="B10" s="129">
        <v>1</v>
      </c>
      <c r="C10" s="75" t="s">
        <v>1216</v>
      </c>
      <c r="D10" s="75"/>
      <c r="E10" s="75"/>
      <c r="F10" s="116">
        <v>223300</v>
      </c>
      <c r="G10" s="160">
        <v>0</v>
      </c>
      <c r="H10" s="160"/>
      <c r="I10" s="1255">
        <f>F10+G10*140+H10*105</f>
        <v>223300</v>
      </c>
      <c r="J10" s="1226"/>
    </row>
    <row r="11" spans="2:11">
      <c r="B11" s="129">
        <v>2</v>
      </c>
      <c r="C11" s="75" t="s">
        <v>1246</v>
      </c>
      <c r="D11" s="75"/>
      <c r="E11" s="75"/>
      <c r="F11" s="101">
        <v>17551.97</v>
      </c>
      <c r="G11" s="160">
        <v>104.53</v>
      </c>
      <c r="H11" s="160">
        <v>45.08</v>
      </c>
      <c r="I11" s="1255">
        <f t="shared" ref="I11:I34" si="0">F11+G11*140+H11*105</f>
        <v>36919.57</v>
      </c>
      <c r="J11" s="1226"/>
    </row>
    <row r="12" spans="2:11">
      <c r="B12" s="129">
        <v>3</v>
      </c>
      <c r="C12" s="75" t="s">
        <v>1213</v>
      </c>
      <c r="D12" s="75"/>
      <c r="E12" s="75"/>
      <c r="F12" s="1244">
        <v>193000</v>
      </c>
      <c r="G12" s="160">
        <v>0</v>
      </c>
      <c r="H12" s="160"/>
      <c r="I12" s="1255">
        <f t="shared" si="0"/>
        <v>193000</v>
      </c>
      <c r="J12" s="1226"/>
    </row>
    <row r="13" spans="2:11">
      <c r="B13" s="129">
        <v>4</v>
      </c>
      <c r="C13" s="75" t="s">
        <v>1213</v>
      </c>
      <c r="D13" s="75"/>
      <c r="E13" s="75"/>
      <c r="F13" s="1244">
        <v>612000</v>
      </c>
      <c r="G13" s="160">
        <v>0</v>
      </c>
      <c r="H13" s="160"/>
      <c r="I13" s="1255">
        <f t="shared" si="0"/>
        <v>612000</v>
      </c>
      <c r="J13" s="1226"/>
    </row>
    <row r="14" spans="2:11">
      <c r="B14" s="129">
        <v>5</v>
      </c>
      <c r="C14" s="75"/>
      <c r="D14" s="75"/>
      <c r="E14" s="75"/>
      <c r="F14" s="1244"/>
      <c r="G14" s="160">
        <v>0</v>
      </c>
      <c r="H14" s="160"/>
      <c r="I14" s="1255">
        <f t="shared" si="0"/>
        <v>0</v>
      </c>
      <c r="J14" s="1226"/>
    </row>
    <row r="15" spans="2:11">
      <c r="B15" s="129">
        <v>6</v>
      </c>
      <c r="C15" s="75"/>
      <c r="D15" s="75"/>
      <c r="E15" s="75"/>
      <c r="F15" s="101"/>
      <c r="G15" s="160">
        <v>0</v>
      </c>
      <c r="H15" s="160"/>
      <c r="I15" s="1255">
        <f t="shared" si="0"/>
        <v>0</v>
      </c>
      <c r="J15" s="1226"/>
    </row>
    <row r="16" spans="2:11">
      <c r="B16" s="129">
        <v>7</v>
      </c>
      <c r="C16" s="75"/>
      <c r="D16" s="75"/>
      <c r="E16" s="75"/>
      <c r="F16" s="101"/>
      <c r="G16" s="160">
        <v>0</v>
      </c>
      <c r="H16" s="160"/>
      <c r="I16" s="1255">
        <f t="shared" si="0"/>
        <v>0</v>
      </c>
      <c r="J16" s="1226"/>
    </row>
    <row r="17" spans="2:10">
      <c r="B17" s="129">
        <v>8</v>
      </c>
      <c r="C17" s="75"/>
      <c r="D17" s="75"/>
      <c r="E17" s="75"/>
      <c r="F17" s="101"/>
      <c r="G17" s="160">
        <v>0</v>
      </c>
      <c r="H17" s="160"/>
      <c r="I17" s="1255">
        <f t="shared" si="0"/>
        <v>0</v>
      </c>
      <c r="J17" s="1226"/>
    </row>
    <row r="18" spans="2:10">
      <c r="B18" s="668" t="s">
        <v>79</v>
      </c>
      <c r="C18" s="26" t="s">
        <v>806</v>
      </c>
      <c r="D18" s="75"/>
      <c r="E18" s="75"/>
      <c r="F18" s="101"/>
      <c r="G18" s="160">
        <v>0</v>
      </c>
      <c r="H18" s="160"/>
      <c r="I18" s="1255">
        <f t="shared" si="0"/>
        <v>0</v>
      </c>
      <c r="J18" s="1226"/>
    </row>
    <row r="19" spans="2:10">
      <c r="B19" s="129">
        <v>1</v>
      </c>
      <c r="C19" s="75"/>
      <c r="D19" s="75"/>
      <c r="E19" s="75"/>
      <c r="F19" s="101"/>
      <c r="G19" s="160">
        <v>0</v>
      </c>
      <c r="H19" s="160"/>
      <c r="I19" s="1255">
        <f t="shared" si="0"/>
        <v>0</v>
      </c>
      <c r="J19" s="1226"/>
    </row>
    <row r="20" spans="2:10">
      <c r="B20" s="129">
        <v>2</v>
      </c>
      <c r="C20" s="75"/>
      <c r="D20" s="75"/>
      <c r="E20" s="75"/>
      <c r="F20" s="101"/>
      <c r="G20" s="160">
        <v>0</v>
      </c>
      <c r="H20" s="160"/>
      <c r="I20" s="1255">
        <f t="shared" si="0"/>
        <v>0</v>
      </c>
      <c r="J20" s="1226"/>
    </row>
    <row r="21" spans="2:10">
      <c r="B21" s="129">
        <v>3</v>
      </c>
      <c r="C21" s="75"/>
      <c r="D21" s="75"/>
      <c r="E21" s="75"/>
      <c r="F21" s="101"/>
      <c r="G21" s="160">
        <v>0</v>
      </c>
      <c r="H21" s="160"/>
      <c r="I21" s="1255">
        <f t="shared" si="0"/>
        <v>0</v>
      </c>
      <c r="J21" s="1226"/>
    </row>
    <row r="22" spans="2:10">
      <c r="B22" s="129">
        <v>4</v>
      </c>
      <c r="C22" s="75"/>
      <c r="D22" s="75"/>
      <c r="E22" s="75"/>
      <c r="F22" s="101"/>
      <c r="G22" s="160">
        <v>0</v>
      </c>
      <c r="H22" s="160"/>
      <c r="I22" s="1255">
        <f t="shared" si="0"/>
        <v>0</v>
      </c>
      <c r="J22" s="1226"/>
    </row>
    <row r="23" spans="2:10">
      <c r="B23" s="668" t="s">
        <v>84</v>
      </c>
      <c r="C23" s="26" t="s">
        <v>807</v>
      </c>
      <c r="D23" s="75"/>
      <c r="E23" s="75"/>
      <c r="F23" s="101"/>
      <c r="G23" s="160">
        <v>0</v>
      </c>
      <c r="H23" s="160"/>
      <c r="I23" s="1255">
        <f t="shared" si="0"/>
        <v>0</v>
      </c>
      <c r="J23" s="1226"/>
    </row>
    <row r="24" spans="2:10">
      <c r="B24" s="129">
        <v>1</v>
      </c>
      <c r="C24" s="75" t="s">
        <v>1216</v>
      </c>
      <c r="D24" s="75"/>
      <c r="E24" s="75"/>
      <c r="F24" s="101">
        <f>-F10</f>
        <v>-223300</v>
      </c>
      <c r="G24" s="101">
        <f t="shared" ref="G24:H24" si="1">-G10</f>
        <v>0</v>
      </c>
      <c r="H24" s="101">
        <f t="shared" si="1"/>
        <v>0</v>
      </c>
      <c r="I24" s="1255">
        <f t="shared" si="0"/>
        <v>-223300</v>
      </c>
      <c r="J24" s="1226"/>
    </row>
    <row r="25" spans="2:10">
      <c r="B25" s="129">
        <v>2</v>
      </c>
      <c r="C25" s="22" t="s">
        <v>1246</v>
      </c>
      <c r="D25" s="22"/>
      <c r="E25" s="22"/>
      <c r="F25" s="101">
        <f t="shared" ref="F25:H27" si="2">-F11</f>
        <v>-17551.97</v>
      </c>
      <c r="G25" s="101">
        <f t="shared" si="2"/>
        <v>-104.53</v>
      </c>
      <c r="H25" s="101">
        <f t="shared" si="2"/>
        <v>-45.08</v>
      </c>
      <c r="I25" s="1255">
        <f t="shared" si="0"/>
        <v>-36919.57</v>
      </c>
      <c r="J25" s="1226"/>
    </row>
    <row r="26" spans="2:10" ht="14.25" customHeight="1">
      <c r="B26" s="129">
        <v>3</v>
      </c>
      <c r="C26" s="77" t="s">
        <v>1213</v>
      </c>
      <c r="D26" s="90"/>
      <c r="E26" s="90"/>
      <c r="F26" s="101">
        <f t="shared" si="2"/>
        <v>-193000</v>
      </c>
      <c r="G26" s="101">
        <f t="shared" si="2"/>
        <v>0</v>
      </c>
      <c r="H26" s="101">
        <f t="shared" si="2"/>
        <v>0</v>
      </c>
      <c r="I26" s="1255">
        <f t="shared" si="0"/>
        <v>-193000</v>
      </c>
      <c r="J26" s="1226"/>
    </row>
    <row r="27" spans="2:10">
      <c r="B27" s="129">
        <v>4</v>
      </c>
      <c r="C27" s="77" t="s">
        <v>1213</v>
      </c>
      <c r="D27" s="90"/>
      <c r="E27" s="90"/>
      <c r="F27" s="101">
        <f t="shared" si="2"/>
        <v>-612000</v>
      </c>
      <c r="G27" s="101">
        <f t="shared" si="2"/>
        <v>0</v>
      </c>
      <c r="H27" s="101">
        <f t="shared" si="2"/>
        <v>0</v>
      </c>
      <c r="I27" s="1255">
        <f t="shared" si="0"/>
        <v>-612000</v>
      </c>
      <c r="J27" s="1226"/>
    </row>
    <row r="28" spans="2:10">
      <c r="B28" s="668" t="s">
        <v>115</v>
      </c>
      <c r="C28" s="669" t="s">
        <v>808</v>
      </c>
      <c r="D28" s="90"/>
      <c r="E28" s="90"/>
      <c r="F28" s="101"/>
      <c r="G28" s="279">
        <v>0</v>
      </c>
      <c r="H28" s="279"/>
      <c r="I28" s="1255">
        <f t="shared" si="0"/>
        <v>0</v>
      </c>
      <c r="J28" s="1226"/>
    </row>
    <row r="29" spans="2:10">
      <c r="B29" s="129">
        <v>1</v>
      </c>
      <c r="C29" s="77" t="s">
        <v>809</v>
      </c>
      <c r="D29" s="22"/>
      <c r="E29" s="22"/>
      <c r="F29" s="101"/>
      <c r="G29" s="116">
        <v>0</v>
      </c>
      <c r="H29" s="116"/>
      <c r="I29" s="1255">
        <f t="shared" si="0"/>
        <v>0</v>
      </c>
      <c r="J29" s="1226"/>
    </row>
    <row r="30" spans="2:10">
      <c r="B30" s="129">
        <v>2</v>
      </c>
      <c r="C30" s="77" t="s">
        <v>810</v>
      </c>
      <c r="D30" s="22"/>
      <c r="E30" s="22"/>
      <c r="F30" s="101"/>
      <c r="G30" s="116">
        <v>0</v>
      </c>
      <c r="H30" s="116"/>
      <c r="I30" s="1255">
        <f t="shared" si="0"/>
        <v>0</v>
      </c>
      <c r="J30" s="1226"/>
    </row>
    <row r="31" spans="2:10">
      <c r="B31" s="129">
        <v>3</v>
      </c>
      <c r="C31" s="77" t="s">
        <v>811</v>
      </c>
      <c r="D31" s="22"/>
      <c r="E31" s="22"/>
      <c r="F31" s="101"/>
      <c r="G31" s="116">
        <v>0</v>
      </c>
      <c r="H31" s="116"/>
      <c r="I31" s="1255">
        <f t="shared" si="0"/>
        <v>0</v>
      </c>
      <c r="J31" s="1226"/>
    </row>
    <row r="32" spans="2:10">
      <c r="B32" s="129">
        <v>4</v>
      </c>
      <c r="C32" s="77" t="s">
        <v>738</v>
      </c>
      <c r="D32" s="75"/>
      <c r="E32" s="22"/>
      <c r="F32" s="101"/>
      <c r="G32" s="116">
        <v>0</v>
      </c>
      <c r="H32" s="116"/>
      <c r="I32" s="1255">
        <f t="shared" si="0"/>
        <v>0</v>
      </c>
      <c r="J32" s="1226"/>
    </row>
    <row r="33" spans="2:10">
      <c r="B33" s="129">
        <v>5</v>
      </c>
      <c r="C33" s="77" t="s">
        <v>738</v>
      </c>
      <c r="D33" s="75"/>
      <c r="E33" s="22"/>
      <c r="F33" s="101"/>
      <c r="G33" s="116">
        <v>0</v>
      </c>
      <c r="H33" s="116"/>
      <c r="I33" s="1255">
        <f t="shared" si="0"/>
        <v>0</v>
      </c>
      <c r="J33" s="1226"/>
    </row>
    <row r="34" spans="2:10" ht="13.5" thickBot="1">
      <c r="B34" s="1256"/>
      <c r="C34" s="1257"/>
      <c r="D34" s="373"/>
      <c r="E34" s="25"/>
      <c r="F34" s="1125"/>
      <c r="G34" s="191">
        <v>0</v>
      </c>
      <c r="H34" s="191"/>
      <c r="I34" s="1258">
        <f t="shared" si="0"/>
        <v>0</v>
      </c>
      <c r="J34" s="1226"/>
    </row>
    <row r="35" spans="2:10" ht="13.5" thickBot="1">
      <c r="B35" s="1249" t="s">
        <v>466</v>
      </c>
      <c r="C35" s="1250"/>
      <c r="D35" s="1250"/>
      <c r="E35" s="1250">
        <f>SUM(E9:E34)</f>
        <v>0</v>
      </c>
      <c r="F35" s="1251">
        <f>SUM(F9:F34)</f>
        <v>0</v>
      </c>
      <c r="G35" s="1251">
        <f>SUM(G9:G34)</f>
        <v>0</v>
      </c>
      <c r="H35" s="1251"/>
      <c r="I35" s="1251">
        <f>SUM(I9:I34)</f>
        <v>1.1641532182693481E-10</v>
      </c>
      <c r="J35" s="1226"/>
    </row>
    <row r="36" spans="2:10">
      <c r="B36" s="5"/>
      <c r="C36" s="1"/>
      <c r="D36" s="1"/>
      <c r="E36" s="1"/>
      <c r="F36" s="120"/>
      <c r="G36" s="118"/>
      <c r="H36" s="118"/>
      <c r="I36" s="120"/>
      <c r="J36" s="1226"/>
    </row>
    <row r="37" spans="2:10">
      <c r="B37" s="5"/>
      <c r="C37" s="2" t="s">
        <v>468</v>
      </c>
      <c r="D37" s="130"/>
      <c r="E37" s="130"/>
      <c r="F37" s="120"/>
      <c r="G37" s="116">
        <v>0</v>
      </c>
      <c r="H37" s="118"/>
      <c r="I37" s="120"/>
      <c r="J37" s="1226"/>
    </row>
    <row r="38" spans="2:10">
      <c r="B38" s="5"/>
      <c r="C38" s="27" t="s">
        <v>469</v>
      </c>
      <c r="D38" s="130"/>
      <c r="E38" s="130"/>
      <c r="F38" s="120"/>
      <c r="G38" s="116">
        <v>0</v>
      </c>
      <c r="H38" s="118"/>
      <c r="I38" s="120"/>
      <c r="J38" s="1226"/>
    </row>
    <row r="39" spans="2:10">
      <c r="B39" s="5"/>
      <c r="C39" s="27" t="s">
        <v>470</v>
      </c>
      <c r="D39" s="130"/>
      <c r="E39" s="130"/>
      <c r="F39" s="120"/>
      <c r="G39" s="160">
        <v>0</v>
      </c>
      <c r="H39" s="120"/>
      <c r="I39" s="120"/>
      <c r="J39" s="1226"/>
    </row>
    <row r="40" spans="2:10">
      <c r="B40" s="5"/>
      <c r="C40" s="62" t="s">
        <v>471</v>
      </c>
      <c r="D40" s="130"/>
      <c r="E40" s="130"/>
      <c r="F40" s="120"/>
      <c r="G40" s="160">
        <v>0</v>
      </c>
      <c r="H40" s="120"/>
      <c r="I40" s="120"/>
      <c r="J40" s="1226"/>
    </row>
    <row r="41" spans="2:10" ht="13.5" thickBot="1">
      <c r="B41" s="5"/>
      <c r="C41" s="62" t="s">
        <v>472</v>
      </c>
      <c r="D41" s="1"/>
      <c r="E41" s="1"/>
      <c r="F41" s="120"/>
      <c r="G41" s="275">
        <v>0</v>
      </c>
      <c r="H41" s="120"/>
      <c r="I41" s="120"/>
      <c r="J41" s="1226"/>
    </row>
    <row r="42" spans="2:10" ht="13.5" thickBot="1">
      <c r="B42" s="5"/>
      <c r="C42" s="1"/>
      <c r="D42" s="1585" t="s">
        <v>165</v>
      </c>
      <c r="E42" s="1377"/>
      <c r="F42" s="120"/>
      <c r="G42" s="439">
        <f>SUM(G37:G41)</f>
        <v>0</v>
      </c>
      <c r="H42" s="1236"/>
      <c r="I42" s="120"/>
      <c r="J42" s="1226"/>
    </row>
    <row r="43" spans="2:10" ht="13.5" thickBot="1">
      <c r="B43" s="7"/>
      <c r="C43" s="8"/>
      <c r="D43" s="8"/>
      <c r="E43" s="8"/>
      <c r="F43" s="162"/>
      <c r="G43" s="162"/>
      <c r="H43" s="162"/>
      <c r="I43" s="162"/>
      <c r="J43" s="1227"/>
    </row>
  </sheetData>
  <mergeCells count="5">
    <mergeCell ref="D42:E42"/>
    <mergeCell ref="C3:F3"/>
    <mergeCell ref="B7:B8"/>
    <mergeCell ref="C7:C8"/>
    <mergeCell ref="F7:I7"/>
  </mergeCells>
  <phoneticPr fontId="4" type="noConversion"/>
  <pageMargins left="0" right="0" top="0" bottom="0" header="0" footer="0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44"/>
  <sheetViews>
    <sheetView topLeftCell="A9" workbookViewId="0">
      <selection activeCell="I33" sqref="I33"/>
    </sheetView>
  </sheetViews>
  <sheetFormatPr defaultRowHeight="12.75"/>
  <cols>
    <col min="1" max="1" width="6.42578125" customWidth="1"/>
    <col min="2" max="2" width="17" customWidth="1"/>
    <col min="3" max="3" width="9.7109375" customWidth="1"/>
    <col min="4" max="4" width="13" customWidth="1"/>
    <col min="5" max="5" width="10.140625" customWidth="1"/>
    <col min="6" max="6" width="12.85546875" customWidth="1"/>
    <col min="7" max="7" width="13.85546875" customWidth="1"/>
  </cols>
  <sheetData>
    <row r="1" spans="1:7" ht="15">
      <c r="A1" s="1593" t="s">
        <v>510</v>
      </c>
      <c r="B1" s="1593"/>
      <c r="C1" s="19" t="str">
        <f>U!D2</f>
        <v>Eskeld</v>
      </c>
    </row>
    <row r="2" spans="1:7">
      <c r="A2" t="s">
        <v>388</v>
      </c>
      <c r="C2" s="19" t="str">
        <f>U!D3</f>
        <v>K86607207N</v>
      </c>
    </row>
    <row r="3" spans="1:7" ht="25.5">
      <c r="A3" s="1594" t="s">
        <v>785</v>
      </c>
      <c r="B3" s="1594"/>
      <c r="C3" s="1594"/>
      <c r="D3" s="1594"/>
      <c r="E3" s="1594"/>
      <c r="F3" s="1594"/>
      <c r="G3" s="1594"/>
    </row>
    <row r="4" spans="1:7" ht="14.25">
      <c r="A4" s="513"/>
      <c r="B4" s="513"/>
      <c r="C4" s="513"/>
      <c r="D4" s="513"/>
      <c r="E4" s="513"/>
      <c r="F4" s="513"/>
      <c r="G4" s="513"/>
    </row>
    <row r="5" spans="1:7" ht="14.25">
      <c r="A5" s="514" t="s">
        <v>1</v>
      </c>
      <c r="B5" s="514" t="s">
        <v>97</v>
      </c>
      <c r="C5" s="514" t="s">
        <v>378</v>
      </c>
      <c r="D5" s="514" t="s">
        <v>744</v>
      </c>
      <c r="E5" s="514" t="s">
        <v>511</v>
      </c>
      <c r="F5" s="514" t="s">
        <v>512</v>
      </c>
      <c r="G5" s="514" t="s">
        <v>786</v>
      </c>
    </row>
    <row r="6" spans="1:7" ht="14.25">
      <c r="A6" s="514">
        <v>1</v>
      </c>
      <c r="B6" s="514" t="s">
        <v>513</v>
      </c>
      <c r="C6" s="514"/>
      <c r="D6" s="514">
        <f>U!E9</f>
        <v>0</v>
      </c>
      <c r="E6" s="514">
        <f>U!F9</f>
        <v>0</v>
      </c>
      <c r="F6" s="514">
        <f>U!G9</f>
        <v>0</v>
      </c>
      <c r="G6" s="514">
        <f>U!H9</f>
        <v>0</v>
      </c>
    </row>
    <row r="7" spans="1:7" ht="14.25">
      <c r="A7" s="514">
        <f>A6+1</f>
        <v>2</v>
      </c>
      <c r="B7" s="514" t="s">
        <v>155</v>
      </c>
      <c r="C7" s="514"/>
      <c r="D7" s="514">
        <f>U!E13</f>
        <v>57680944</v>
      </c>
      <c r="E7" s="514">
        <f>U!F13</f>
        <v>0</v>
      </c>
      <c r="F7" s="514">
        <f>U!G13</f>
        <v>0</v>
      </c>
      <c r="G7" s="514">
        <f>U!H13</f>
        <v>57680944</v>
      </c>
    </row>
    <row r="8" spans="1:7" ht="14.25">
      <c r="A8" s="514">
        <f t="shared" ref="A8:A13" si="0">A7+1</f>
        <v>3</v>
      </c>
      <c r="B8" s="514" t="s">
        <v>804</v>
      </c>
      <c r="C8" s="514"/>
      <c r="D8" s="514">
        <f>U!E30</f>
        <v>1957474</v>
      </c>
      <c r="E8" s="514">
        <f>U!F30</f>
        <v>651900</v>
      </c>
      <c r="F8" s="514">
        <f>U!G30</f>
        <v>0</v>
      </c>
      <c r="G8" s="514">
        <f>U!H30</f>
        <v>2609374</v>
      </c>
    </row>
    <row r="9" spans="1:7" ht="14.25">
      <c r="A9" s="514">
        <f t="shared" si="0"/>
        <v>4</v>
      </c>
      <c r="B9" s="514" t="s">
        <v>446</v>
      </c>
      <c r="C9" s="514"/>
      <c r="D9" s="514">
        <f>U!E34</f>
        <v>6066509</v>
      </c>
      <c r="E9" s="514">
        <f>U!F34</f>
        <v>0</v>
      </c>
      <c r="F9" s="514">
        <f>U!G34</f>
        <v>0</v>
      </c>
      <c r="G9" s="514">
        <f>U!H34</f>
        <v>6066509</v>
      </c>
    </row>
    <row r="10" spans="1:7" ht="14.25">
      <c r="A10" s="514">
        <f t="shared" si="0"/>
        <v>5</v>
      </c>
      <c r="B10" s="514" t="s">
        <v>514</v>
      </c>
      <c r="C10" s="514"/>
      <c r="D10" s="514"/>
      <c r="E10" s="514"/>
      <c r="F10" s="514"/>
      <c r="G10" s="514"/>
    </row>
    <row r="11" spans="1:7" ht="14.25">
      <c r="A11" s="514">
        <f t="shared" si="0"/>
        <v>6</v>
      </c>
      <c r="B11" s="514" t="s">
        <v>515</v>
      </c>
      <c r="C11" s="514"/>
      <c r="D11" s="514">
        <f>U!E58</f>
        <v>8978145</v>
      </c>
      <c r="E11" s="514">
        <f>U!F58</f>
        <v>502900</v>
      </c>
      <c r="F11" s="514">
        <f>U!G58</f>
        <v>0</v>
      </c>
      <c r="G11" s="514">
        <f>U!H58</f>
        <v>9481045</v>
      </c>
    </row>
    <row r="12" spans="1:7" ht="14.25">
      <c r="A12" s="514">
        <f t="shared" si="0"/>
        <v>7</v>
      </c>
      <c r="B12" s="514" t="s">
        <v>803</v>
      </c>
      <c r="C12" s="514"/>
      <c r="D12" s="514">
        <f>U!E59</f>
        <v>0</v>
      </c>
      <c r="E12" s="514">
        <f>U!F59</f>
        <v>0</v>
      </c>
      <c r="F12" s="514">
        <f>U!G59</f>
        <v>0</v>
      </c>
      <c r="G12" s="514">
        <f>U!H59</f>
        <v>0</v>
      </c>
    </row>
    <row r="13" spans="1:7" ht="14.25">
      <c r="A13" s="514">
        <f t="shared" si="0"/>
        <v>8</v>
      </c>
      <c r="B13" s="514"/>
      <c r="C13" s="514"/>
      <c r="D13" s="514"/>
      <c r="E13" s="514"/>
      <c r="F13" s="514"/>
      <c r="G13" s="514"/>
    </row>
    <row r="14" spans="1:7" ht="14.25">
      <c r="A14" s="514"/>
      <c r="B14" s="514" t="s">
        <v>373</v>
      </c>
      <c r="C14" s="514"/>
      <c r="D14" s="514">
        <f>D6+D7+D8+D9+D10+D11+D12+D13</f>
        <v>74683072</v>
      </c>
      <c r="E14" s="514">
        <f>E6+E7+E8+E9+E10+E11+E12+E13</f>
        <v>1154800</v>
      </c>
      <c r="F14" s="514">
        <f>F6+F7+F8+F9+F10+F11+F12+F13</f>
        <v>0</v>
      </c>
      <c r="G14" s="514">
        <f>G6+G7+G8+G9+G10+G11+G12+G13</f>
        <v>75837872</v>
      </c>
    </row>
    <row r="17" spans="1:11" ht="25.5">
      <c r="A17" s="1594" t="s">
        <v>787</v>
      </c>
      <c r="B17" s="1594"/>
      <c r="C17" s="1594"/>
      <c r="D17" s="1594"/>
      <c r="E17" s="1594"/>
      <c r="F17" s="1594"/>
      <c r="G17" s="1594"/>
    </row>
    <row r="18" spans="1:11" ht="14.25">
      <c r="A18" s="513"/>
      <c r="B18" s="513"/>
      <c r="C18" s="513"/>
      <c r="D18" s="513"/>
      <c r="E18" s="513"/>
      <c r="F18" s="513"/>
      <c r="G18" s="513"/>
    </row>
    <row r="19" spans="1:11" ht="14.25">
      <c r="A19" s="514" t="s">
        <v>1</v>
      </c>
      <c r="B19" s="514" t="s">
        <v>97</v>
      </c>
      <c r="C19" s="514" t="s">
        <v>378</v>
      </c>
      <c r="D19" s="514" t="str">
        <f>D5</f>
        <v>Gjendje fillest</v>
      </c>
      <c r="E19" s="514" t="str">
        <f>E5</f>
        <v>Shtese</v>
      </c>
      <c r="F19" s="514" t="str">
        <f>F5</f>
        <v>Paksime</v>
      </c>
      <c r="G19" s="514" t="str">
        <f>G5</f>
        <v>Gjendje 31/12/2012</v>
      </c>
    </row>
    <row r="20" spans="1:11" ht="14.25">
      <c r="A20" s="514">
        <v>1</v>
      </c>
      <c r="B20" s="514" t="s">
        <v>513</v>
      </c>
      <c r="C20" s="514"/>
      <c r="D20" s="514">
        <f>U!J9</f>
        <v>0</v>
      </c>
      <c r="E20" s="514">
        <f>U!L9</f>
        <v>0</v>
      </c>
      <c r="F20" s="514">
        <f>U!M9</f>
        <v>0</v>
      </c>
      <c r="G20" s="514">
        <f>U!N9</f>
        <v>0</v>
      </c>
    </row>
    <row r="21" spans="1:11" ht="14.25">
      <c r="A21" s="514">
        <f>A20+1</f>
        <v>2</v>
      </c>
      <c r="B21" s="514" t="s">
        <v>155</v>
      </c>
      <c r="C21" s="514"/>
      <c r="D21" s="514">
        <f>U!J13</f>
        <v>8226744.5999999996</v>
      </c>
      <c r="E21" s="514">
        <f>U!L13</f>
        <v>412118.32833333337</v>
      </c>
      <c r="F21" s="514">
        <f>U!M13</f>
        <v>0</v>
      </c>
      <c r="G21" s="514">
        <f>+U!N13</f>
        <v>8638862.9283333328</v>
      </c>
    </row>
    <row r="22" spans="1:11" ht="14.25">
      <c r="A22" s="514">
        <f t="shared" ref="A22:A27" si="1">A21+1</f>
        <v>3</v>
      </c>
      <c r="B22" s="514" t="s">
        <v>804</v>
      </c>
      <c r="C22" s="514"/>
      <c r="D22" s="514">
        <f>U!J30</f>
        <v>741241.44000000006</v>
      </c>
      <c r="E22" s="514">
        <f>U!L30</f>
        <v>40541.085333333329</v>
      </c>
      <c r="F22" s="514">
        <f>U!M30</f>
        <v>0</v>
      </c>
      <c r="G22" s="514">
        <f>U!N30</f>
        <v>781782.52533333341</v>
      </c>
    </row>
    <row r="23" spans="1:11" ht="14.25">
      <c r="A23" s="514">
        <f t="shared" si="1"/>
        <v>4</v>
      </c>
      <c r="B23" s="514" t="s">
        <v>446</v>
      </c>
      <c r="C23" s="514"/>
      <c r="D23" s="514">
        <f>U!J34</f>
        <v>3115758.9200000004</v>
      </c>
      <c r="E23" s="514">
        <f>U!L34</f>
        <v>98358.335999999996</v>
      </c>
      <c r="F23" s="514">
        <f>U!M34</f>
        <v>0</v>
      </c>
      <c r="G23" s="514">
        <f>U!N34</f>
        <v>3214117.2560000005</v>
      </c>
    </row>
    <row r="24" spans="1:11" ht="14.25">
      <c r="A24" s="514">
        <f t="shared" si="1"/>
        <v>5</v>
      </c>
      <c r="B24" s="514" t="s">
        <v>514</v>
      </c>
      <c r="C24" s="514"/>
      <c r="D24" s="514"/>
      <c r="E24" s="514"/>
      <c r="F24" s="514"/>
      <c r="G24" s="514"/>
    </row>
    <row r="25" spans="1:11" ht="14.25">
      <c r="A25" s="514">
        <f t="shared" si="1"/>
        <v>6</v>
      </c>
      <c r="B25" s="514" t="s">
        <v>515</v>
      </c>
      <c r="C25" s="514"/>
      <c r="D25" s="514">
        <f>U!J58</f>
        <v>3292127.271666667</v>
      </c>
      <c r="E25" s="514">
        <f>U!L58</f>
        <v>207134.2572638889</v>
      </c>
      <c r="F25" s="514">
        <f>U!M58</f>
        <v>0</v>
      </c>
      <c r="G25" s="514">
        <f>U!N58</f>
        <v>3499261.5289305551</v>
      </c>
    </row>
    <row r="26" spans="1:11" ht="14.25">
      <c r="A26" s="514">
        <f t="shared" si="1"/>
        <v>7</v>
      </c>
      <c r="B26" s="514" t="s">
        <v>803</v>
      </c>
      <c r="C26" s="514"/>
      <c r="D26" s="514">
        <f>U!J59</f>
        <v>0</v>
      </c>
      <c r="E26" s="514">
        <f>U!L59</f>
        <v>0</v>
      </c>
      <c r="F26" s="514">
        <f>U!M59</f>
        <v>0</v>
      </c>
      <c r="G26" s="514">
        <f>U!N59</f>
        <v>0</v>
      </c>
      <c r="K26" s="195"/>
    </row>
    <row r="27" spans="1:11" ht="14.25">
      <c r="A27" s="514">
        <f t="shared" si="1"/>
        <v>8</v>
      </c>
      <c r="B27" s="514"/>
      <c r="C27" s="514"/>
      <c r="D27" s="514"/>
      <c r="E27" s="514"/>
      <c r="F27" s="514"/>
      <c r="G27" s="514"/>
    </row>
    <row r="28" spans="1:11" ht="14.25">
      <c r="A28" s="514"/>
      <c r="B28" s="514" t="s">
        <v>373</v>
      </c>
      <c r="C28" s="514"/>
      <c r="D28" s="514">
        <f>SUM(D20:D27)</f>
        <v>15375872.231666666</v>
      </c>
      <c r="E28" s="514">
        <f>SUM(E20:E27)</f>
        <v>758152.00693055568</v>
      </c>
      <c r="F28" s="514">
        <f>SUM(F20:F27)</f>
        <v>0</v>
      </c>
      <c r="G28" s="514">
        <f>SUM(G20:G27)</f>
        <v>16134024.238597222</v>
      </c>
    </row>
    <row r="30" spans="1:11" ht="25.5">
      <c r="A30" s="1594" t="s">
        <v>788</v>
      </c>
      <c r="B30" s="1594"/>
      <c r="C30" s="1594"/>
      <c r="D30" s="1594"/>
      <c r="E30" s="1594"/>
      <c r="F30" s="1594"/>
      <c r="G30" s="1594"/>
    </row>
    <row r="31" spans="1:11" ht="14.25">
      <c r="A31" s="513"/>
      <c r="B31" s="513"/>
      <c r="C31" s="513"/>
      <c r="D31" s="513"/>
      <c r="E31" s="513"/>
      <c r="F31" s="513"/>
      <c r="G31" s="513"/>
    </row>
    <row r="32" spans="1:11" ht="15">
      <c r="A32" s="514" t="s">
        <v>1</v>
      </c>
      <c r="B32" s="514" t="s">
        <v>97</v>
      </c>
      <c r="C32" s="514" t="s">
        <v>378</v>
      </c>
      <c r="D32" s="539" t="s">
        <v>789</v>
      </c>
      <c r="E32" s="514" t="s">
        <v>511</v>
      </c>
      <c r="F32" s="514" t="s">
        <v>512</v>
      </c>
      <c r="G32" s="539" t="s">
        <v>786</v>
      </c>
    </row>
    <row r="33" spans="1:7" ht="14.25">
      <c r="A33" s="514">
        <v>1</v>
      </c>
      <c r="B33" s="514" t="s">
        <v>513</v>
      </c>
      <c r="C33" s="514"/>
      <c r="D33" s="514">
        <f>U!K9</f>
        <v>0</v>
      </c>
      <c r="E33" s="514">
        <f>E6</f>
        <v>0</v>
      </c>
      <c r="F33" s="514">
        <f>G33-D33+E33</f>
        <v>0</v>
      </c>
      <c r="G33" s="514">
        <f>+U!O9</f>
        <v>0</v>
      </c>
    </row>
    <row r="34" spans="1:7" ht="14.25">
      <c r="A34" s="514">
        <f>A33+1</f>
        <v>2</v>
      </c>
      <c r="B34" s="514" t="s">
        <v>155</v>
      </c>
      <c r="C34" s="514"/>
      <c r="D34" s="514">
        <f>U!K13</f>
        <v>49454199.399999999</v>
      </c>
      <c r="E34" s="514">
        <f>E7</f>
        <v>0</v>
      </c>
      <c r="F34" s="514">
        <f t="shared" ref="F34:F39" si="2">G34-D34+E34</f>
        <v>-412118.32833333313</v>
      </c>
      <c r="G34" s="514">
        <f>U!O13</f>
        <v>49042081.071666665</v>
      </c>
    </row>
    <row r="35" spans="1:7" ht="14.25">
      <c r="A35" s="514">
        <f t="shared" ref="A35:A40" si="3">A34+1</f>
        <v>3</v>
      </c>
      <c r="B35" s="514" t="s">
        <v>804</v>
      </c>
      <c r="C35" s="514"/>
      <c r="D35" s="514">
        <f>U!K30</f>
        <v>1216232.56</v>
      </c>
      <c r="E35" s="514">
        <f>E8</f>
        <v>651900</v>
      </c>
      <c r="F35" s="514">
        <f t="shared" si="2"/>
        <v>1263258.9146666666</v>
      </c>
      <c r="G35" s="514">
        <f>U!O30</f>
        <v>1827591.4746666667</v>
      </c>
    </row>
    <row r="36" spans="1:7" ht="14.25">
      <c r="A36" s="514">
        <f t="shared" si="3"/>
        <v>4</v>
      </c>
      <c r="B36" s="514" t="s">
        <v>446</v>
      </c>
      <c r="C36" s="514"/>
      <c r="D36" s="514">
        <f>U!K34</f>
        <v>2950750.0799999996</v>
      </c>
      <c r="E36" s="514">
        <f>E9</f>
        <v>0</v>
      </c>
      <c r="F36" s="514">
        <f t="shared" si="2"/>
        <v>-98358.336000000127</v>
      </c>
      <c r="G36" s="514">
        <f>U!O34</f>
        <v>2852391.7439999995</v>
      </c>
    </row>
    <row r="37" spans="1:7" ht="14.25">
      <c r="A37" s="514">
        <f t="shared" si="3"/>
        <v>5</v>
      </c>
      <c r="B37" s="514" t="s">
        <v>514</v>
      </c>
      <c r="C37" s="514"/>
      <c r="D37" s="514"/>
      <c r="E37" s="514"/>
      <c r="F37" s="514">
        <f t="shared" si="2"/>
        <v>0</v>
      </c>
      <c r="G37" s="514"/>
    </row>
    <row r="38" spans="1:7" ht="14.25">
      <c r="A38" s="514">
        <f t="shared" si="3"/>
        <v>6</v>
      </c>
      <c r="B38" s="514" t="s">
        <v>515</v>
      </c>
      <c r="C38" s="514"/>
      <c r="D38" s="514">
        <f>U!K58</f>
        <v>5686017.7283333335</v>
      </c>
      <c r="E38" s="514">
        <f>E11</f>
        <v>502900</v>
      </c>
      <c r="F38" s="514">
        <f t="shared" si="2"/>
        <v>798665.74273611046</v>
      </c>
      <c r="G38" s="514">
        <f>U!O58</f>
        <v>5981783.471069444</v>
      </c>
    </row>
    <row r="39" spans="1:7" ht="14.25">
      <c r="A39" s="514">
        <f t="shared" si="3"/>
        <v>7</v>
      </c>
      <c r="B39" s="514" t="s">
        <v>803</v>
      </c>
      <c r="C39" s="514"/>
      <c r="D39" s="514">
        <f>U!K59</f>
        <v>0</v>
      </c>
      <c r="E39" s="514">
        <f>E12</f>
        <v>0</v>
      </c>
      <c r="F39" s="514">
        <f t="shared" si="2"/>
        <v>0</v>
      </c>
      <c r="G39" s="514">
        <f>U!O59</f>
        <v>0</v>
      </c>
    </row>
    <row r="40" spans="1:7" ht="14.25">
      <c r="A40" s="514">
        <f t="shared" si="3"/>
        <v>8</v>
      </c>
      <c r="B40" s="514"/>
      <c r="C40" s="514"/>
      <c r="D40" s="514"/>
      <c r="E40" s="514"/>
      <c r="F40" s="514"/>
      <c r="G40" s="514">
        <f>D40+E40-F40</f>
        <v>0</v>
      </c>
    </row>
    <row r="41" spans="1:7" ht="14.25">
      <c r="A41" s="514"/>
      <c r="B41" s="514" t="s">
        <v>373</v>
      </c>
      <c r="C41" s="514"/>
      <c r="D41" s="514">
        <f>SUM(D33:D40)</f>
        <v>59307199.768333331</v>
      </c>
      <c r="E41" s="514">
        <f t="shared" ref="E41:G41" si="4">SUM(E33:E40)</f>
        <v>1154800</v>
      </c>
      <c r="F41" s="514">
        <f>SUM(F33:F40)</f>
        <v>1551447.9930694439</v>
      </c>
      <c r="G41" s="514">
        <f t="shared" si="4"/>
        <v>59703847.761402786</v>
      </c>
    </row>
    <row r="43" spans="1:7">
      <c r="F43" s="19" t="s">
        <v>516</v>
      </c>
      <c r="G43" s="19"/>
    </row>
    <row r="44" spans="1:7">
      <c r="F44" s="19" t="str">
        <f>'Shenimet Shpjeg'!F239</f>
        <v>Esmeralda Muskaj</v>
      </c>
      <c r="G44" s="19"/>
    </row>
  </sheetData>
  <mergeCells count="4">
    <mergeCell ref="A1:B1"/>
    <mergeCell ref="A3:G3"/>
    <mergeCell ref="A17:G17"/>
    <mergeCell ref="A30:G30"/>
  </mergeCells>
  <printOptions horizontalCentered="1"/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6"/>
  <sheetViews>
    <sheetView workbookViewId="0">
      <selection activeCell="H17" sqref="H17"/>
    </sheetView>
  </sheetViews>
  <sheetFormatPr defaultRowHeight="12.75"/>
  <cols>
    <col min="2" max="2" width="35.28515625" customWidth="1"/>
    <col min="3" max="3" width="15.28515625" customWidth="1"/>
    <col min="4" max="4" width="14.28515625" customWidth="1"/>
    <col min="5" max="5" width="16.42578125" style="602" customWidth="1"/>
    <col min="6" max="6" width="17.140625" style="602" customWidth="1"/>
  </cols>
  <sheetData>
    <row r="1" spans="1:6" ht="15">
      <c r="A1" s="543" t="s">
        <v>510</v>
      </c>
      <c r="B1" s="543" t="str">
        <f>'U - statist'!C1</f>
        <v>Eskeld</v>
      </c>
      <c r="C1" s="515"/>
      <c r="D1" s="515"/>
      <c r="E1" s="622"/>
      <c r="F1" s="622"/>
    </row>
    <row r="2" spans="1:6" ht="15">
      <c r="A2" s="515" t="s">
        <v>388</v>
      </c>
      <c r="B2" s="544" t="str">
        <f>'U - statist'!C2</f>
        <v>K86607207N</v>
      </c>
      <c r="C2" s="515"/>
      <c r="D2" s="515"/>
      <c r="E2" s="622"/>
      <c r="F2" s="622"/>
    </row>
    <row r="3" spans="1:6" ht="15">
      <c r="A3" s="515"/>
      <c r="B3" s="515"/>
      <c r="C3" s="515"/>
      <c r="D3" s="516" t="s">
        <v>517</v>
      </c>
      <c r="E3" s="622"/>
      <c r="F3" s="604" t="s">
        <v>518</v>
      </c>
    </row>
    <row r="4" spans="1:6" ht="15.75">
      <c r="A4" s="1595" t="s">
        <v>519</v>
      </c>
      <c r="B4" s="1596"/>
      <c r="C4" s="1596"/>
      <c r="D4" s="1596"/>
      <c r="E4" s="1596"/>
      <c r="F4" s="1597"/>
    </row>
    <row r="5" spans="1:6" ht="15.75">
      <c r="A5" s="1598" t="s">
        <v>1</v>
      </c>
      <c r="B5" s="1598" t="s">
        <v>520</v>
      </c>
      <c r="C5" s="1600" t="s">
        <v>521</v>
      </c>
      <c r="D5" s="1600" t="s">
        <v>522</v>
      </c>
      <c r="E5" s="1602" t="s">
        <v>523</v>
      </c>
      <c r="F5" s="1603"/>
    </row>
    <row r="6" spans="1:6" ht="15.75">
      <c r="A6" s="1599"/>
      <c r="B6" s="1599"/>
      <c r="C6" s="1601"/>
      <c r="D6" s="1601"/>
      <c r="E6" s="517">
        <v>2012</v>
      </c>
      <c r="F6" s="517">
        <v>2011</v>
      </c>
    </row>
    <row r="7" spans="1:6" ht="15.75">
      <c r="A7" s="518">
        <v>1</v>
      </c>
      <c r="B7" s="518" t="s">
        <v>524</v>
      </c>
      <c r="C7" s="518">
        <v>70</v>
      </c>
      <c r="D7" s="518">
        <v>11100</v>
      </c>
      <c r="E7" s="623">
        <f>E8+E9+E10</f>
        <v>13982</v>
      </c>
      <c r="F7" s="623">
        <f>F8+F9+F10</f>
        <v>20101</v>
      </c>
    </row>
    <row r="8" spans="1:6" ht="15.75">
      <c r="A8" s="519" t="s">
        <v>493</v>
      </c>
      <c r="B8" s="520" t="s">
        <v>525</v>
      </c>
      <c r="C8" s="521">
        <v>701702703</v>
      </c>
      <c r="D8" s="518">
        <v>11101</v>
      </c>
      <c r="E8" s="624">
        <f>('Ardh e shp - natyres'!E9+'Ardh e shp - natyres'!E10+'Ardh e shp - natyres'!E11)/1000</f>
        <v>13982</v>
      </c>
      <c r="F8" s="624">
        <f>('Ardh e shp - natyres'!F9+'Ardh e shp - natyres'!F10+'Ardh e shp - natyres'!F11)/1000</f>
        <v>20101</v>
      </c>
    </row>
    <row r="9" spans="1:6" ht="15.75">
      <c r="A9" s="519" t="s">
        <v>494</v>
      </c>
      <c r="B9" s="520" t="s">
        <v>526</v>
      </c>
      <c r="C9" s="518">
        <v>704</v>
      </c>
      <c r="D9" s="518">
        <v>11102</v>
      </c>
      <c r="E9" s="624">
        <f>('Ardh e shp - natyres'!E12)/1000</f>
        <v>0</v>
      </c>
      <c r="F9" s="624">
        <f>('Ardh e shp - natyres'!F12)/1000</f>
        <v>0</v>
      </c>
    </row>
    <row r="10" spans="1:6" ht="15.75">
      <c r="A10" s="519" t="s">
        <v>527</v>
      </c>
      <c r="B10" s="520" t="s">
        <v>528</v>
      </c>
      <c r="C10" s="518">
        <v>705</v>
      </c>
      <c r="D10" s="518">
        <v>11103</v>
      </c>
      <c r="E10" s="624">
        <f>('Ardh e shp - natyres'!E13)/1000</f>
        <v>0</v>
      </c>
      <c r="F10" s="624">
        <f>('Ardh e shp - natyres'!F13)/1000</f>
        <v>0</v>
      </c>
    </row>
    <row r="11" spans="1:6" ht="15.75">
      <c r="A11" s="518">
        <v>2</v>
      </c>
      <c r="B11" s="518" t="s">
        <v>529</v>
      </c>
      <c r="C11" s="518">
        <v>708</v>
      </c>
      <c r="D11" s="518">
        <v>11104</v>
      </c>
      <c r="E11" s="624">
        <f>E12+E13+E14</f>
        <v>0</v>
      </c>
      <c r="F11" s="624">
        <f>F12+F13+F14</f>
        <v>0</v>
      </c>
    </row>
    <row r="12" spans="1:6" ht="15.75">
      <c r="A12" s="519" t="s">
        <v>493</v>
      </c>
      <c r="B12" s="518" t="s">
        <v>530</v>
      </c>
      <c r="C12" s="518">
        <v>7081</v>
      </c>
      <c r="D12" s="518">
        <v>111041</v>
      </c>
      <c r="E12" s="624"/>
      <c r="F12" s="623"/>
    </row>
    <row r="13" spans="1:6" ht="15.75">
      <c r="A13" s="519" t="s">
        <v>494</v>
      </c>
      <c r="B13" s="518" t="s">
        <v>531</v>
      </c>
      <c r="C13" s="518">
        <v>7082</v>
      </c>
      <c r="D13" s="518">
        <v>111042</v>
      </c>
      <c r="E13" s="624">
        <f>('Ardh e shp - natyres'!E30)/1000</f>
        <v>0</v>
      </c>
      <c r="F13" s="624">
        <f>('Ardh e shp - natyres'!F30)/1000</f>
        <v>0</v>
      </c>
    </row>
    <row r="14" spans="1:6" ht="15.75">
      <c r="A14" s="519" t="s">
        <v>527</v>
      </c>
      <c r="B14" s="518" t="s">
        <v>532</v>
      </c>
      <c r="C14" s="518">
        <v>7083</v>
      </c>
      <c r="D14" s="518">
        <v>111043</v>
      </c>
      <c r="E14" s="624"/>
      <c r="F14" s="623"/>
    </row>
    <row r="15" spans="1:6" ht="29.25" customHeight="1">
      <c r="A15" s="522">
        <v>3</v>
      </c>
      <c r="B15" s="523" t="s">
        <v>533</v>
      </c>
      <c r="C15" s="522">
        <v>71</v>
      </c>
      <c r="D15" s="522">
        <v>11201</v>
      </c>
      <c r="E15" s="625">
        <f>(E16-E17)</f>
        <v>0</v>
      </c>
      <c r="F15" s="625">
        <f>F16-F17</f>
        <v>0</v>
      </c>
    </row>
    <row r="16" spans="1:6" ht="15.75">
      <c r="A16" s="518"/>
      <c r="B16" s="524" t="s">
        <v>534</v>
      </c>
      <c r="C16" s="518"/>
      <c r="D16" s="518">
        <v>112011</v>
      </c>
      <c r="E16" s="624">
        <f xml:space="preserve">  ('Ardh e shp - natyres'!E15)/1000</f>
        <v>0</v>
      </c>
      <c r="F16" s="624">
        <f xml:space="preserve">  ('Ardh e shp - natyres'!F15)/1000</f>
        <v>0</v>
      </c>
    </row>
    <row r="17" spans="1:6" ht="23.25" customHeight="1">
      <c r="A17" s="518"/>
      <c r="B17" s="524" t="s">
        <v>535</v>
      </c>
      <c r="C17" s="518"/>
      <c r="D17" s="518">
        <v>112012</v>
      </c>
      <c r="E17" s="624">
        <f xml:space="preserve"> ('Ardh e shp - natyres'!E17)/1000</f>
        <v>0</v>
      </c>
      <c r="F17" s="624">
        <f xml:space="preserve"> ('Ardh e shp - natyres'!F17)/1000</f>
        <v>0</v>
      </c>
    </row>
    <row r="18" spans="1:6" ht="28.5" customHeight="1">
      <c r="A18" s="522">
        <v>4</v>
      </c>
      <c r="B18" s="525" t="s">
        <v>536</v>
      </c>
      <c r="C18" s="522">
        <v>72</v>
      </c>
      <c r="D18" s="522">
        <v>11300</v>
      </c>
      <c r="E18" s="625"/>
      <c r="F18" s="626"/>
    </row>
    <row r="19" spans="1:6" ht="24.75" customHeight="1">
      <c r="A19" s="518"/>
      <c r="B19" s="526" t="s">
        <v>537</v>
      </c>
      <c r="C19" s="518"/>
      <c r="D19" s="518">
        <v>11301</v>
      </c>
      <c r="E19" s="624"/>
      <c r="F19" s="623"/>
    </row>
    <row r="20" spans="1:6" ht="18.75" customHeight="1">
      <c r="A20" s="518">
        <v>5</v>
      </c>
      <c r="B20" s="527" t="s">
        <v>538</v>
      </c>
      <c r="C20" s="518">
        <v>73</v>
      </c>
      <c r="D20" s="518">
        <v>11400</v>
      </c>
      <c r="E20" s="624"/>
      <c r="F20" s="623"/>
    </row>
    <row r="21" spans="1:6" ht="15.75">
      <c r="A21" s="518">
        <v>6</v>
      </c>
      <c r="B21" s="527" t="s">
        <v>539</v>
      </c>
      <c r="C21" s="518">
        <v>75</v>
      </c>
      <c r="D21" s="518">
        <v>11500</v>
      </c>
      <c r="E21" s="624"/>
      <c r="F21" s="623"/>
    </row>
    <row r="22" spans="1:6" ht="27.75" customHeight="1">
      <c r="A22" s="522">
        <v>7</v>
      </c>
      <c r="B22" s="523" t="s">
        <v>540</v>
      </c>
      <c r="C22" s="522">
        <v>77</v>
      </c>
      <c r="D22" s="522">
        <v>11600</v>
      </c>
      <c r="E22" s="625">
        <f>('Ardh e shp - natyres'!E14)/1000</f>
        <v>0</v>
      </c>
      <c r="F22" s="625">
        <f>('Ardh e shp - natyres'!F14)/1000</f>
        <v>0</v>
      </c>
    </row>
    <row r="23" spans="1:6" ht="15.75">
      <c r="A23" s="518"/>
      <c r="B23" s="528" t="s">
        <v>541</v>
      </c>
      <c r="C23" s="528"/>
      <c r="D23" s="518">
        <v>11800</v>
      </c>
      <c r="E23" s="624">
        <f>E7+E11+E15+E18+E20+E21+E22</f>
        <v>13982</v>
      </c>
      <c r="F23" s="624">
        <f>F7+F11+F15+F18+F20+F21+F22</f>
        <v>20101</v>
      </c>
    </row>
    <row r="24" spans="1:6" ht="15">
      <c r="A24" s="515"/>
      <c r="B24" s="515"/>
      <c r="C24" s="515"/>
      <c r="D24" s="515"/>
      <c r="E24" s="622"/>
      <c r="F24" s="622"/>
    </row>
    <row r="25" spans="1:6" ht="15">
      <c r="A25" s="515"/>
      <c r="B25" s="515"/>
      <c r="C25" s="515"/>
      <c r="D25" s="515"/>
      <c r="E25" s="603" t="s">
        <v>516</v>
      </c>
      <c r="F25" s="622"/>
    </row>
    <row r="26" spans="1:6">
      <c r="E26" s="601" t="str">
        <f>'U - statist'!F44</f>
        <v>Esmeralda Muskaj</v>
      </c>
    </row>
  </sheetData>
  <mergeCells count="6">
    <mergeCell ref="A4:F4"/>
    <mergeCell ref="A5:A6"/>
    <mergeCell ref="B5:B6"/>
    <mergeCell ref="C5:C6"/>
    <mergeCell ref="D5:D6"/>
    <mergeCell ref="E5:F5"/>
  </mergeCells>
  <printOptions horizontalCentered="1"/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48"/>
  <sheetViews>
    <sheetView workbookViewId="0">
      <selection activeCell="E8" sqref="E8"/>
    </sheetView>
  </sheetViews>
  <sheetFormatPr defaultRowHeight="12.75"/>
  <cols>
    <col min="1" max="1" width="6.7109375" customWidth="1"/>
    <col min="2" max="2" width="17" customWidth="1"/>
    <col min="3" max="3" width="14.85546875" customWidth="1"/>
    <col min="4" max="4" width="11.5703125" customWidth="1"/>
    <col min="5" max="5" width="12" style="602" customWidth="1"/>
    <col min="6" max="6" width="11.85546875" style="602" customWidth="1"/>
  </cols>
  <sheetData>
    <row r="1" spans="1:6" ht="15">
      <c r="A1" s="543" t="s">
        <v>510</v>
      </c>
      <c r="B1" s="543" t="str">
        <f>'U - statist'!C1</f>
        <v>Eskeld</v>
      </c>
    </row>
    <row r="2" spans="1:6" ht="15">
      <c r="A2" s="515" t="s">
        <v>388</v>
      </c>
      <c r="B2" s="515" t="str">
        <f>'U - statist'!C2</f>
        <v>K86607207N</v>
      </c>
    </row>
    <row r="3" spans="1:6">
      <c r="C3" t="s">
        <v>542</v>
      </c>
      <c r="F3" s="604" t="s">
        <v>518</v>
      </c>
    </row>
    <row r="4" spans="1:6" ht="14.25">
      <c r="A4" s="1605" t="s">
        <v>1</v>
      </c>
      <c r="B4" s="1605" t="s">
        <v>543</v>
      </c>
      <c r="C4" s="1607" t="s">
        <v>521</v>
      </c>
      <c r="D4" s="1607" t="s">
        <v>522</v>
      </c>
      <c r="E4" s="1609" t="s">
        <v>523</v>
      </c>
      <c r="F4" s="1610"/>
    </row>
    <row r="5" spans="1:6" ht="14.25">
      <c r="A5" s="1606"/>
      <c r="B5" s="1606"/>
      <c r="C5" s="1608"/>
      <c r="D5" s="1608"/>
      <c r="E5" s="529">
        <v>2012</v>
      </c>
      <c r="F5" s="529">
        <v>2011</v>
      </c>
    </row>
    <row r="6" spans="1:6" ht="14.25">
      <c r="A6" s="530">
        <v>1</v>
      </c>
      <c r="B6" s="530" t="s">
        <v>544</v>
      </c>
      <c r="C6" s="530">
        <v>60</v>
      </c>
      <c r="D6" s="530">
        <v>12100</v>
      </c>
      <c r="E6" s="571">
        <f>E7+E8+E9+E10+E11</f>
        <v>2597.0736900000011</v>
      </c>
      <c r="F6" s="571">
        <f>F7+F8</f>
        <v>3456.4009999999998</v>
      </c>
    </row>
    <row r="7" spans="1:6" ht="14.25">
      <c r="A7" s="530" t="s">
        <v>493</v>
      </c>
      <c r="B7" s="530" t="s">
        <v>545</v>
      </c>
      <c r="C7" s="531">
        <v>601602</v>
      </c>
      <c r="D7" s="530">
        <f>D6+1</f>
        <v>12101</v>
      </c>
      <c r="E7" s="571">
        <f>S!Q30/1000</f>
        <v>2597.0736900000011</v>
      </c>
      <c r="F7" s="571">
        <f>('Ardh e shp - natyres'!F18+'Stat - Kostot '!F8)/1000</f>
        <v>3456.4009999999998</v>
      </c>
    </row>
    <row r="8" spans="1:6" ht="14.25">
      <c r="A8" s="530" t="s">
        <v>494</v>
      </c>
      <c r="B8" s="532" t="s">
        <v>546</v>
      </c>
      <c r="C8" s="530"/>
      <c r="D8" s="530">
        <f>D7+1</f>
        <v>12102</v>
      </c>
      <c r="E8" s="571">
        <f>('AKTIVI '!F22-'AKTIVI '!E22)/1000</f>
        <v>0</v>
      </c>
      <c r="F8" s="571">
        <f>('AKTIVI '!G22+'AKTIVI '!G25-'AKTIVI '!F25-'AKTIVI '!F22)/1000</f>
        <v>0</v>
      </c>
    </row>
    <row r="9" spans="1:6" ht="14.25">
      <c r="A9" s="530" t="s">
        <v>527</v>
      </c>
      <c r="B9" s="530" t="s">
        <v>547</v>
      </c>
      <c r="C9" s="533" t="s">
        <v>548</v>
      </c>
      <c r="D9" s="530">
        <f>D8+1</f>
        <v>12103</v>
      </c>
      <c r="E9" s="571"/>
      <c r="F9" s="571"/>
    </row>
    <row r="10" spans="1:6" ht="14.25">
      <c r="A10" s="530" t="s">
        <v>549</v>
      </c>
      <c r="B10" s="532" t="s">
        <v>550</v>
      </c>
      <c r="C10" s="533"/>
      <c r="D10" s="530">
        <f>D9+1</f>
        <v>12104</v>
      </c>
      <c r="E10" s="571">
        <f>( 'AKTIVI '!F25-'AKTIVI '!E25)/1000</f>
        <v>0</v>
      </c>
      <c r="F10" s="571"/>
    </row>
    <row r="11" spans="1:6" ht="14.25">
      <c r="A11" s="530" t="s">
        <v>551</v>
      </c>
      <c r="B11" s="530" t="s">
        <v>552</v>
      </c>
      <c r="C11" s="533" t="s">
        <v>553</v>
      </c>
      <c r="D11" s="530">
        <f>D10+1</f>
        <v>12105</v>
      </c>
      <c r="E11" s="571"/>
      <c r="F11" s="571"/>
    </row>
    <row r="12" spans="1:6" ht="14.25">
      <c r="A12" s="532">
        <v>2</v>
      </c>
      <c r="B12" s="532" t="s">
        <v>554</v>
      </c>
      <c r="C12" s="532">
        <v>64</v>
      </c>
      <c r="D12" s="532">
        <v>12200</v>
      </c>
      <c r="E12" s="605">
        <f>(E13+E14)</f>
        <v>8976.0540209999999</v>
      </c>
      <c r="F12" s="605">
        <f>(F13+F14)</f>
        <v>5996.5409999999993</v>
      </c>
    </row>
    <row r="13" spans="1:6" ht="14.25">
      <c r="A13" s="532" t="s">
        <v>493</v>
      </c>
      <c r="B13" s="532" t="s">
        <v>555</v>
      </c>
      <c r="C13" s="532">
        <v>641</v>
      </c>
      <c r="D13" s="532">
        <v>12201</v>
      </c>
      <c r="E13" s="606">
        <f>('Ardh e shp - natyres'!E20)/1000</f>
        <v>7691.5630000000001</v>
      </c>
      <c r="F13" s="606">
        <f>('Ardh e shp - natyres'!F20)/1000</f>
        <v>5138.3459999999995</v>
      </c>
    </row>
    <row r="14" spans="1:6" ht="14.25">
      <c r="A14" s="532" t="s">
        <v>494</v>
      </c>
      <c r="B14" s="532" t="s">
        <v>556</v>
      </c>
      <c r="C14" s="532">
        <v>644</v>
      </c>
      <c r="D14" s="532">
        <v>12202</v>
      </c>
      <c r="E14" s="606">
        <f>('Ardh e shp - natyres'!E21)/1000</f>
        <v>1284.491021</v>
      </c>
      <c r="F14" s="606">
        <f>('Ardh e shp - natyres'!F21)/1000</f>
        <v>858.19500000000005</v>
      </c>
    </row>
    <row r="15" spans="1:6" ht="14.25">
      <c r="A15" s="532">
        <v>3</v>
      </c>
      <c r="B15" s="532" t="s">
        <v>557</v>
      </c>
      <c r="C15" s="532">
        <v>68</v>
      </c>
      <c r="D15" s="532">
        <v>12300</v>
      </c>
      <c r="E15" s="606">
        <f>('Ardh e shp - natyres'!E22)/1000</f>
        <v>758.15200693055567</v>
      </c>
      <c r="F15" s="606">
        <f>('Ardh e shp - natyres'!F22)/1000</f>
        <v>5590.549</v>
      </c>
    </row>
    <row r="16" spans="1:6" ht="14.25">
      <c r="A16" s="532">
        <v>4</v>
      </c>
      <c r="B16" s="532" t="s">
        <v>558</v>
      </c>
      <c r="C16" s="532">
        <v>61</v>
      </c>
      <c r="D16" s="532">
        <v>12400</v>
      </c>
      <c r="E16" s="606">
        <f>E17+E18+E19+E20+E21+E22+E23+E24+E25+E26+E27+E28</f>
        <v>1.1641532182693482E-13</v>
      </c>
      <c r="F16" s="606">
        <f>F17+F18+F19+F20+F21+F22+F23+F24+F25+F26+F27+F28</f>
        <v>1356.521</v>
      </c>
    </row>
    <row r="17" spans="1:6" ht="14.25">
      <c r="A17" s="532" t="s">
        <v>493</v>
      </c>
      <c r="B17" s="532" t="s">
        <v>559</v>
      </c>
      <c r="C17" s="532"/>
      <c r="D17" s="532">
        <f>D16+1</f>
        <v>12401</v>
      </c>
      <c r="E17" s="606"/>
      <c r="F17" s="605"/>
    </row>
    <row r="18" spans="1:6" ht="14.25">
      <c r="A18" s="532" t="s">
        <v>494</v>
      </c>
      <c r="B18" s="532" t="s">
        <v>560</v>
      </c>
      <c r="C18" s="532">
        <v>611</v>
      </c>
      <c r="D18" s="532">
        <f t="shared" ref="D18:D28" si="0">D17+1</f>
        <v>12402</v>
      </c>
      <c r="E18" s="606">
        <f>('Ardh e shp - natyres'!E24)/1000</f>
        <v>1.1641532182693482E-13</v>
      </c>
      <c r="F18" s="606">
        <f>('Ardh e shp - natyres'!F24)/1000</f>
        <v>1356.521</v>
      </c>
    </row>
    <row r="19" spans="1:6" ht="14.25">
      <c r="A19" s="532" t="s">
        <v>527</v>
      </c>
      <c r="B19" s="532" t="s">
        <v>530</v>
      </c>
      <c r="C19" s="532">
        <v>613</v>
      </c>
      <c r="D19" s="532">
        <f t="shared" si="0"/>
        <v>12403</v>
      </c>
      <c r="E19" s="606"/>
      <c r="F19" s="605"/>
    </row>
    <row r="20" spans="1:6" ht="14.25">
      <c r="A20" s="532" t="s">
        <v>549</v>
      </c>
      <c r="B20" s="532" t="s">
        <v>561</v>
      </c>
      <c r="C20" s="532">
        <v>615</v>
      </c>
      <c r="D20" s="532">
        <f t="shared" si="0"/>
        <v>12404</v>
      </c>
      <c r="E20" s="606">
        <f>('Ardh e shp - natyres'!E25)/1000</f>
        <v>0</v>
      </c>
      <c r="F20" s="606">
        <f>('Ardh e shp - natyres'!F25)/1000</f>
        <v>0</v>
      </c>
    </row>
    <row r="21" spans="1:6" ht="14.25">
      <c r="A21" s="532" t="s">
        <v>551</v>
      </c>
      <c r="B21" s="532" t="s">
        <v>562</v>
      </c>
      <c r="C21" s="532">
        <v>616</v>
      </c>
      <c r="D21" s="532">
        <f t="shared" si="0"/>
        <v>12405</v>
      </c>
      <c r="E21" s="606"/>
      <c r="F21" s="605"/>
    </row>
    <row r="22" spans="1:6" ht="14.25">
      <c r="A22" s="532" t="s">
        <v>563</v>
      </c>
      <c r="B22" s="532" t="s">
        <v>564</v>
      </c>
      <c r="C22" s="532">
        <v>617</v>
      </c>
      <c r="D22" s="532">
        <f t="shared" si="0"/>
        <v>12406</v>
      </c>
      <c r="E22" s="606"/>
      <c r="F22" s="605"/>
    </row>
    <row r="23" spans="1:6" ht="14.25">
      <c r="A23" s="532" t="s">
        <v>565</v>
      </c>
      <c r="B23" s="532" t="s">
        <v>566</v>
      </c>
      <c r="C23" s="532">
        <v>618</v>
      </c>
      <c r="D23" s="532">
        <f t="shared" si="0"/>
        <v>12407</v>
      </c>
      <c r="E23" s="606"/>
      <c r="F23" s="605"/>
    </row>
    <row r="24" spans="1:6" ht="14.25">
      <c r="A24" s="532" t="s">
        <v>567</v>
      </c>
      <c r="B24" s="532" t="s">
        <v>568</v>
      </c>
      <c r="C24" s="532">
        <v>623</v>
      </c>
      <c r="D24" s="532">
        <f t="shared" si="0"/>
        <v>12408</v>
      </c>
      <c r="E24" s="606"/>
      <c r="F24" s="607"/>
    </row>
    <row r="25" spans="1:6" ht="14.25">
      <c r="A25" s="532" t="s">
        <v>569</v>
      </c>
      <c r="B25" s="532" t="s">
        <v>570</v>
      </c>
      <c r="C25" s="532">
        <v>624</v>
      </c>
      <c r="D25" s="532">
        <f t="shared" si="0"/>
        <v>12409</v>
      </c>
      <c r="E25" s="605"/>
      <c r="F25" s="605"/>
    </row>
    <row r="26" spans="1:6" ht="14.25">
      <c r="A26" s="532" t="s">
        <v>571</v>
      </c>
      <c r="B26" s="532" t="s">
        <v>572</v>
      </c>
      <c r="C26" s="532">
        <v>625</v>
      </c>
      <c r="D26" s="532">
        <f t="shared" si="0"/>
        <v>12410</v>
      </c>
      <c r="E26" s="605"/>
      <c r="F26" s="605"/>
    </row>
    <row r="27" spans="1:6" ht="14.25">
      <c r="A27" s="532" t="s">
        <v>573</v>
      </c>
      <c r="B27" s="532" t="s">
        <v>574</v>
      </c>
      <c r="C27" s="532">
        <v>626</v>
      </c>
      <c r="D27" s="532">
        <f t="shared" si="0"/>
        <v>12411</v>
      </c>
      <c r="E27" s="605"/>
      <c r="F27" s="605"/>
    </row>
    <row r="28" spans="1:6" ht="14.25">
      <c r="A28" s="532" t="s">
        <v>575</v>
      </c>
      <c r="B28" s="532" t="s">
        <v>576</v>
      </c>
      <c r="C28" s="532">
        <v>627</v>
      </c>
      <c r="D28" s="532">
        <f t="shared" si="0"/>
        <v>12412</v>
      </c>
      <c r="E28" s="605">
        <f>E29+E30</f>
        <v>0</v>
      </c>
      <c r="F28" s="605">
        <f>F29+F30</f>
        <v>0</v>
      </c>
    </row>
    <row r="29" spans="1:6" ht="14.25">
      <c r="A29" s="532"/>
      <c r="B29" s="535" t="s">
        <v>577</v>
      </c>
      <c r="C29" s="532">
        <v>6271</v>
      </c>
      <c r="D29" s="532">
        <v>124121</v>
      </c>
      <c r="E29" s="605"/>
      <c r="F29" s="605"/>
    </row>
    <row r="30" spans="1:6" ht="14.25">
      <c r="A30" s="532"/>
      <c r="B30" s="535" t="s">
        <v>578</v>
      </c>
      <c r="C30" s="532">
        <v>6272</v>
      </c>
      <c r="D30" s="532">
        <v>124122</v>
      </c>
      <c r="E30" s="605"/>
      <c r="F30" s="605"/>
    </row>
    <row r="31" spans="1:6" ht="14.25">
      <c r="A31" s="532" t="s">
        <v>579</v>
      </c>
      <c r="B31" s="532" t="s">
        <v>580</v>
      </c>
      <c r="C31" s="532">
        <v>628</v>
      </c>
      <c r="D31" s="532">
        <v>12413</v>
      </c>
      <c r="E31" s="605"/>
      <c r="F31" s="605"/>
    </row>
    <row r="32" spans="1:6" ht="14.25">
      <c r="A32" s="532">
        <v>5</v>
      </c>
      <c r="B32" s="532" t="s">
        <v>581</v>
      </c>
      <c r="C32" s="532">
        <v>63</v>
      </c>
      <c r="D32" s="532">
        <v>12500</v>
      </c>
      <c r="E32" s="606"/>
      <c r="F32" s="605"/>
    </row>
    <row r="33" spans="1:6" ht="14.25">
      <c r="A33" s="530" t="s">
        <v>493</v>
      </c>
      <c r="B33" s="532" t="s">
        <v>582</v>
      </c>
      <c r="C33" s="532">
        <v>632</v>
      </c>
      <c r="D33" s="532">
        <f>D32+1</f>
        <v>12501</v>
      </c>
      <c r="E33" s="606"/>
      <c r="F33" s="605"/>
    </row>
    <row r="34" spans="1:6" ht="14.25">
      <c r="A34" s="530" t="s">
        <v>494</v>
      </c>
      <c r="B34" s="532" t="s">
        <v>583</v>
      </c>
      <c r="C34" s="532">
        <v>633</v>
      </c>
      <c r="D34" s="532">
        <f>D33+1</f>
        <v>12502</v>
      </c>
      <c r="E34" s="605"/>
      <c r="F34" s="605"/>
    </row>
    <row r="35" spans="1:6" ht="14.25">
      <c r="A35" s="530" t="s">
        <v>527</v>
      </c>
      <c r="B35" s="532" t="s">
        <v>584</v>
      </c>
      <c r="C35" s="532">
        <v>634</v>
      </c>
      <c r="D35" s="532">
        <f>D34+1</f>
        <v>12503</v>
      </c>
      <c r="E35" s="606"/>
      <c r="F35" s="605"/>
    </row>
    <row r="36" spans="1:6" ht="14.25">
      <c r="A36" s="530" t="s">
        <v>549</v>
      </c>
      <c r="B36" s="532" t="s">
        <v>585</v>
      </c>
      <c r="C36" s="534">
        <v>635638</v>
      </c>
      <c r="D36" s="532">
        <f>D35+1</f>
        <v>12504</v>
      </c>
      <c r="E36" s="606"/>
      <c r="F36" s="605"/>
    </row>
    <row r="37" spans="1:6" ht="14.25">
      <c r="A37" s="536"/>
      <c r="B37" s="532" t="s">
        <v>586</v>
      </c>
      <c r="C37" s="536"/>
      <c r="D37" s="532">
        <f>D36+1</f>
        <v>12505</v>
      </c>
      <c r="E37" s="606">
        <f>E6+E12+E15+E16+E32</f>
        <v>12331.279717930556</v>
      </c>
      <c r="F37" s="606">
        <f>F6+F12+F15+F16+F32</f>
        <v>16400.011999999999</v>
      </c>
    </row>
    <row r="38" spans="1:6" ht="14.25">
      <c r="A38" s="537"/>
      <c r="B38" s="537"/>
      <c r="C38" s="537"/>
      <c r="D38" s="537"/>
      <c r="E38" s="608"/>
      <c r="F38" s="609"/>
    </row>
    <row r="39" spans="1:6" ht="14.25">
      <c r="A39" s="538"/>
      <c r="B39" s="532" t="s">
        <v>587</v>
      </c>
      <c r="C39" s="538"/>
      <c r="D39" s="538"/>
      <c r="E39" s="529">
        <v>2012</v>
      </c>
      <c r="F39" s="529">
        <v>2011</v>
      </c>
    </row>
    <row r="40" spans="1:6" ht="14.25">
      <c r="A40" s="536">
        <v>1</v>
      </c>
      <c r="B40" s="532" t="s">
        <v>588</v>
      </c>
      <c r="C40" s="536"/>
      <c r="D40" s="536">
        <v>14000</v>
      </c>
      <c r="E40" s="610">
        <f>T!N27/12</f>
        <v>19.416666666666668</v>
      </c>
      <c r="F40" s="611"/>
    </row>
    <row r="41" spans="1:6" ht="14.25">
      <c r="A41" s="536">
        <v>2</v>
      </c>
      <c r="B41" s="532" t="s">
        <v>589</v>
      </c>
      <c r="C41" s="536"/>
      <c r="D41" s="536">
        <v>15000</v>
      </c>
      <c r="E41" s="610"/>
      <c r="F41" s="611"/>
    </row>
    <row r="42" spans="1:6" ht="14.25">
      <c r="A42" s="538" t="s">
        <v>493</v>
      </c>
      <c r="B42" s="539" t="s">
        <v>590</v>
      </c>
      <c r="C42" s="538"/>
      <c r="D42" s="536">
        <v>15001</v>
      </c>
      <c r="E42" s="612"/>
      <c r="F42" s="612"/>
    </row>
    <row r="43" spans="1:6" ht="14.25">
      <c r="A43" s="538"/>
      <c r="B43" s="540" t="s">
        <v>591</v>
      </c>
      <c r="C43" s="538"/>
      <c r="D43" s="536">
        <v>150011</v>
      </c>
      <c r="E43" s="612"/>
      <c r="F43" s="612"/>
    </row>
    <row r="44" spans="1:6" ht="14.25">
      <c r="A44" s="538" t="s">
        <v>494</v>
      </c>
      <c r="B44" s="539" t="s">
        <v>592</v>
      </c>
      <c r="C44" s="538"/>
      <c r="D44" s="536">
        <v>15002</v>
      </c>
      <c r="E44" s="612"/>
      <c r="F44" s="612"/>
    </row>
    <row r="45" spans="1:6" ht="14.25">
      <c r="A45" s="538"/>
      <c r="B45" s="540" t="s">
        <v>593</v>
      </c>
      <c r="C45" s="538"/>
      <c r="D45" s="536">
        <v>150021</v>
      </c>
      <c r="E45" s="612"/>
      <c r="F45" s="612"/>
    </row>
    <row r="47" spans="1:6" ht="15">
      <c r="C47" s="1604" t="s">
        <v>516</v>
      </c>
      <c r="D47" s="1604"/>
      <c r="E47" s="1604"/>
      <c r="F47" s="1604"/>
    </row>
    <row r="48" spans="1:6">
      <c r="C48" s="19"/>
      <c r="D48" s="19" t="str">
        <f>'Stat - te ardhur'!E26</f>
        <v>Esmeralda Muskaj</v>
      </c>
      <c r="E48" s="601"/>
      <c r="F48" s="601"/>
    </row>
  </sheetData>
  <mergeCells count="6">
    <mergeCell ref="C47:F47"/>
    <mergeCell ref="A4:A5"/>
    <mergeCell ref="B4:B5"/>
    <mergeCell ref="C4:C5"/>
    <mergeCell ref="D4:D5"/>
    <mergeCell ref="E4:F4"/>
  </mergeCells>
  <printOptions horizontalCentered="1"/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D53"/>
  <sheetViews>
    <sheetView topLeftCell="A25" workbookViewId="0">
      <selection activeCell="H37" sqref="H37"/>
    </sheetView>
  </sheetViews>
  <sheetFormatPr defaultRowHeight="12.75"/>
  <cols>
    <col min="1" max="1" width="6.85546875" customWidth="1"/>
    <col min="2" max="2" width="7.140625" customWidth="1"/>
    <col min="3" max="3" width="33.5703125" customWidth="1"/>
    <col min="4" max="4" width="16.140625" style="613" customWidth="1"/>
  </cols>
  <sheetData>
    <row r="1" spans="1:4" ht="15">
      <c r="A1" s="1612" t="s">
        <v>510</v>
      </c>
      <c r="B1" s="1612"/>
      <c r="C1" s="19" t="str">
        <f>'U - statist'!C1</f>
        <v>Eskeld</v>
      </c>
    </row>
    <row r="2" spans="1:4" ht="15">
      <c r="A2" s="515" t="s">
        <v>388</v>
      </c>
      <c r="B2" s="515"/>
      <c r="C2" s="19" t="str">
        <f>'U - statist'!C2</f>
        <v>K86607207N</v>
      </c>
    </row>
    <row r="3" spans="1:4" ht="12" customHeight="1">
      <c r="A3" s="515"/>
      <c r="B3" s="515"/>
      <c r="D3" s="613" t="s">
        <v>594</v>
      </c>
    </row>
    <row r="4" spans="1:4" ht="12.75" customHeight="1">
      <c r="A4" s="532" t="s">
        <v>1</v>
      </c>
      <c r="B4" s="532"/>
      <c r="C4" s="532" t="s">
        <v>595</v>
      </c>
      <c r="D4" s="614" t="s">
        <v>596</v>
      </c>
    </row>
    <row r="5" spans="1:4" ht="12.75" customHeight="1">
      <c r="A5" s="532">
        <v>1</v>
      </c>
      <c r="B5" s="536" t="s">
        <v>597</v>
      </c>
      <c r="C5" s="536" t="s">
        <v>598</v>
      </c>
      <c r="D5" s="615"/>
    </row>
    <row r="6" spans="1:4" ht="12.75" customHeight="1">
      <c r="A6" s="532">
        <f>A5+1</f>
        <v>2</v>
      </c>
      <c r="B6" s="536" t="s">
        <v>597</v>
      </c>
      <c r="C6" s="541" t="s">
        <v>599</v>
      </c>
      <c r="D6" s="615"/>
    </row>
    <row r="7" spans="1:4" ht="12.75" customHeight="1">
      <c r="A7" s="532">
        <f t="shared" ref="A7:A12" si="0">A6+1</f>
        <v>3</v>
      </c>
      <c r="B7" s="536" t="s">
        <v>597</v>
      </c>
      <c r="C7" s="541" t="s">
        <v>600</v>
      </c>
      <c r="D7" s="615"/>
    </row>
    <row r="8" spans="1:4" ht="12.75" customHeight="1">
      <c r="A8" s="532">
        <f t="shared" si="0"/>
        <v>4</v>
      </c>
      <c r="B8" s="536" t="s">
        <v>597</v>
      </c>
      <c r="C8" s="541" t="s">
        <v>601</v>
      </c>
      <c r="D8" s="615"/>
    </row>
    <row r="9" spans="1:4" ht="12.75" customHeight="1">
      <c r="A9" s="532">
        <f t="shared" si="0"/>
        <v>5</v>
      </c>
      <c r="B9" s="536" t="s">
        <v>597</v>
      </c>
      <c r="C9" s="541" t="s">
        <v>602</v>
      </c>
      <c r="D9" s="615"/>
    </row>
    <row r="10" spans="1:4" ht="12.75" customHeight="1">
      <c r="A10" s="532">
        <f t="shared" si="0"/>
        <v>6</v>
      </c>
      <c r="B10" s="536" t="s">
        <v>597</v>
      </c>
      <c r="C10" s="541" t="s">
        <v>603</v>
      </c>
      <c r="D10" s="615"/>
    </row>
    <row r="11" spans="1:4" ht="12.75" customHeight="1">
      <c r="A11" s="532">
        <f t="shared" si="0"/>
        <v>7</v>
      </c>
      <c r="B11" s="536" t="s">
        <v>597</v>
      </c>
      <c r="C11" s="541" t="s">
        <v>604</v>
      </c>
      <c r="D11" s="615"/>
    </row>
    <row r="12" spans="1:4" ht="12.75" customHeight="1">
      <c r="A12" s="532">
        <f t="shared" si="0"/>
        <v>8</v>
      </c>
      <c r="B12" s="536" t="s">
        <v>597</v>
      </c>
      <c r="C12" s="541" t="s">
        <v>605</v>
      </c>
      <c r="D12" s="615">
        <f>'Ardh e shp - natyres'!E13</f>
        <v>0</v>
      </c>
    </row>
    <row r="13" spans="1:4" ht="12.75" customHeight="1">
      <c r="A13" s="532" t="s">
        <v>4</v>
      </c>
      <c r="B13" s="532"/>
      <c r="C13" s="542" t="s">
        <v>606</v>
      </c>
      <c r="D13" s="615">
        <f>SUM(D5:D12)</f>
        <v>0</v>
      </c>
    </row>
    <row r="14" spans="1:4" ht="12.75" customHeight="1">
      <c r="A14" s="532">
        <v>9</v>
      </c>
      <c r="B14" s="536" t="s">
        <v>607</v>
      </c>
      <c r="C14" s="541" t="s">
        <v>608</v>
      </c>
      <c r="D14" s="615">
        <f>'Ardh e shp - natyres'!E9+'Ardh e shp - natyres'!E10</f>
        <v>0</v>
      </c>
    </row>
    <row r="15" spans="1:4" ht="12.75" customHeight="1">
      <c r="A15" s="532">
        <f>A14+1</f>
        <v>10</v>
      </c>
      <c r="B15" s="536" t="s">
        <v>607</v>
      </c>
      <c r="C15" s="541" t="s">
        <v>609</v>
      </c>
      <c r="D15" s="615">
        <f>'Ardh e shp - natyres'!E11+'Ardh e shp - natyres'!E12+'Ardh e shp - natyres'!E14</f>
        <v>13982000</v>
      </c>
    </row>
    <row r="16" spans="1:4" ht="12.75" customHeight="1">
      <c r="A16" s="532">
        <f>A15+1</f>
        <v>11</v>
      </c>
      <c r="B16" s="536" t="s">
        <v>607</v>
      </c>
      <c r="C16" s="541" t="s">
        <v>610</v>
      </c>
      <c r="D16" s="616" t="s">
        <v>134</v>
      </c>
    </row>
    <row r="17" spans="1:4" ht="12.75" customHeight="1">
      <c r="A17" s="532" t="s">
        <v>20</v>
      </c>
      <c r="B17" s="532"/>
      <c r="C17" s="542" t="s">
        <v>611</v>
      </c>
      <c r="D17" s="615">
        <f>SUM(D14:D16)</f>
        <v>13982000</v>
      </c>
    </row>
    <row r="18" spans="1:4" ht="12.75" customHeight="1">
      <c r="A18" s="536">
        <v>12</v>
      </c>
      <c r="B18" s="536" t="s">
        <v>612</v>
      </c>
      <c r="C18" s="541" t="s">
        <v>613</v>
      </c>
      <c r="D18" s="615">
        <v>0</v>
      </c>
    </row>
    <row r="19" spans="1:4" ht="12.75" customHeight="1">
      <c r="A19" s="536">
        <f>A18+1</f>
        <v>13</v>
      </c>
      <c r="B19" s="536" t="s">
        <v>612</v>
      </c>
      <c r="C19" s="541" t="s">
        <v>614</v>
      </c>
      <c r="D19" s="615">
        <v>0</v>
      </c>
    </row>
    <row r="20" spans="1:4" ht="12.75" customHeight="1">
      <c r="A20" s="536">
        <f t="shared" ref="A20:A25" si="1">A19+1</f>
        <v>14</v>
      </c>
      <c r="B20" s="536" t="s">
        <v>612</v>
      </c>
      <c r="C20" s="541" t="s">
        <v>615</v>
      </c>
      <c r="D20" s="615">
        <v>0</v>
      </c>
    </row>
    <row r="21" spans="1:4" ht="12.75" customHeight="1">
      <c r="A21" s="536">
        <f t="shared" si="1"/>
        <v>15</v>
      </c>
      <c r="B21" s="536" t="s">
        <v>612</v>
      </c>
      <c r="C21" s="541" t="s">
        <v>616</v>
      </c>
      <c r="D21" s="615">
        <v>0</v>
      </c>
    </row>
    <row r="22" spans="1:4" ht="12.75" customHeight="1">
      <c r="A22" s="536">
        <f t="shared" si="1"/>
        <v>16</v>
      </c>
      <c r="B22" s="536" t="s">
        <v>612</v>
      </c>
      <c r="C22" s="541" t="s">
        <v>617</v>
      </c>
      <c r="D22" s="615">
        <v>0</v>
      </c>
    </row>
    <row r="23" spans="1:4" ht="12.75" customHeight="1">
      <c r="A23" s="536">
        <f t="shared" si="1"/>
        <v>17</v>
      </c>
      <c r="B23" s="536" t="s">
        <v>612</v>
      </c>
      <c r="C23" s="541" t="s">
        <v>618</v>
      </c>
      <c r="D23" s="615">
        <v>0</v>
      </c>
    </row>
    <row r="24" spans="1:4" ht="12.75" customHeight="1">
      <c r="A24" s="536">
        <f t="shared" si="1"/>
        <v>18</v>
      </c>
      <c r="B24" s="536" t="s">
        <v>612</v>
      </c>
      <c r="C24" s="541" t="s">
        <v>619</v>
      </c>
      <c r="D24" s="615">
        <v>0</v>
      </c>
    </row>
    <row r="25" spans="1:4" ht="12.75" customHeight="1">
      <c r="A25" s="536">
        <f t="shared" si="1"/>
        <v>19</v>
      </c>
      <c r="B25" s="536" t="s">
        <v>612</v>
      </c>
      <c r="C25" s="541" t="s">
        <v>620</v>
      </c>
      <c r="D25" s="615">
        <v>0</v>
      </c>
    </row>
    <row r="26" spans="1:4" ht="12.75" customHeight="1">
      <c r="A26" s="532" t="s">
        <v>45</v>
      </c>
      <c r="B26" s="532"/>
      <c r="C26" s="542" t="s">
        <v>621</v>
      </c>
      <c r="D26" s="615">
        <f>SUM(D17:D25)</f>
        <v>13982000</v>
      </c>
    </row>
    <row r="27" spans="1:4" ht="12.75" customHeight="1">
      <c r="A27" s="536">
        <v>20</v>
      </c>
      <c r="B27" s="536" t="s">
        <v>622</v>
      </c>
      <c r="C27" s="541" t="s">
        <v>623</v>
      </c>
      <c r="D27" s="615"/>
    </row>
    <row r="28" spans="1:4" ht="12.75" customHeight="1">
      <c r="A28" s="536">
        <f>A27+1</f>
        <v>21</v>
      </c>
      <c r="B28" s="536" t="s">
        <v>622</v>
      </c>
      <c r="C28" s="541" t="s">
        <v>624</v>
      </c>
      <c r="D28" s="615"/>
    </row>
    <row r="29" spans="1:4" ht="12.75" customHeight="1">
      <c r="A29" s="536">
        <f>A28+1</f>
        <v>22</v>
      </c>
      <c r="B29" s="536" t="s">
        <v>622</v>
      </c>
      <c r="C29" s="541" t="s">
        <v>625</v>
      </c>
      <c r="D29" s="615"/>
    </row>
    <row r="30" spans="1:4" ht="12.75" customHeight="1">
      <c r="A30" s="536">
        <f>A29+1</f>
        <v>23</v>
      </c>
      <c r="B30" s="536" t="s">
        <v>622</v>
      </c>
      <c r="C30" s="541" t="s">
        <v>626</v>
      </c>
      <c r="D30" s="615">
        <v>0</v>
      </c>
    </row>
    <row r="31" spans="1:4" ht="12.75" customHeight="1">
      <c r="A31" s="532" t="s">
        <v>627</v>
      </c>
      <c r="B31" s="532"/>
      <c r="C31" s="542" t="s">
        <v>628</v>
      </c>
      <c r="D31" s="615">
        <f>SUM(D27:D30)</f>
        <v>0</v>
      </c>
    </row>
    <row r="32" spans="1:4" ht="12.75" customHeight="1">
      <c r="A32" s="536">
        <v>24</v>
      </c>
      <c r="B32" s="536" t="s">
        <v>629</v>
      </c>
      <c r="C32" s="541" t="s">
        <v>630</v>
      </c>
      <c r="D32" s="617"/>
    </row>
    <row r="33" spans="1:4" ht="12.75" customHeight="1">
      <c r="A33" s="536">
        <f>A32+1</f>
        <v>25</v>
      </c>
      <c r="B33" s="536" t="s">
        <v>629</v>
      </c>
      <c r="C33" s="541" t="s">
        <v>631</v>
      </c>
      <c r="D33" s="617"/>
    </row>
    <row r="34" spans="1:4" ht="12.75" customHeight="1">
      <c r="A34" s="536">
        <f t="shared" ref="A34:A42" si="2">A33+1</f>
        <v>26</v>
      </c>
      <c r="B34" s="536" t="s">
        <v>629</v>
      </c>
      <c r="C34" s="541" t="s">
        <v>632</v>
      </c>
      <c r="D34" s="617"/>
    </row>
    <row r="35" spans="1:4" ht="12.75" customHeight="1">
      <c r="A35" s="536">
        <f t="shared" si="2"/>
        <v>27</v>
      </c>
      <c r="B35" s="536" t="s">
        <v>629</v>
      </c>
      <c r="C35" s="541" t="s">
        <v>633</v>
      </c>
      <c r="D35" s="617"/>
    </row>
    <row r="36" spans="1:4" ht="12.75" customHeight="1">
      <c r="A36" s="536">
        <f t="shared" si="2"/>
        <v>28</v>
      </c>
      <c r="B36" s="536" t="s">
        <v>629</v>
      </c>
      <c r="C36" s="541" t="s">
        <v>634</v>
      </c>
      <c r="D36" s="617"/>
    </row>
    <row r="37" spans="1:4" ht="12.75" customHeight="1">
      <c r="A37" s="536">
        <f t="shared" si="2"/>
        <v>29</v>
      </c>
      <c r="B37" s="536" t="s">
        <v>629</v>
      </c>
      <c r="C37" s="541" t="s">
        <v>635</v>
      </c>
      <c r="D37" s="617"/>
    </row>
    <row r="38" spans="1:4" ht="12.75" customHeight="1">
      <c r="A38" s="536">
        <f t="shared" si="2"/>
        <v>30</v>
      </c>
      <c r="B38" s="536" t="s">
        <v>629</v>
      </c>
      <c r="C38" s="541" t="s">
        <v>636</v>
      </c>
      <c r="D38" s="617"/>
    </row>
    <row r="39" spans="1:4" ht="12.75" customHeight="1">
      <c r="A39" s="536">
        <f t="shared" si="2"/>
        <v>31</v>
      </c>
      <c r="B39" s="536" t="s">
        <v>629</v>
      </c>
      <c r="C39" s="541" t="s">
        <v>637</v>
      </c>
      <c r="D39" s="617"/>
    </row>
    <row r="40" spans="1:4" ht="12.75" customHeight="1">
      <c r="A40" s="536">
        <f t="shared" si="2"/>
        <v>32</v>
      </c>
      <c r="B40" s="536" t="s">
        <v>629</v>
      </c>
      <c r="C40" s="541" t="s">
        <v>638</v>
      </c>
      <c r="D40" s="617"/>
    </row>
    <row r="41" spans="1:4" ht="12.75" customHeight="1">
      <c r="A41" s="536">
        <f t="shared" si="2"/>
        <v>33</v>
      </c>
      <c r="B41" s="536" t="s">
        <v>629</v>
      </c>
      <c r="C41" s="541" t="s">
        <v>639</v>
      </c>
      <c r="D41" s="617"/>
    </row>
    <row r="42" spans="1:4" ht="12.75" customHeight="1">
      <c r="A42" s="536">
        <f t="shared" si="2"/>
        <v>34</v>
      </c>
      <c r="B42" s="536" t="s">
        <v>629</v>
      </c>
      <c r="C42" s="541" t="s">
        <v>566</v>
      </c>
      <c r="D42" s="617">
        <v>0</v>
      </c>
    </row>
    <row r="43" spans="1:4" ht="12.75" customHeight="1">
      <c r="A43" s="532" t="s">
        <v>160</v>
      </c>
      <c r="B43" s="532"/>
      <c r="C43" s="542" t="s">
        <v>640</v>
      </c>
      <c r="D43" s="615">
        <f>SUM(D32:D42)</f>
        <v>0</v>
      </c>
    </row>
    <row r="44" spans="1:4" ht="3.75" customHeight="1">
      <c r="A44" s="1"/>
      <c r="B44" s="1"/>
      <c r="C44" s="1"/>
      <c r="D44" s="618"/>
    </row>
    <row r="45" spans="1:4" ht="14.25">
      <c r="A45" s="1"/>
      <c r="B45" s="530" t="s">
        <v>790</v>
      </c>
      <c r="C45" s="22"/>
      <c r="D45" s="570" t="s">
        <v>641</v>
      </c>
    </row>
    <row r="46" spans="1:4" ht="14.25">
      <c r="B46" s="1611" t="s">
        <v>642</v>
      </c>
      <c r="C46" s="1611"/>
      <c r="D46" s="610"/>
    </row>
    <row r="47" spans="1:4" ht="14.25">
      <c r="B47" s="1611" t="s">
        <v>643</v>
      </c>
      <c r="C47" s="1611"/>
      <c r="D47" s="610"/>
    </row>
    <row r="48" spans="1:4" ht="14.25">
      <c r="B48" s="1611" t="s">
        <v>644</v>
      </c>
      <c r="C48" s="1611"/>
      <c r="D48" s="619"/>
    </row>
    <row r="49" spans="2:4" ht="14.25">
      <c r="B49" s="1611" t="s">
        <v>645</v>
      </c>
      <c r="C49" s="1611"/>
      <c r="D49" s="619"/>
    </row>
    <row r="50" spans="2:4" ht="14.25">
      <c r="B50" s="1611" t="s">
        <v>646</v>
      </c>
      <c r="C50" s="1611"/>
      <c r="D50" s="619"/>
    </row>
    <row r="51" spans="2:4">
      <c r="B51" s="1611" t="s">
        <v>647</v>
      </c>
      <c r="C51" s="1611"/>
      <c r="D51" s="615"/>
    </row>
    <row r="52" spans="2:4" ht="15">
      <c r="D52" s="620" t="s">
        <v>516</v>
      </c>
    </row>
    <row r="53" spans="2:4">
      <c r="D53" s="621" t="str">
        <f>'Stat - Kostot '!D48</f>
        <v>Esmeralda Muskaj</v>
      </c>
    </row>
  </sheetData>
  <mergeCells count="7">
    <mergeCell ref="B51:C51"/>
    <mergeCell ref="A1:B1"/>
    <mergeCell ref="B46:C46"/>
    <mergeCell ref="B47:C47"/>
    <mergeCell ref="B48:C48"/>
    <mergeCell ref="B49:C49"/>
    <mergeCell ref="B50:C50"/>
  </mergeCells>
  <printOptions horizontalCentered="1"/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2:W299"/>
  <sheetViews>
    <sheetView topLeftCell="D1" workbookViewId="0">
      <selection activeCell="P38" sqref="P38"/>
    </sheetView>
  </sheetViews>
  <sheetFormatPr defaultRowHeight="12.75"/>
  <cols>
    <col min="1" max="1" width="9" style="735" customWidth="1"/>
    <col min="2" max="2" width="15.7109375" style="735" customWidth="1"/>
    <col min="3" max="3" width="12.7109375" style="735" customWidth="1"/>
    <col min="4" max="5" width="9.140625" style="735"/>
    <col min="6" max="7" width="10.28515625" style="735" bestFit="1" customWidth="1"/>
    <col min="8" max="17" width="9.140625" style="735"/>
    <col min="18" max="18" width="10.28515625" style="735" bestFit="1" customWidth="1"/>
    <col min="19" max="23" width="9.140625" style="735"/>
  </cols>
  <sheetData>
    <row r="2" spans="1:23">
      <c r="A2" s="1207"/>
      <c r="C2" s="120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</row>
    <row r="3" spans="1:23">
      <c r="A3" s="1207"/>
      <c r="C3" s="120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</row>
    <row r="4" spans="1:23">
      <c r="A4" s="1207"/>
      <c r="C4" s="120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</row>
    <row r="5" spans="1:23" ht="13.5" thickBot="1">
      <c r="A5" s="1207"/>
      <c r="C5" s="120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</row>
    <row r="6" spans="1:23" ht="13.5" thickBot="1">
      <c r="A6" s="1208" t="s">
        <v>1179</v>
      </c>
      <c r="B6" s="1209" t="s">
        <v>1180</v>
      </c>
      <c r="C6" s="1209" t="s">
        <v>1181</v>
      </c>
      <c r="D6" s="1209" t="s">
        <v>1182</v>
      </c>
      <c r="E6" s="1209">
        <v>411</v>
      </c>
      <c r="F6" s="1209">
        <v>581</v>
      </c>
      <c r="G6" s="1209">
        <v>7</v>
      </c>
      <c r="H6" s="1209">
        <v>7</v>
      </c>
      <c r="I6" s="1209" t="s">
        <v>1183</v>
      </c>
      <c r="J6" s="1209">
        <v>628</v>
      </c>
      <c r="K6" s="1209">
        <v>581</v>
      </c>
      <c r="L6" s="1209">
        <v>401</v>
      </c>
      <c r="M6" s="1209">
        <v>421</v>
      </c>
      <c r="N6" s="1209">
        <v>431</v>
      </c>
      <c r="O6" s="1209">
        <v>442</v>
      </c>
      <c r="P6" s="1209">
        <v>444</v>
      </c>
      <c r="Q6" s="1209">
        <v>634</v>
      </c>
      <c r="R6" s="1209" t="s">
        <v>1184</v>
      </c>
      <c r="S6" s="1209" t="s">
        <v>840</v>
      </c>
      <c r="T6" s="1209">
        <v>66</v>
      </c>
      <c r="U6" s="1209"/>
      <c r="V6" s="1209"/>
      <c r="W6" s="1210"/>
    </row>
    <row r="7" spans="1:23">
      <c r="A7" s="1211" t="s">
        <v>1185</v>
      </c>
      <c r="B7" s="741" t="s">
        <v>1186</v>
      </c>
      <c r="C7" s="1212">
        <v>1872.87</v>
      </c>
      <c r="D7" s="1213"/>
      <c r="E7" s="559"/>
      <c r="F7" s="559"/>
      <c r="G7" s="559"/>
      <c r="H7" s="559"/>
      <c r="I7" s="1213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743"/>
    </row>
    <row r="8" spans="1:23">
      <c r="A8" s="1214">
        <v>29.02</v>
      </c>
      <c r="B8" s="261" t="s">
        <v>1188</v>
      </c>
      <c r="C8" s="1215">
        <f>+C7+D8-I8</f>
        <v>1522.87</v>
      </c>
      <c r="D8" s="1117">
        <f>SUM(E8:H8)</f>
        <v>0</v>
      </c>
      <c r="E8" s="121"/>
      <c r="F8" s="121"/>
      <c r="G8" s="121"/>
      <c r="H8" s="121"/>
      <c r="I8" s="1117">
        <f>SUM(J8:W8)</f>
        <v>350</v>
      </c>
      <c r="J8" s="121">
        <v>350</v>
      </c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5"/>
    </row>
    <row r="9" spans="1:23">
      <c r="A9" s="1214">
        <v>8.0299999999999994</v>
      </c>
      <c r="B9" s="261" t="s">
        <v>1195</v>
      </c>
      <c r="C9" s="1215">
        <f t="shared" ref="C9:C72" si="0">+C8+D9-I9</f>
        <v>993522.87</v>
      </c>
      <c r="D9" s="1117">
        <f t="shared" ref="D9:D72" si="1">SUM(E9:H9)</f>
        <v>992000</v>
      </c>
      <c r="E9" s="121"/>
      <c r="F9" s="121"/>
      <c r="G9" s="121"/>
      <c r="H9" s="121">
        <v>992000</v>
      </c>
      <c r="I9" s="1117">
        <f t="shared" ref="I9:I72" si="2">SUM(J9:W9)</f>
        <v>0</v>
      </c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5"/>
    </row>
    <row r="10" spans="1:23">
      <c r="A10" s="1214">
        <v>30.03</v>
      </c>
      <c r="B10" s="261" t="s">
        <v>1195</v>
      </c>
      <c r="C10" s="1215">
        <f t="shared" si="0"/>
        <v>993172.87</v>
      </c>
      <c r="D10" s="1117">
        <f t="shared" si="1"/>
        <v>0</v>
      </c>
      <c r="E10" s="121"/>
      <c r="F10" s="121"/>
      <c r="G10" s="121"/>
      <c r="H10" s="121"/>
      <c r="I10" s="1117">
        <f t="shared" si="2"/>
        <v>350</v>
      </c>
      <c r="J10" s="121">
        <v>350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5"/>
    </row>
    <row r="11" spans="1:23">
      <c r="A11" s="1214">
        <v>6.04</v>
      </c>
      <c r="B11" s="261" t="s">
        <v>1196</v>
      </c>
      <c r="C11" s="1215">
        <f t="shared" si="0"/>
        <v>13172.869999999995</v>
      </c>
      <c r="D11" s="1117">
        <f t="shared" si="1"/>
        <v>0</v>
      </c>
      <c r="E11" s="121"/>
      <c r="F11" s="121"/>
      <c r="G11" s="121"/>
      <c r="H11" s="121"/>
      <c r="I11" s="1117">
        <f t="shared" si="2"/>
        <v>980000</v>
      </c>
      <c r="J11" s="121"/>
      <c r="K11" s="121">
        <v>980000</v>
      </c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5"/>
    </row>
    <row r="12" spans="1:23">
      <c r="A12" s="1214">
        <v>6.04</v>
      </c>
      <c r="B12" s="261" t="s">
        <v>1196</v>
      </c>
      <c r="C12" s="1215">
        <f t="shared" si="0"/>
        <v>5022.8699999999953</v>
      </c>
      <c r="D12" s="1117">
        <f t="shared" si="1"/>
        <v>0</v>
      </c>
      <c r="E12" s="121"/>
      <c r="F12" s="121"/>
      <c r="G12" s="121"/>
      <c r="H12" s="121"/>
      <c r="I12" s="1117">
        <f t="shared" si="2"/>
        <v>8150</v>
      </c>
      <c r="J12" s="121"/>
      <c r="K12" s="121">
        <v>8150</v>
      </c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5"/>
    </row>
    <row r="13" spans="1:23">
      <c r="A13" s="1214">
        <v>7.04</v>
      </c>
      <c r="B13" s="261" t="s">
        <v>1197</v>
      </c>
      <c r="C13" s="1215">
        <f t="shared" si="0"/>
        <v>805022.87</v>
      </c>
      <c r="D13" s="1117">
        <f t="shared" si="1"/>
        <v>800000</v>
      </c>
      <c r="E13" s="121"/>
      <c r="F13" s="121"/>
      <c r="G13" s="121"/>
      <c r="H13" s="121">
        <v>800000</v>
      </c>
      <c r="I13" s="1117">
        <f t="shared" si="2"/>
        <v>0</v>
      </c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5"/>
    </row>
    <row r="14" spans="1:23">
      <c r="A14" s="1214">
        <v>30.04</v>
      </c>
      <c r="B14" s="261" t="s">
        <v>1188</v>
      </c>
      <c r="C14" s="1215">
        <f t="shared" si="0"/>
        <v>804672.87</v>
      </c>
      <c r="D14" s="1117">
        <f t="shared" si="1"/>
        <v>0</v>
      </c>
      <c r="E14" s="121"/>
      <c r="F14" s="121"/>
      <c r="G14" s="121"/>
      <c r="H14" s="121"/>
      <c r="I14" s="1117">
        <f t="shared" si="2"/>
        <v>350</v>
      </c>
      <c r="J14" s="121">
        <v>350</v>
      </c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5"/>
    </row>
    <row r="15" spans="1:23">
      <c r="A15" s="1214">
        <v>30.04</v>
      </c>
      <c r="B15" s="261" t="s">
        <v>1196</v>
      </c>
      <c r="C15" s="1215">
        <f t="shared" si="0"/>
        <v>4672.8699999999953</v>
      </c>
      <c r="D15" s="1117">
        <f t="shared" si="1"/>
        <v>0</v>
      </c>
      <c r="E15" s="121"/>
      <c r="F15" s="121"/>
      <c r="G15" s="121"/>
      <c r="H15" s="121"/>
      <c r="I15" s="1117">
        <f t="shared" si="2"/>
        <v>800000</v>
      </c>
      <c r="J15" s="121"/>
      <c r="K15" s="121">
        <v>800000</v>
      </c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5"/>
    </row>
    <row r="16" spans="1:23">
      <c r="A16" s="1214">
        <v>28.09</v>
      </c>
      <c r="B16" s="261" t="s">
        <v>1188</v>
      </c>
      <c r="C16" s="1215">
        <f t="shared" si="0"/>
        <v>2922.8699999999953</v>
      </c>
      <c r="D16" s="1117">
        <f t="shared" si="1"/>
        <v>0</v>
      </c>
      <c r="E16" s="121"/>
      <c r="F16" s="121"/>
      <c r="G16" s="121"/>
      <c r="H16" s="121"/>
      <c r="I16" s="1117">
        <f t="shared" si="2"/>
        <v>1750</v>
      </c>
      <c r="J16" s="121">
        <f>350*5</f>
        <v>1750</v>
      </c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5"/>
    </row>
    <row r="17" spans="1:23">
      <c r="A17" s="1214">
        <v>18.100000000000001</v>
      </c>
      <c r="B17" s="261" t="s">
        <v>1198</v>
      </c>
      <c r="C17" s="1215">
        <f t="shared" si="0"/>
        <v>772.86999999999534</v>
      </c>
      <c r="D17" s="1117">
        <f t="shared" si="1"/>
        <v>0</v>
      </c>
      <c r="E17" s="121"/>
      <c r="F17" s="121"/>
      <c r="G17" s="121"/>
      <c r="H17" s="121"/>
      <c r="I17" s="1117">
        <f t="shared" si="2"/>
        <v>2150</v>
      </c>
      <c r="J17" s="121"/>
      <c r="K17" s="121"/>
      <c r="L17" s="121"/>
      <c r="M17" s="121"/>
      <c r="N17" s="121"/>
      <c r="O17" s="121"/>
      <c r="P17" s="121"/>
      <c r="Q17" s="121"/>
      <c r="R17" s="121">
        <v>2150</v>
      </c>
      <c r="S17" s="121"/>
      <c r="T17" s="121"/>
      <c r="U17" s="121"/>
      <c r="V17" s="121"/>
      <c r="W17" s="125"/>
    </row>
    <row r="18" spans="1:23">
      <c r="A18" s="1214">
        <v>31.12</v>
      </c>
      <c r="B18" s="261" t="s">
        <v>1188</v>
      </c>
      <c r="C18" s="1215">
        <f t="shared" si="0"/>
        <v>-429.10000000000468</v>
      </c>
      <c r="D18" s="1117">
        <f t="shared" si="1"/>
        <v>0</v>
      </c>
      <c r="E18" s="121"/>
      <c r="F18" s="121"/>
      <c r="G18" s="121"/>
      <c r="H18" s="121"/>
      <c r="I18" s="1117">
        <f t="shared" si="2"/>
        <v>1201.97</v>
      </c>
      <c r="J18" s="121">
        <f>150+350+350+350+1.97</f>
        <v>1201.97</v>
      </c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5"/>
    </row>
    <row r="19" spans="1:23">
      <c r="A19" s="1214"/>
      <c r="B19" s="261"/>
      <c r="C19" s="1215">
        <f t="shared" si="0"/>
        <v>-429.10000000000468</v>
      </c>
      <c r="D19" s="1117">
        <f t="shared" si="1"/>
        <v>0</v>
      </c>
      <c r="E19" s="121"/>
      <c r="F19" s="121"/>
      <c r="G19" s="121"/>
      <c r="H19" s="121"/>
      <c r="I19" s="1117">
        <f t="shared" si="2"/>
        <v>0</v>
      </c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5"/>
    </row>
    <row r="20" spans="1:23">
      <c r="A20" s="1214"/>
      <c r="B20" s="261"/>
      <c r="C20" s="1215">
        <f t="shared" si="0"/>
        <v>-429.10000000000468</v>
      </c>
      <c r="D20" s="1117">
        <f t="shared" si="1"/>
        <v>0</v>
      </c>
      <c r="E20" s="121"/>
      <c r="F20" s="121"/>
      <c r="G20" s="121"/>
      <c r="H20" s="121"/>
      <c r="I20" s="1117">
        <f t="shared" si="2"/>
        <v>0</v>
      </c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5"/>
    </row>
    <row r="21" spans="1:23">
      <c r="A21" s="1214"/>
      <c r="B21" s="261"/>
      <c r="C21" s="1215">
        <f t="shared" si="0"/>
        <v>-429.10000000000468</v>
      </c>
      <c r="D21" s="1117">
        <f t="shared" si="1"/>
        <v>0</v>
      </c>
      <c r="E21" s="121"/>
      <c r="F21" s="121"/>
      <c r="G21" s="121"/>
      <c r="H21" s="121"/>
      <c r="I21" s="1117">
        <f t="shared" si="2"/>
        <v>0</v>
      </c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5"/>
    </row>
    <row r="22" spans="1:23">
      <c r="A22" s="1214"/>
      <c r="B22" s="261"/>
      <c r="C22" s="1215">
        <f t="shared" si="0"/>
        <v>-429.10000000000468</v>
      </c>
      <c r="D22" s="1117">
        <f t="shared" si="1"/>
        <v>0</v>
      </c>
      <c r="E22" s="121"/>
      <c r="F22" s="121"/>
      <c r="G22" s="121"/>
      <c r="H22" s="121"/>
      <c r="I22" s="1117">
        <f t="shared" si="2"/>
        <v>0</v>
      </c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5"/>
    </row>
    <row r="23" spans="1:23">
      <c r="A23" s="1214"/>
      <c r="B23" s="261"/>
      <c r="C23" s="1215">
        <f t="shared" si="0"/>
        <v>-429.10000000000468</v>
      </c>
      <c r="D23" s="1117">
        <f t="shared" si="1"/>
        <v>0</v>
      </c>
      <c r="E23" s="121"/>
      <c r="F23" s="121"/>
      <c r="G23" s="121"/>
      <c r="H23" s="121"/>
      <c r="I23" s="1117">
        <f t="shared" si="2"/>
        <v>0</v>
      </c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5"/>
    </row>
    <row r="24" spans="1:23">
      <c r="A24" s="1214"/>
      <c r="B24" s="261"/>
      <c r="C24" s="1215">
        <f t="shared" si="0"/>
        <v>-429.10000000000468</v>
      </c>
      <c r="D24" s="1117">
        <f t="shared" si="1"/>
        <v>0</v>
      </c>
      <c r="E24" s="121"/>
      <c r="F24" s="121"/>
      <c r="G24" s="121"/>
      <c r="H24" s="121"/>
      <c r="I24" s="1117">
        <f t="shared" si="2"/>
        <v>0</v>
      </c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5"/>
    </row>
    <row r="25" spans="1:23">
      <c r="A25" s="1214"/>
      <c r="B25" s="261"/>
      <c r="C25" s="1215">
        <f t="shared" si="0"/>
        <v>-429.10000000000468</v>
      </c>
      <c r="D25" s="1117">
        <f t="shared" si="1"/>
        <v>0</v>
      </c>
      <c r="E25" s="121"/>
      <c r="F25" s="121"/>
      <c r="G25" s="121"/>
      <c r="H25" s="121"/>
      <c r="I25" s="1117">
        <f t="shared" si="2"/>
        <v>0</v>
      </c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5"/>
    </row>
    <row r="26" spans="1:23">
      <c r="A26" s="1214"/>
      <c r="B26" s="261"/>
      <c r="C26" s="1215">
        <f t="shared" si="0"/>
        <v>-429.10000000000468</v>
      </c>
      <c r="D26" s="1117">
        <f t="shared" si="1"/>
        <v>0</v>
      </c>
      <c r="E26" s="121"/>
      <c r="F26" s="121"/>
      <c r="G26" s="121"/>
      <c r="H26" s="121"/>
      <c r="I26" s="1117">
        <f t="shared" si="2"/>
        <v>0</v>
      </c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5"/>
    </row>
    <row r="27" spans="1:23">
      <c r="A27" s="1214"/>
      <c r="B27" s="261"/>
      <c r="C27" s="1215">
        <f t="shared" si="0"/>
        <v>-429.10000000000468</v>
      </c>
      <c r="D27" s="1117">
        <f t="shared" si="1"/>
        <v>0</v>
      </c>
      <c r="E27" s="121"/>
      <c r="F27" s="121"/>
      <c r="G27" s="121"/>
      <c r="H27" s="121"/>
      <c r="I27" s="1117">
        <f t="shared" si="2"/>
        <v>0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5"/>
    </row>
    <row r="29" spans="1:23">
      <c r="A29" s="1207"/>
      <c r="C29" s="1207"/>
      <c r="D29" s="547"/>
      <c r="E29" s="547"/>
      <c r="F29" s="547"/>
      <c r="G29" s="547"/>
      <c r="H29" s="547"/>
      <c r="I29" s="547"/>
      <c r="J29" s="547"/>
      <c r="K29" s="547"/>
      <c r="L29" s="547"/>
      <c r="M29" s="547"/>
      <c r="N29" s="547"/>
      <c r="O29" s="547"/>
      <c r="P29" s="547"/>
      <c r="Q29" s="547"/>
      <c r="R29" s="547"/>
      <c r="S29" s="547"/>
      <c r="T29" s="547"/>
      <c r="U29" s="547"/>
      <c r="V29" s="547"/>
      <c r="W29" s="547"/>
    </row>
    <row r="30" spans="1:23">
      <c r="A30" s="1207"/>
      <c r="C30" s="120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</row>
    <row r="31" spans="1:23">
      <c r="A31" s="1207"/>
      <c r="C31" s="120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</row>
    <row r="32" spans="1:23" ht="13.5" thickBot="1">
      <c r="A32" s="1207"/>
      <c r="C32" s="1207"/>
      <c r="D32" s="547"/>
      <c r="E32" s="547"/>
      <c r="F32" s="547"/>
      <c r="G32" s="547"/>
      <c r="H32" s="547"/>
      <c r="I32" s="547"/>
      <c r="J32" s="547"/>
      <c r="K32" s="547"/>
      <c r="L32" s="547"/>
      <c r="M32" s="547"/>
      <c r="N32" s="547"/>
      <c r="O32" s="547"/>
      <c r="P32" s="547"/>
      <c r="Q32" s="547"/>
      <c r="R32" s="547"/>
      <c r="S32" s="547"/>
      <c r="T32" s="547"/>
      <c r="U32" s="547"/>
      <c r="V32" s="547"/>
      <c r="W32" s="547"/>
    </row>
    <row r="33" spans="1:23" ht="13.5" thickBot="1">
      <c r="A33" s="1208" t="s">
        <v>1179</v>
      </c>
      <c r="B33" s="1209" t="s">
        <v>1180</v>
      </c>
      <c r="C33" s="1209" t="s">
        <v>1181</v>
      </c>
      <c r="D33" s="1209" t="s">
        <v>1182</v>
      </c>
      <c r="E33" s="1209">
        <v>411</v>
      </c>
      <c r="F33" s="1209">
        <v>581</v>
      </c>
      <c r="G33" s="1209">
        <v>7</v>
      </c>
      <c r="H33" s="1209">
        <v>7</v>
      </c>
      <c r="I33" s="1209" t="s">
        <v>1183</v>
      </c>
      <c r="J33" s="1209">
        <v>628</v>
      </c>
      <c r="K33" s="1209">
        <v>581</v>
      </c>
      <c r="L33" s="1209">
        <v>401</v>
      </c>
      <c r="M33" s="1209">
        <v>421</v>
      </c>
      <c r="N33" s="1209">
        <v>431</v>
      </c>
      <c r="O33" s="1209">
        <v>442</v>
      </c>
      <c r="P33" s="1209">
        <v>444</v>
      </c>
      <c r="Q33" s="1209">
        <v>634</v>
      </c>
      <c r="R33" s="1209" t="s">
        <v>1184</v>
      </c>
      <c r="S33" s="1209" t="s">
        <v>840</v>
      </c>
      <c r="T33" s="1209">
        <v>66</v>
      </c>
      <c r="U33" s="1209"/>
      <c r="V33" s="1209"/>
      <c r="W33" s="1210"/>
    </row>
    <row r="34" spans="1:23">
      <c r="A34" s="1211" t="s">
        <v>1185</v>
      </c>
      <c r="B34" s="741" t="s">
        <v>1186</v>
      </c>
      <c r="C34" s="1212">
        <v>3565514.46</v>
      </c>
      <c r="D34" s="1213"/>
      <c r="E34" s="559"/>
      <c r="F34" s="559"/>
      <c r="G34" s="559"/>
      <c r="H34" s="559"/>
      <c r="I34" s="1213"/>
      <c r="J34" s="559"/>
      <c r="K34" s="559"/>
      <c r="L34" s="559"/>
      <c r="M34" s="559"/>
      <c r="N34" s="559"/>
      <c r="O34" s="559"/>
      <c r="P34" s="559"/>
      <c r="Q34" s="559"/>
      <c r="R34" s="559"/>
      <c r="S34" s="559"/>
      <c r="T34" s="559"/>
      <c r="U34" s="559"/>
      <c r="V34" s="559"/>
      <c r="W34" s="743"/>
    </row>
    <row r="35" spans="1:23">
      <c r="A35" s="1214">
        <v>3.01</v>
      </c>
      <c r="B35" s="261" t="s">
        <v>1184</v>
      </c>
      <c r="C35" s="1215">
        <f>+C34+D35-I35</f>
        <v>785514.46</v>
      </c>
      <c r="D35" s="1117">
        <f>SUM(E35:H35)</f>
        <v>0</v>
      </c>
      <c r="E35" s="121"/>
      <c r="F35" s="121"/>
      <c r="G35" s="121"/>
      <c r="H35" s="121"/>
      <c r="I35" s="1117">
        <f>SUM(J35:W35)</f>
        <v>2780000</v>
      </c>
      <c r="J35" s="121"/>
      <c r="K35" s="121"/>
      <c r="L35" s="121"/>
      <c r="M35" s="121"/>
      <c r="N35" s="121"/>
      <c r="O35" s="121"/>
      <c r="P35" s="121"/>
      <c r="Q35" s="121"/>
      <c r="R35" s="121">
        <v>2780000</v>
      </c>
      <c r="S35" s="121"/>
      <c r="T35" s="121"/>
      <c r="U35" s="121"/>
      <c r="V35" s="121"/>
      <c r="W35" s="125"/>
    </row>
    <row r="36" spans="1:23">
      <c r="A36" s="1214">
        <v>4.01</v>
      </c>
      <c r="B36" s="261" t="s">
        <v>657</v>
      </c>
      <c r="C36" s="1215">
        <f t="shared" ref="C36:C54" si="3">+C35+D36-I36</f>
        <v>460284.45999999996</v>
      </c>
      <c r="D36" s="1117">
        <f t="shared" ref="D36:D54" si="4">SUM(E36:H36)</f>
        <v>0</v>
      </c>
      <c r="E36" s="121"/>
      <c r="F36" s="121"/>
      <c r="G36" s="121"/>
      <c r="H36" s="121"/>
      <c r="I36" s="1117">
        <f t="shared" ref="I36:I54" si="5">SUM(J36:W36)</f>
        <v>325230</v>
      </c>
      <c r="J36" s="121"/>
      <c r="K36" s="121"/>
      <c r="L36" s="121"/>
      <c r="M36" s="121">
        <v>325230</v>
      </c>
      <c r="N36" s="121"/>
      <c r="O36" s="121"/>
      <c r="P36" s="121"/>
      <c r="Q36" s="121"/>
      <c r="R36" s="121"/>
      <c r="S36" s="121"/>
      <c r="T36" s="121"/>
      <c r="U36" s="121"/>
      <c r="V36" s="121"/>
      <c r="W36" s="125"/>
    </row>
    <row r="37" spans="1:23">
      <c r="A37" s="1214">
        <v>4.01</v>
      </c>
      <c r="B37" s="261" t="s">
        <v>1199</v>
      </c>
      <c r="C37" s="1215">
        <f t="shared" si="3"/>
        <v>357658.45999999996</v>
      </c>
      <c r="D37" s="1117">
        <f t="shared" si="4"/>
        <v>0</v>
      </c>
      <c r="E37" s="121"/>
      <c r="F37" s="121"/>
      <c r="G37" s="121"/>
      <c r="H37" s="121"/>
      <c r="I37" s="1117">
        <f t="shared" si="5"/>
        <v>102626</v>
      </c>
      <c r="J37" s="121"/>
      <c r="K37" s="121"/>
      <c r="L37" s="121"/>
      <c r="M37" s="121">
        <v>102626</v>
      </c>
      <c r="N37" s="121"/>
      <c r="O37" s="121"/>
      <c r="P37" s="121"/>
      <c r="Q37" s="121"/>
      <c r="R37" s="121"/>
      <c r="S37" s="121"/>
      <c r="T37" s="121"/>
      <c r="U37" s="121"/>
      <c r="V37" s="121"/>
      <c r="W37" s="125"/>
    </row>
    <row r="38" spans="1:23">
      <c r="A38" s="1214">
        <v>13.01</v>
      </c>
      <c r="B38" s="261" t="s">
        <v>1200</v>
      </c>
      <c r="C38" s="1215">
        <f t="shared" si="3"/>
        <v>337412.45999999996</v>
      </c>
      <c r="D38" s="1117">
        <f t="shared" si="4"/>
        <v>0</v>
      </c>
      <c r="E38" s="121"/>
      <c r="F38" s="121"/>
      <c r="G38" s="121"/>
      <c r="H38" s="121"/>
      <c r="I38" s="1117">
        <f t="shared" si="5"/>
        <v>20246</v>
      </c>
      <c r="J38" s="121"/>
      <c r="K38" s="121"/>
      <c r="L38" s="121"/>
      <c r="M38" s="121"/>
      <c r="N38" s="121"/>
      <c r="O38" s="121"/>
      <c r="P38" s="121">
        <v>20246</v>
      </c>
      <c r="Q38" s="121"/>
      <c r="R38" s="121"/>
      <c r="S38" s="121"/>
      <c r="T38" s="121"/>
      <c r="U38" s="121"/>
      <c r="V38" s="121"/>
      <c r="W38" s="125"/>
    </row>
    <row r="39" spans="1:23">
      <c r="A39" s="1214">
        <v>13.01</v>
      </c>
      <c r="B39" s="261" t="s">
        <v>1201</v>
      </c>
      <c r="C39" s="1215">
        <f t="shared" si="3"/>
        <v>337262.45999999996</v>
      </c>
      <c r="D39" s="1117">
        <f t="shared" si="4"/>
        <v>0</v>
      </c>
      <c r="E39" s="121"/>
      <c r="F39" s="121"/>
      <c r="G39" s="121"/>
      <c r="H39" s="121"/>
      <c r="I39" s="1117">
        <f t="shared" si="5"/>
        <v>150</v>
      </c>
      <c r="J39" s="121">
        <v>150</v>
      </c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5"/>
    </row>
    <row r="40" spans="1:23">
      <c r="A40" s="1214">
        <v>16.010000000000002</v>
      </c>
      <c r="B40" s="261" t="s">
        <v>1202</v>
      </c>
      <c r="C40" s="1215">
        <f t="shared" si="3"/>
        <v>1137262.46</v>
      </c>
      <c r="D40" s="1117">
        <f t="shared" si="4"/>
        <v>800000</v>
      </c>
      <c r="E40" s="121">
        <v>800000</v>
      </c>
      <c r="F40" s="121"/>
      <c r="G40" s="121"/>
      <c r="H40" s="121"/>
      <c r="I40" s="1117">
        <f t="shared" si="5"/>
        <v>0</v>
      </c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5"/>
    </row>
    <row r="41" spans="1:23">
      <c r="A41" s="1214">
        <v>16.010000000000002</v>
      </c>
      <c r="B41" s="261" t="s">
        <v>1189</v>
      </c>
      <c r="C41" s="1215">
        <f t="shared" si="3"/>
        <v>992147.46</v>
      </c>
      <c r="D41" s="1117">
        <f t="shared" si="4"/>
        <v>0</v>
      </c>
      <c r="E41" s="121"/>
      <c r="F41" s="121"/>
      <c r="G41" s="121"/>
      <c r="H41" s="121"/>
      <c r="I41" s="1117">
        <f t="shared" si="5"/>
        <v>145115</v>
      </c>
      <c r="J41" s="121"/>
      <c r="K41" s="121"/>
      <c r="L41" s="121"/>
      <c r="M41" s="121"/>
      <c r="N41" s="121">
        <v>145115</v>
      </c>
      <c r="O41" s="121"/>
      <c r="P41" s="121"/>
      <c r="Q41" s="121"/>
      <c r="R41" s="121"/>
      <c r="S41" s="121"/>
      <c r="T41" s="121"/>
      <c r="U41" s="121"/>
      <c r="V41" s="121"/>
      <c r="W41" s="125"/>
    </row>
    <row r="42" spans="1:23">
      <c r="A42" s="1214">
        <v>16.010000000000002</v>
      </c>
      <c r="B42" s="261" t="s">
        <v>1201</v>
      </c>
      <c r="C42" s="1215">
        <f t="shared" si="3"/>
        <v>991997.46</v>
      </c>
      <c r="D42" s="1117">
        <f t="shared" si="4"/>
        <v>0</v>
      </c>
      <c r="E42" s="121"/>
      <c r="F42" s="121"/>
      <c r="G42" s="121"/>
      <c r="H42" s="121"/>
      <c r="I42" s="1117">
        <f t="shared" si="5"/>
        <v>150</v>
      </c>
      <c r="J42" s="121">
        <v>150</v>
      </c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5"/>
    </row>
    <row r="43" spans="1:23">
      <c r="A43" s="1214">
        <v>16.010000000000002</v>
      </c>
      <c r="B43" s="261" t="s">
        <v>1191</v>
      </c>
      <c r="C43" s="1215">
        <f t="shared" si="3"/>
        <v>957985.46</v>
      </c>
      <c r="D43" s="1117">
        <f t="shared" si="4"/>
        <v>0</v>
      </c>
      <c r="E43" s="121"/>
      <c r="F43" s="121"/>
      <c r="G43" s="121"/>
      <c r="H43" s="121"/>
      <c r="I43" s="1117">
        <f t="shared" si="5"/>
        <v>34012</v>
      </c>
      <c r="J43" s="121"/>
      <c r="K43" s="121"/>
      <c r="L43" s="121"/>
      <c r="M43" s="121"/>
      <c r="N43" s="121"/>
      <c r="O43" s="121">
        <v>34012</v>
      </c>
      <c r="P43" s="121"/>
      <c r="Q43" s="121"/>
      <c r="R43" s="121"/>
      <c r="S43" s="121"/>
      <c r="T43" s="121"/>
      <c r="U43" s="121"/>
      <c r="V43" s="121"/>
      <c r="W43" s="125"/>
    </row>
    <row r="44" spans="1:23">
      <c r="A44" s="1214">
        <v>16.010000000000002</v>
      </c>
      <c r="B44" s="261" t="s">
        <v>1201</v>
      </c>
      <c r="C44" s="1215">
        <f t="shared" si="3"/>
        <v>957735.46</v>
      </c>
      <c r="D44" s="1117">
        <f t="shared" si="4"/>
        <v>0</v>
      </c>
      <c r="E44" s="121"/>
      <c r="F44" s="121"/>
      <c r="G44" s="121"/>
      <c r="H44" s="121"/>
      <c r="I44" s="1117">
        <f t="shared" si="5"/>
        <v>250</v>
      </c>
      <c r="J44" s="121">
        <v>250</v>
      </c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5"/>
    </row>
    <row r="45" spans="1:23">
      <c r="A45" s="1214">
        <v>16.010000000000002</v>
      </c>
      <c r="B45" s="261" t="s">
        <v>1046</v>
      </c>
      <c r="C45" s="1215">
        <f t="shared" si="3"/>
        <v>941708.04999999993</v>
      </c>
      <c r="D45" s="1117">
        <f t="shared" si="4"/>
        <v>0</v>
      </c>
      <c r="E45" s="121"/>
      <c r="F45" s="121"/>
      <c r="G45" s="121"/>
      <c r="H45" s="121"/>
      <c r="I45" s="1117">
        <f t="shared" si="5"/>
        <v>16027.41</v>
      </c>
      <c r="J45" s="121"/>
      <c r="K45" s="121"/>
      <c r="L45" s="121">
        <v>16027.41</v>
      </c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5"/>
    </row>
    <row r="46" spans="1:23">
      <c r="A46" s="1214">
        <v>31.01</v>
      </c>
      <c r="B46" s="261" t="s">
        <v>1201</v>
      </c>
      <c r="C46" s="1215">
        <f t="shared" si="3"/>
        <v>941208.04999999993</v>
      </c>
      <c r="D46" s="1117">
        <f t="shared" si="4"/>
        <v>0</v>
      </c>
      <c r="E46" s="121"/>
      <c r="F46" s="121"/>
      <c r="G46" s="121"/>
      <c r="H46" s="121"/>
      <c r="I46" s="1117">
        <f t="shared" si="5"/>
        <v>500</v>
      </c>
      <c r="J46" s="121">
        <v>500</v>
      </c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5"/>
    </row>
    <row r="47" spans="1:23">
      <c r="A47" s="1214">
        <v>1.02</v>
      </c>
      <c r="B47" s="261" t="s">
        <v>1193</v>
      </c>
      <c r="C47" s="1215">
        <f t="shared" si="3"/>
        <v>350266.04999999993</v>
      </c>
      <c r="D47" s="1117">
        <f t="shared" si="4"/>
        <v>0</v>
      </c>
      <c r="E47" s="121"/>
      <c r="F47" s="121"/>
      <c r="G47" s="121"/>
      <c r="H47" s="121"/>
      <c r="I47" s="1117">
        <f t="shared" si="5"/>
        <v>590942</v>
      </c>
      <c r="J47" s="121"/>
      <c r="K47" s="121"/>
      <c r="L47" s="121"/>
      <c r="M47" s="121">
        <v>590942</v>
      </c>
      <c r="N47" s="121"/>
      <c r="O47" s="121"/>
      <c r="P47" s="121"/>
      <c r="Q47" s="121"/>
      <c r="R47" s="121"/>
      <c r="S47" s="121"/>
      <c r="T47" s="121"/>
      <c r="U47" s="121"/>
      <c r="V47" s="121"/>
      <c r="W47" s="125"/>
    </row>
    <row r="48" spans="1:23">
      <c r="A48" s="1214">
        <v>7.02</v>
      </c>
      <c r="B48" s="261" t="s">
        <v>1196</v>
      </c>
      <c r="C48" s="1215">
        <f t="shared" si="3"/>
        <v>346102.49999999994</v>
      </c>
      <c r="D48" s="1117">
        <f t="shared" si="4"/>
        <v>0</v>
      </c>
      <c r="E48" s="121"/>
      <c r="F48" s="121"/>
      <c r="G48" s="121"/>
      <c r="H48" s="121"/>
      <c r="I48" s="1117">
        <f t="shared" si="5"/>
        <v>4163.5499999999993</v>
      </c>
      <c r="J48" s="121"/>
      <c r="K48" s="121">
        <f>1387.85+2775.7</f>
        <v>4163.5499999999993</v>
      </c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5"/>
    </row>
    <row r="49" spans="1:23">
      <c r="A49" s="1214">
        <v>7.01</v>
      </c>
      <c r="B49" s="261" t="s">
        <v>1203</v>
      </c>
      <c r="C49" s="1215">
        <f t="shared" si="3"/>
        <v>294109.60999999993</v>
      </c>
      <c r="D49" s="1117">
        <f t="shared" si="4"/>
        <v>0</v>
      </c>
      <c r="E49" s="121"/>
      <c r="F49" s="121"/>
      <c r="G49" s="121"/>
      <c r="H49" s="121"/>
      <c r="I49" s="1117">
        <f t="shared" si="5"/>
        <v>51992.89</v>
      </c>
      <c r="J49" s="121"/>
      <c r="K49" s="121"/>
      <c r="L49" s="121">
        <v>51992.89</v>
      </c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5"/>
    </row>
    <row r="50" spans="1:23">
      <c r="A50" s="1214">
        <v>10.02</v>
      </c>
      <c r="B50" s="261" t="s">
        <v>1201</v>
      </c>
      <c r="C50" s="1215">
        <f t="shared" si="3"/>
        <v>294009.60999999993</v>
      </c>
      <c r="D50" s="1117">
        <f t="shared" si="4"/>
        <v>0</v>
      </c>
      <c r="E50" s="121"/>
      <c r="F50" s="121"/>
      <c r="G50" s="121"/>
      <c r="H50" s="121"/>
      <c r="I50" s="1117">
        <f t="shared" si="5"/>
        <v>100</v>
      </c>
      <c r="J50" s="121">
        <v>100</v>
      </c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5"/>
    </row>
    <row r="51" spans="1:23">
      <c r="A51" s="1214">
        <v>10.02</v>
      </c>
      <c r="B51" s="261" t="s">
        <v>1201</v>
      </c>
      <c r="C51" s="1215">
        <f t="shared" si="3"/>
        <v>293909.60999999993</v>
      </c>
      <c r="D51" s="1117">
        <f t="shared" si="4"/>
        <v>0</v>
      </c>
      <c r="E51" s="121"/>
      <c r="F51" s="121"/>
      <c r="G51" s="121"/>
      <c r="H51" s="121"/>
      <c r="I51" s="1117">
        <f t="shared" si="5"/>
        <v>100</v>
      </c>
      <c r="J51" s="121">
        <v>100</v>
      </c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5"/>
    </row>
    <row r="52" spans="1:23">
      <c r="A52" s="1214">
        <v>10.02</v>
      </c>
      <c r="B52" s="261" t="s">
        <v>1204</v>
      </c>
      <c r="C52" s="1215">
        <f t="shared" si="3"/>
        <v>88925.609999999928</v>
      </c>
      <c r="D52" s="1117">
        <f t="shared" si="4"/>
        <v>0</v>
      </c>
      <c r="E52" s="121"/>
      <c r="F52" s="121"/>
      <c r="G52" s="121"/>
      <c r="H52" s="121"/>
      <c r="I52" s="1117">
        <f t="shared" si="5"/>
        <v>204984</v>
      </c>
      <c r="J52" s="121"/>
      <c r="K52" s="121"/>
      <c r="L52" s="121"/>
      <c r="M52" s="121"/>
      <c r="N52" s="121">
        <v>204984</v>
      </c>
      <c r="O52" s="121"/>
      <c r="P52" s="121"/>
      <c r="Q52" s="121"/>
      <c r="R52" s="121"/>
      <c r="S52" s="121"/>
      <c r="T52" s="121"/>
      <c r="U52" s="121"/>
      <c r="V52" s="121"/>
      <c r="W52" s="125"/>
    </row>
    <row r="53" spans="1:23">
      <c r="A53" s="1214">
        <v>10.02</v>
      </c>
      <c r="B53" s="261" t="s">
        <v>1201</v>
      </c>
      <c r="C53" s="1215">
        <f t="shared" si="3"/>
        <v>88775.609999999928</v>
      </c>
      <c r="D53" s="1117">
        <f t="shared" si="4"/>
        <v>0</v>
      </c>
      <c r="E53" s="121"/>
      <c r="F53" s="121"/>
      <c r="G53" s="121"/>
      <c r="H53" s="121"/>
      <c r="I53" s="1117">
        <f t="shared" si="5"/>
        <v>150</v>
      </c>
      <c r="J53" s="121">
        <v>150</v>
      </c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5"/>
    </row>
    <row r="54" spans="1:23">
      <c r="A54" s="1214">
        <v>10.02</v>
      </c>
      <c r="B54" s="261" t="s">
        <v>1191</v>
      </c>
      <c r="C54" s="1215">
        <f t="shared" si="3"/>
        <v>27305.609999999928</v>
      </c>
      <c r="D54" s="1117">
        <f t="shared" si="4"/>
        <v>0</v>
      </c>
      <c r="E54" s="121"/>
      <c r="F54" s="121"/>
      <c r="G54" s="121"/>
      <c r="H54" s="121"/>
      <c r="I54" s="1117">
        <f t="shared" si="5"/>
        <v>61470</v>
      </c>
      <c r="J54" s="121"/>
      <c r="K54" s="121"/>
      <c r="L54" s="121"/>
      <c r="M54" s="121"/>
      <c r="N54" s="121"/>
      <c r="O54" s="121">
        <v>61470</v>
      </c>
      <c r="P54" s="121"/>
      <c r="Q54" s="121"/>
      <c r="R54" s="121"/>
      <c r="S54" s="121"/>
      <c r="T54" s="121"/>
      <c r="U54" s="121"/>
      <c r="V54" s="121"/>
      <c r="W54" s="125"/>
    </row>
    <row r="55" spans="1:23">
      <c r="A55" s="1214">
        <v>10.02</v>
      </c>
      <c r="B55" s="261" t="s">
        <v>1201</v>
      </c>
      <c r="C55" s="1215">
        <f t="shared" si="0"/>
        <v>27255.609999999928</v>
      </c>
      <c r="D55" s="1117">
        <f t="shared" si="1"/>
        <v>0</v>
      </c>
      <c r="E55" s="121"/>
      <c r="F55" s="121"/>
      <c r="G55" s="121"/>
      <c r="H55" s="121"/>
      <c r="I55" s="1117">
        <f t="shared" si="2"/>
        <v>50</v>
      </c>
      <c r="J55" s="121">
        <v>50</v>
      </c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5"/>
    </row>
    <row r="56" spans="1:23">
      <c r="A56" s="1214">
        <v>14.02</v>
      </c>
      <c r="B56" s="261" t="s">
        <v>1187</v>
      </c>
      <c r="C56" s="1215">
        <f t="shared" si="0"/>
        <v>62255.609999999928</v>
      </c>
      <c r="D56" s="1117">
        <f t="shared" si="1"/>
        <v>35000</v>
      </c>
      <c r="E56" s="121"/>
      <c r="F56" s="121">
        <v>35000</v>
      </c>
      <c r="G56" s="121"/>
      <c r="H56" s="121"/>
      <c r="I56" s="1117">
        <f t="shared" si="2"/>
        <v>0</v>
      </c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5"/>
    </row>
    <row r="57" spans="1:23">
      <c r="A57" s="1214">
        <v>14.02</v>
      </c>
      <c r="B57" s="261" t="s">
        <v>1205</v>
      </c>
      <c r="C57" s="1215">
        <f t="shared" si="0"/>
        <v>42009.609999999928</v>
      </c>
      <c r="D57" s="1117">
        <f t="shared" si="1"/>
        <v>0</v>
      </c>
      <c r="E57" s="121"/>
      <c r="F57" s="121"/>
      <c r="G57" s="121"/>
      <c r="H57" s="121"/>
      <c r="I57" s="1117">
        <f t="shared" si="2"/>
        <v>20246</v>
      </c>
      <c r="J57" s="121"/>
      <c r="K57" s="121"/>
      <c r="L57" s="121"/>
      <c r="M57" s="121"/>
      <c r="N57" s="121"/>
      <c r="O57" s="121"/>
      <c r="P57" s="121">
        <v>20246</v>
      </c>
      <c r="Q57" s="121"/>
      <c r="R57" s="121"/>
      <c r="S57" s="121"/>
      <c r="T57" s="121"/>
      <c r="U57" s="121"/>
      <c r="V57" s="121"/>
      <c r="W57" s="125"/>
    </row>
    <row r="58" spans="1:23">
      <c r="A58" s="1214">
        <v>14.02</v>
      </c>
      <c r="B58" s="261" t="s">
        <v>1201</v>
      </c>
      <c r="C58" s="1215">
        <f t="shared" si="0"/>
        <v>41859.609999999928</v>
      </c>
      <c r="D58" s="1117">
        <f t="shared" si="1"/>
        <v>0</v>
      </c>
      <c r="E58" s="121"/>
      <c r="F58" s="121"/>
      <c r="G58" s="121"/>
      <c r="H58" s="121"/>
      <c r="I58" s="1117">
        <f t="shared" si="2"/>
        <v>150</v>
      </c>
      <c r="J58" s="121">
        <v>150</v>
      </c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5"/>
    </row>
    <row r="59" spans="1:23">
      <c r="A59" s="1214">
        <v>14.02</v>
      </c>
      <c r="B59" s="261" t="s">
        <v>1046</v>
      </c>
      <c r="C59" s="1215">
        <f t="shared" si="0"/>
        <v>27364.399999999929</v>
      </c>
      <c r="D59" s="1117">
        <f t="shared" si="1"/>
        <v>0</v>
      </c>
      <c r="E59" s="121"/>
      <c r="F59" s="121"/>
      <c r="G59" s="121"/>
      <c r="H59" s="121"/>
      <c r="I59" s="1117">
        <f t="shared" si="2"/>
        <v>14495.21</v>
      </c>
      <c r="J59" s="121"/>
      <c r="K59" s="121"/>
      <c r="L59" s="121">
        <v>14495.21</v>
      </c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5"/>
    </row>
    <row r="60" spans="1:23">
      <c r="A60" s="1214">
        <v>14.02</v>
      </c>
      <c r="B60" s="261" t="s">
        <v>1201</v>
      </c>
      <c r="C60" s="1215">
        <f t="shared" si="0"/>
        <v>26864.399999999929</v>
      </c>
      <c r="D60" s="1117">
        <f t="shared" si="1"/>
        <v>0</v>
      </c>
      <c r="E60" s="121"/>
      <c r="F60" s="121"/>
      <c r="G60" s="121"/>
      <c r="H60" s="121"/>
      <c r="I60" s="1117">
        <f t="shared" si="2"/>
        <v>500</v>
      </c>
      <c r="J60" s="121">
        <v>500</v>
      </c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5"/>
    </row>
    <row r="61" spans="1:23">
      <c r="A61" s="1214">
        <v>14.02</v>
      </c>
      <c r="B61" s="261" t="s">
        <v>1206</v>
      </c>
      <c r="C61" s="1215">
        <f t="shared" si="0"/>
        <v>1864.3999999999287</v>
      </c>
      <c r="D61" s="1117">
        <f t="shared" si="1"/>
        <v>0</v>
      </c>
      <c r="E61" s="121"/>
      <c r="F61" s="121"/>
      <c r="G61" s="121"/>
      <c r="H61" s="121"/>
      <c r="I61" s="1117">
        <f t="shared" si="2"/>
        <v>25000</v>
      </c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>
        <v>25000</v>
      </c>
      <c r="V61" s="121"/>
      <c r="W61" s="125"/>
    </row>
    <row r="62" spans="1:23">
      <c r="A62" s="1214">
        <v>27.02</v>
      </c>
      <c r="B62" s="261" t="s">
        <v>1187</v>
      </c>
      <c r="C62" s="1215">
        <f t="shared" si="0"/>
        <v>1001864.3999999999</v>
      </c>
      <c r="D62" s="1117">
        <f t="shared" si="1"/>
        <v>1000000</v>
      </c>
      <c r="E62" s="121"/>
      <c r="F62" s="121">
        <v>1000000</v>
      </c>
      <c r="G62" s="121"/>
      <c r="H62" s="121"/>
      <c r="I62" s="1117">
        <f t="shared" si="2"/>
        <v>0</v>
      </c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5"/>
    </row>
    <row r="63" spans="1:23">
      <c r="A63" s="1214">
        <v>27.02</v>
      </c>
      <c r="B63" s="261" t="s">
        <v>1184</v>
      </c>
      <c r="C63" s="1215">
        <f t="shared" si="0"/>
        <v>1864.3999999999069</v>
      </c>
      <c r="D63" s="1117">
        <f t="shared" si="1"/>
        <v>0</v>
      </c>
      <c r="E63" s="121"/>
      <c r="F63" s="121"/>
      <c r="G63" s="121"/>
      <c r="H63" s="121"/>
      <c r="I63" s="1117">
        <f t="shared" si="2"/>
        <v>1000000</v>
      </c>
      <c r="J63" s="121"/>
      <c r="K63" s="121"/>
      <c r="L63" s="121"/>
      <c r="M63" s="121"/>
      <c r="N63" s="121"/>
      <c r="O63" s="121"/>
      <c r="P63" s="121"/>
      <c r="Q63" s="121"/>
      <c r="R63" s="121">
        <v>1000000</v>
      </c>
      <c r="S63" s="121"/>
      <c r="T63" s="121"/>
      <c r="U63" s="121"/>
      <c r="V63" s="121"/>
      <c r="W63" s="125"/>
    </row>
    <row r="64" spans="1:23">
      <c r="A64" s="1214">
        <v>29.02</v>
      </c>
      <c r="B64" s="261" t="s">
        <v>1201</v>
      </c>
      <c r="C64" s="1215">
        <f t="shared" si="0"/>
        <v>1364.3999999999069</v>
      </c>
      <c r="D64" s="1117">
        <f t="shared" si="1"/>
        <v>0</v>
      </c>
      <c r="E64" s="121"/>
      <c r="F64" s="121"/>
      <c r="G64" s="121"/>
      <c r="H64" s="121"/>
      <c r="I64" s="1117">
        <f t="shared" si="2"/>
        <v>500</v>
      </c>
      <c r="J64" s="121">
        <v>500</v>
      </c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5"/>
    </row>
    <row r="65" spans="1:23">
      <c r="A65" s="1214">
        <v>1.03</v>
      </c>
      <c r="B65" s="261" t="s">
        <v>1184</v>
      </c>
      <c r="C65" s="1215">
        <f t="shared" si="0"/>
        <v>21364.399999999907</v>
      </c>
      <c r="D65" s="1117">
        <f t="shared" si="1"/>
        <v>20000</v>
      </c>
      <c r="E65" s="121"/>
      <c r="F65" s="121"/>
      <c r="G65" s="121">
        <v>20000</v>
      </c>
      <c r="H65" s="121"/>
      <c r="I65" s="1117">
        <f t="shared" si="2"/>
        <v>0</v>
      </c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5"/>
    </row>
    <row r="66" spans="1:23">
      <c r="A66" s="1214">
        <v>1.03</v>
      </c>
      <c r="B66" s="261" t="s">
        <v>1196</v>
      </c>
      <c r="C66" s="1215">
        <f t="shared" si="0"/>
        <v>1115.3999999999069</v>
      </c>
      <c r="D66" s="1117">
        <f t="shared" si="1"/>
        <v>0</v>
      </c>
      <c r="E66" s="121"/>
      <c r="F66" s="121"/>
      <c r="G66" s="121"/>
      <c r="H66" s="121"/>
      <c r="I66" s="1117">
        <f t="shared" si="2"/>
        <v>20249</v>
      </c>
      <c r="J66" s="121"/>
      <c r="K66" s="121">
        <v>20249</v>
      </c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5"/>
    </row>
    <row r="67" spans="1:23">
      <c r="A67" s="1214">
        <v>1.03</v>
      </c>
      <c r="B67" s="261" t="s">
        <v>1184</v>
      </c>
      <c r="C67" s="1215">
        <f t="shared" si="0"/>
        <v>575115.39999999991</v>
      </c>
      <c r="D67" s="1117">
        <f t="shared" si="1"/>
        <v>574000</v>
      </c>
      <c r="E67" s="121"/>
      <c r="F67" s="121"/>
      <c r="G67" s="121">
        <v>574000</v>
      </c>
      <c r="H67" s="121"/>
      <c r="I67" s="1117">
        <f t="shared" si="2"/>
        <v>0</v>
      </c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5"/>
    </row>
    <row r="68" spans="1:23">
      <c r="A68" s="1214">
        <v>1.03</v>
      </c>
      <c r="B68" s="261" t="s">
        <v>657</v>
      </c>
      <c r="C68" s="1215">
        <f t="shared" si="0"/>
        <v>933.39999999990687</v>
      </c>
      <c r="D68" s="1117">
        <f t="shared" si="1"/>
        <v>0</v>
      </c>
      <c r="E68" s="121"/>
      <c r="F68" s="121"/>
      <c r="G68" s="121"/>
      <c r="H68" s="121"/>
      <c r="I68" s="1117">
        <f t="shared" si="2"/>
        <v>574182</v>
      </c>
      <c r="J68" s="121"/>
      <c r="K68" s="121"/>
      <c r="L68" s="121"/>
      <c r="M68" s="121">
        <v>574182</v>
      </c>
      <c r="N68" s="121"/>
      <c r="O68" s="121"/>
      <c r="P68" s="121"/>
      <c r="Q68" s="121"/>
      <c r="R68" s="121"/>
      <c r="S68" s="121"/>
      <c r="T68" s="121"/>
      <c r="U68" s="121"/>
      <c r="V68" s="121"/>
      <c r="W68" s="125"/>
    </row>
    <row r="69" spans="1:23">
      <c r="A69" s="1214">
        <v>8.0299999999999994</v>
      </c>
      <c r="B69" s="261" t="s">
        <v>1184</v>
      </c>
      <c r="C69" s="1215">
        <f t="shared" si="0"/>
        <v>3840306.56</v>
      </c>
      <c r="D69" s="1117">
        <f t="shared" si="1"/>
        <v>3839373.16</v>
      </c>
      <c r="E69" s="121"/>
      <c r="F69" s="121"/>
      <c r="G69" s="121">
        <v>3839373.16</v>
      </c>
      <c r="H69" s="121"/>
      <c r="I69" s="1117">
        <f t="shared" si="2"/>
        <v>0</v>
      </c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5"/>
    </row>
    <row r="70" spans="1:23">
      <c r="A70" s="1214">
        <v>8.0299999999999994</v>
      </c>
      <c r="B70" s="261" t="s">
        <v>1187</v>
      </c>
      <c r="C70" s="1215">
        <f t="shared" si="0"/>
        <v>3978306.56</v>
      </c>
      <c r="D70" s="1117">
        <f t="shared" si="1"/>
        <v>138000</v>
      </c>
      <c r="E70" s="121"/>
      <c r="F70" s="121"/>
      <c r="G70" s="121">
        <v>138000</v>
      </c>
      <c r="H70" s="121"/>
      <c r="I70" s="1117">
        <f t="shared" si="2"/>
        <v>0</v>
      </c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5"/>
    </row>
    <row r="71" spans="1:23">
      <c r="A71" s="1214">
        <v>12.03</v>
      </c>
      <c r="B71" s="261" t="s">
        <v>1184</v>
      </c>
      <c r="C71" s="1215">
        <f t="shared" si="0"/>
        <v>3908306.56</v>
      </c>
      <c r="D71" s="1117">
        <f t="shared" si="1"/>
        <v>0</v>
      </c>
      <c r="E71" s="121"/>
      <c r="F71" s="121"/>
      <c r="G71" s="121"/>
      <c r="H71" s="121"/>
      <c r="I71" s="1117">
        <f t="shared" si="2"/>
        <v>70000</v>
      </c>
      <c r="J71" s="121"/>
      <c r="K71" s="121"/>
      <c r="L71" s="121"/>
      <c r="M71" s="121"/>
      <c r="N71" s="121"/>
      <c r="O71" s="121"/>
      <c r="P71" s="121"/>
      <c r="Q71" s="121"/>
      <c r="R71" s="121">
        <v>70000</v>
      </c>
      <c r="S71" s="121"/>
      <c r="T71" s="121"/>
      <c r="U71" s="121"/>
      <c r="V71" s="121"/>
      <c r="W71" s="125"/>
    </row>
    <row r="72" spans="1:23">
      <c r="A72" s="1214">
        <v>12.03</v>
      </c>
      <c r="B72" s="261" t="s">
        <v>1207</v>
      </c>
      <c r="C72" s="1215">
        <f t="shared" si="0"/>
        <v>3861306.56</v>
      </c>
      <c r="D72" s="1117">
        <f t="shared" si="1"/>
        <v>0</v>
      </c>
      <c r="E72" s="121"/>
      <c r="F72" s="121"/>
      <c r="G72" s="121"/>
      <c r="H72" s="121"/>
      <c r="I72" s="1117">
        <f t="shared" si="2"/>
        <v>47000</v>
      </c>
      <c r="J72" s="121"/>
      <c r="K72" s="121"/>
      <c r="L72" s="121"/>
      <c r="M72" s="121"/>
      <c r="N72" s="121"/>
      <c r="O72" s="121"/>
      <c r="P72" s="121"/>
      <c r="Q72" s="121"/>
      <c r="R72" s="121"/>
      <c r="S72" s="121">
        <v>47000</v>
      </c>
      <c r="T72" s="121"/>
      <c r="U72" s="121"/>
      <c r="V72" s="121"/>
      <c r="W72" s="125"/>
    </row>
    <row r="73" spans="1:23">
      <c r="A73" s="1214">
        <v>12.03</v>
      </c>
      <c r="B73" s="261" t="s">
        <v>1207</v>
      </c>
      <c r="C73" s="1215">
        <f t="shared" ref="C73:C131" si="6">+C72+D73-I73</f>
        <v>3851506.56</v>
      </c>
      <c r="D73" s="1117">
        <f t="shared" ref="D73:D131" si="7">SUM(E73:H73)</f>
        <v>0</v>
      </c>
      <c r="E73" s="121"/>
      <c r="F73" s="121"/>
      <c r="G73" s="121"/>
      <c r="H73" s="121"/>
      <c r="I73" s="1117">
        <f t="shared" ref="I73:I131" si="8">SUM(J73:W73)</f>
        <v>9800</v>
      </c>
      <c r="J73" s="121"/>
      <c r="K73" s="121"/>
      <c r="L73" s="121"/>
      <c r="M73" s="121"/>
      <c r="N73" s="121"/>
      <c r="O73" s="121"/>
      <c r="P73" s="121"/>
      <c r="Q73" s="121"/>
      <c r="R73" s="121"/>
      <c r="S73" s="121">
        <v>9800</v>
      </c>
      <c r="T73" s="121"/>
      <c r="U73" s="121"/>
      <c r="V73" s="121"/>
      <c r="W73" s="125"/>
    </row>
    <row r="74" spans="1:23">
      <c r="A74" s="1214">
        <v>12.03</v>
      </c>
      <c r="B74" s="261" t="s">
        <v>1184</v>
      </c>
      <c r="C74" s="1215">
        <f t="shared" si="6"/>
        <v>3841206.56</v>
      </c>
      <c r="D74" s="1117">
        <f t="shared" si="7"/>
        <v>0</v>
      </c>
      <c r="E74" s="121"/>
      <c r="F74" s="121"/>
      <c r="G74" s="121"/>
      <c r="H74" s="121"/>
      <c r="I74" s="1117">
        <f t="shared" si="8"/>
        <v>10300</v>
      </c>
      <c r="J74" s="121"/>
      <c r="K74" s="121"/>
      <c r="L74" s="121"/>
      <c r="M74" s="121"/>
      <c r="N74" s="121"/>
      <c r="O74" s="121"/>
      <c r="P74" s="121"/>
      <c r="Q74" s="121"/>
      <c r="R74" s="121">
        <v>10300</v>
      </c>
      <c r="S74" s="121"/>
      <c r="T74" s="121"/>
      <c r="U74" s="121"/>
      <c r="V74" s="121"/>
      <c r="W74" s="125"/>
    </row>
    <row r="75" spans="1:23">
      <c r="A75" s="1214">
        <v>10.029999999999999</v>
      </c>
      <c r="B75" s="261" t="s">
        <v>1201</v>
      </c>
      <c r="C75" s="1215">
        <f t="shared" si="6"/>
        <v>3841106.56</v>
      </c>
      <c r="D75" s="1117">
        <f t="shared" si="7"/>
        <v>0</v>
      </c>
      <c r="E75" s="121"/>
      <c r="F75" s="121"/>
      <c r="G75" s="121"/>
      <c r="H75" s="121"/>
      <c r="I75" s="1117">
        <f t="shared" si="8"/>
        <v>100</v>
      </c>
      <c r="J75" s="121">
        <v>100</v>
      </c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5"/>
    </row>
    <row r="76" spans="1:23">
      <c r="A76" s="1214">
        <v>15.03</v>
      </c>
      <c r="B76" s="261" t="s">
        <v>1191</v>
      </c>
      <c r="C76" s="1215">
        <f t="shared" si="6"/>
        <v>3780218.56</v>
      </c>
      <c r="D76" s="1117">
        <f t="shared" si="7"/>
        <v>0</v>
      </c>
      <c r="E76" s="121"/>
      <c r="F76" s="121"/>
      <c r="G76" s="121"/>
      <c r="H76" s="121"/>
      <c r="I76" s="1117">
        <f t="shared" si="8"/>
        <v>60888</v>
      </c>
      <c r="J76" s="121"/>
      <c r="K76" s="121"/>
      <c r="L76" s="121"/>
      <c r="M76" s="121"/>
      <c r="N76" s="121"/>
      <c r="O76" s="121">
        <v>60888</v>
      </c>
      <c r="P76" s="121"/>
      <c r="Q76" s="121"/>
      <c r="R76" s="121"/>
      <c r="S76" s="121"/>
      <c r="T76" s="121"/>
      <c r="U76" s="121"/>
      <c r="V76" s="121"/>
      <c r="W76" s="125"/>
    </row>
    <row r="77" spans="1:23">
      <c r="A77" s="1214">
        <v>15.03</v>
      </c>
      <c r="B77" s="261" t="s">
        <v>1201</v>
      </c>
      <c r="C77" s="1215">
        <f t="shared" si="6"/>
        <v>3780068.56</v>
      </c>
      <c r="D77" s="1117">
        <f t="shared" si="7"/>
        <v>0</v>
      </c>
      <c r="E77" s="121"/>
      <c r="F77" s="121"/>
      <c r="G77" s="121"/>
      <c r="H77" s="121"/>
      <c r="I77" s="1117">
        <f t="shared" si="8"/>
        <v>150</v>
      </c>
      <c r="J77" s="121">
        <v>150</v>
      </c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5"/>
    </row>
    <row r="78" spans="1:23">
      <c r="A78" s="1214">
        <v>15.03</v>
      </c>
      <c r="B78" s="261" t="s">
        <v>1204</v>
      </c>
      <c r="C78" s="1215">
        <f t="shared" si="6"/>
        <v>3574171.56</v>
      </c>
      <c r="D78" s="1117">
        <f t="shared" si="7"/>
        <v>0</v>
      </c>
      <c r="E78" s="121"/>
      <c r="F78" s="121"/>
      <c r="G78" s="121"/>
      <c r="H78" s="121"/>
      <c r="I78" s="1117">
        <f t="shared" si="8"/>
        <v>205897</v>
      </c>
      <c r="J78" s="121"/>
      <c r="K78" s="121"/>
      <c r="L78" s="121"/>
      <c r="M78" s="121"/>
      <c r="N78" s="121">
        <v>205897</v>
      </c>
      <c r="O78" s="121"/>
      <c r="P78" s="121"/>
      <c r="Q78" s="121"/>
      <c r="R78" s="121"/>
      <c r="S78" s="121"/>
      <c r="T78" s="121"/>
      <c r="U78" s="121"/>
      <c r="V78" s="121"/>
      <c r="W78" s="125"/>
    </row>
    <row r="79" spans="1:23">
      <c r="A79" s="1214">
        <v>15.03</v>
      </c>
      <c r="B79" s="261" t="s">
        <v>1201</v>
      </c>
      <c r="C79" s="1215">
        <f t="shared" si="6"/>
        <v>3574021.56</v>
      </c>
      <c r="D79" s="1117">
        <f t="shared" si="7"/>
        <v>0</v>
      </c>
      <c r="E79" s="121"/>
      <c r="F79" s="121"/>
      <c r="G79" s="121"/>
      <c r="H79" s="121"/>
      <c r="I79" s="1117">
        <f t="shared" si="8"/>
        <v>150</v>
      </c>
      <c r="J79" s="121">
        <v>150</v>
      </c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5"/>
    </row>
    <row r="80" spans="1:23">
      <c r="A80" s="1214">
        <v>15.03</v>
      </c>
      <c r="B80" s="261" t="s">
        <v>1208</v>
      </c>
      <c r="C80" s="1215">
        <f t="shared" si="6"/>
        <v>3553775.56</v>
      </c>
      <c r="D80" s="1117">
        <f t="shared" si="7"/>
        <v>0</v>
      </c>
      <c r="E80" s="121"/>
      <c r="F80" s="121"/>
      <c r="G80" s="121"/>
      <c r="H80" s="121"/>
      <c r="I80" s="1117">
        <f t="shared" si="8"/>
        <v>20246</v>
      </c>
      <c r="J80" s="121"/>
      <c r="K80" s="121"/>
      <c r="L80" s="121"/>
      <c r="M80" s="121"/>
      <c r="N80" s="121"/>
      <c r="O80" s="121"/>
      <c r="P80" s="121">
        <v>20246</v>
      </c>
      <c r="Q80" s="121"/>
      <c r="R80" s="121"/>
      <c r="S80" s="121"/>
      <c r="T80" s="121"/>
      <c r="U80" s="121"/>
      <c r="V80" s="121"/>
      <c r="W80" s="125"/>
    </row>
    <row r="81" spans="1:23">
      <c r="A81" s="1214">
        <v>15.03</v>
      </c>
      <c r="B81" s="261" t="s">
        <v>1201</v>
      </c>
      <c r="C81" s="1215">
        <f t="shared" si="6"/>
        <v>3553625.56</v>
      </c>
      <c r="D81" s="1117">
        <f t="shared" si="7"/>
        <v>0</v>
      </c>
      <c r="E81" s="121"/>
      <c r="F81" s="121"/>
      <c r="G81" s="121"/>
      <c r="H81" s="121"/>
      <c r="I81" s="1117">
        <f t="shared" si="8"/>
        <v>150</v>
      </c>
      <c r="J81" s="121">
        <v>150</v>
      </c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5"/>
    </row>
    <row r="82" spans="1:23">
      <c r="A82" s="1214">
        <v>15.03</v>
      </c>
      <c r="B82" s="261" t="s">
        <v>1046</v>
      </c>
      <c r="C82" s="1215">
        <f t="shared" si="6"/>
        <v>3539401.1</v>
      </c>
      <c r="D82" s="1117">
        <f t="shared" si="7"/>
        <v>0</v>
      </c>
      <c r="E82" s="121"/>
      <c r="F82" s="121"/>
      <c r="G82" s="121"/>
      <c r="H82" s="121"/>
      <c r="I82" s="1117">
        <f t="shared" si="8"/>
        <v>14224.46</v>
      </c>
      <c r="J82" s="121"/>
      <c r="K82" s="121"/>
      <c r="L82" s="121">
        <v>14224.46</v>
      </c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5"/>
    </row>
    <row r="83" spans="1:23">
      <c r="A83" s="1214">
        <v>15.03</v>
      </c>
      <c r="B83" s="261" t="s">
        <v>1184</v>
      </c>
      <c r="C83" s="1215">
        <f t="shared" si="6"/>
        <v>3349401.1</v>
      </c>
      <c r="D83" s="1117">
        <f t="shared" si="7"/>
        <v>0</v>
      </c>
      <c r="E83" s="121"/>
      <c r="F83" s="121"/>
      <c r="G83" s="121"/>
      <c r="H83" s="121"/>
      <c r="I83" s="1117">
        <f t="shared" si="8"/>
        <v>190000</v>
      </c>
      <c r="J83" s="121"/>
      <c r="K83" s="121"/>
      <c r="L83" s="121"/>
      <c r="M83" s="121"/>
      <c r="N83" s="121"/>
      <c r="O83" s="121"/>
      <c r="P83" s="121"/>
      <c r="Q83" s="121"/>
      <c r="R83" s="121">
        <v>190000</v>
      </c>
      <c r="S83" s="121"/>
      <c r="T83" s="121"/>
      <c r="U83" s="121"/>
      <c r="V83" s="121"/>
      <c r="W83" s="125"/>
    </row>
    <row r="84" spans="1:23">
      <c r="A84" s="1214">
        <v>15.03</v>
      </c>
      <c r="B84" s="261" t="s">
        <v>1207</v>
      </c>
      <c r="C84" s="1215">
        <f t="shared" si="6"/>
        <v>3259401.1</v>
      </c>
      <c r="D84" s="1117">
        <f t="shared" si="7"/>
        <v>0</v>
      </c>
      <c r="E84" s="121"/>
      <c r="F84" s="121"/>
      <c r="G84" s="121"/>
      <c r="H84" s="121"/>
      <c r="I84" s="1117">
        <f t="shared" si="8"/>
        <v>90000</v>
      </c>
      <c r="J84" s="121"/>
      <c r="K84" s="121"/>
      <c r="L84" s="121"/>
      <c r="M84" s="121"/>
      <c r="N84" s="121"/>
      <c r="O84" s="121"/>
      <c r="P84" s="121"/>
      <c r="Q84" s="121"/>
      <c r="R84" s="121"/>
      <c r="S84" s="121">
        <v>90000</v>
      </c>
      <c r="T84" s="121"/>
      <c r="U84" s="121"/>
      <c r="V84" s="121"/>
      <c r="W84" s="125"/>
    </row>
    <row r="85" spans="1:23">
      <c r="A85" s="1214">
        <v>21.03</v>
      </c>
      <c r="B85" s="261" t="s">
        <v>1184</v>
      </c>
      <c r="C85" s="1215">
        <f t="shared" si="6"/>
        <v>3219401.1</v>
      </c>
      <c r="D85" s="1117">
        <f t="shared" si="7"/>
        <v>0</v>
      </c>
      <c r="E85" s="121"/>
      <c r="F85" s="121"/>
      <c r="G85" s="121"/>
      <c r="H85" s="121"/>
      <c r="I85" s="1117">
        <f t="shared" si="8"/>
        <v>40000</v>
      </c>
      <c r="J85" s="121"/>
      <c r="K85" s="121"/>
      <c r="L85" s="121"/>
      <c r="M85" s="121"/>
      <c r="N85" s="121"/>
      <c r="O85" s="121"/>
      <c r="P85" s="121"/>
      <c r="Q85" s="121"/>
      <c r="R85" s="121">
        <v>40000</v>
      </c>
      <c r="S85" s="121"/>
      <c r="T85" s="121"/>
      <c r="U85" s="121"/>
      <c r="V85" s="121"/>
      <c r="W85" s="125"/>
    </row>
    <row r="86" spans="1:23">
      <c r="A86" s="1214">
        <v>23.03</v>
      </c>
      <c r="B86" s="261" t="s">
        <v>1208</v>
      </c>
      <c r="C86" s="1215">
        <f t="shared" si="6"/>
        <v>3109302.1</v>
      </c>
      <c r="D86" s="1117">
        <f t="shared" si="7"/>
        <v>0</v>
      </c>
      <c r="E86" s="121"/>
      <c r="F86" s="121"/>
      <c r="G86" s="121"/>
      <c r="H86" s="121"/>
      <c r="I86" s="1117">
        <f t="shared" si="8"/>
        <v>110099</v>
      </c>
      <c r="J86" s="121"/>
      <c r="K86" s="121"/>
      <c r="L86" s="121"/>
      <c r="M86" s="121"/>
      <c r="N86" s="121"/>
      <c r="O86" s="121"/>
      <c r="P86" s="121">
        <v>110099</v>
      </c>
      <c r="Q86" s="121"/>
      <c r="R86" s="121"/>
      <c r="S86" s="121"/>
      <c r="T86" s="121"/>
      <c r="U86" s="121"/>
      <c r="V86" s="121"/>
      <c r="W86" s="125"/>
    </row>
    <row r="87" spans="1:23">
      <c r="A87" s="1214">
        <v>23.03</v>
      </c>
      <c r="B87" s="261" t="s">
        <v>1201</v>
      </c>
      <c r="C87" s="1215">
        <f t="shared" si="6"/>
        <v>3109152.1</v>
      </c>
      <c r="D87" s="1117">
        <f t="shared" si="7"/>
        <v>0</v>
      </c>
      <c r="E87" s="121"/>
      <c r="F87" s="121"/>
      <c r="G87" s="121"/>
      <c r="H87" s="121"/>
      <c r="I87" s="1117">
        <f t="shared" si="8"/>
        <v>150</v>
      </c>
      <c r="J87" s="121">
        <v>150</v>
      </c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5"/>
    </row>
    <row r="88" spans="1:23">
      <c r="A88" s="1214">
        <v>27.03</v>
      </c>
      <c r="B88" s="261" t="s">
        <v>1202</v>
      </c>
      <c r="C88" s="1215">
        <f t="shared" si="6"/>
        <v>5109152.0999999996</v>
      </c>
      <c r="D88" s="1117">
        <f t="shared" si="7"/>
        <v>2000000</v>
      </c>
      <c r="E88" s="121">
        <v>2000000</v>
      </c>
      <c r="F88" s="121"/>
      <c r="G88" s="121"/>
      <c r="H88" s="121"/>
      <c r="I88" s="1117">
        <f t="shared" si="8"/>
        <v>0</v>
      </c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5"/>
    </row>
    <row r="89" spans="1:23">
      <c r="A89" s="1214">
        <v>28.03</v>
      </c>
      <c r="B89" s="1216" t="s">
        <v>1192</v>
      </c>
      <c r="C89" s="1215">
        <f t="shared" si="6"/>
        <v>5093652.0999999996</v>
      </c>
      <c r="D89" s="1117">
        <f t="shared" si="7"/>
        <v>0</v>
      </c>
      <c r="E89" s="121"/>
      <c r="F89" s="121"/>
      <c r="G89" s="121"/>
      <c r="H89" s="121"/>
      <c r="I89" s="1117">
        <f t="shared" si="8"/>
        <v>15500</v>
      </c>
      <c r="J89" s="121"/>
      <c r="K89" s="121"/>
      <c r="L89" s="121">
        <v>15500</v>
      </c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5"/>
    </row>
    <row r="90" spans="1:23">
      <c r="A90" s="1214">
        <v>30.03</v>
      </c>
      <c r="B90" s="261" t="s">
        <v>1201</v>
      </c>
      <c r="C90" s="1215">
        <f t="shared" si="6"/>
        <v>5093152.0999999996</v>
      </c>
      <c r="D90" s="1117">
        <f t="shared" si="7"/>
        <v>0</v>
      </c>
      <c r="E90" s="121"/>
      <c r="F90" s="121"/>
      <c r="G90" s="121"/>
      <c r="H90" s="121"/>
      <c r="I90" s="1117">
        <f t="shared" si="8"/>
        <v>500</v>
      </c>
      <c r="J90" s="121">
        <v>500</v>
      </c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5"/>
    </row>
    <row r="91" spans="1:23">
      <c r="A91" s="1214">
        <v>2.04</v>
      </c>
      <c r="B91" s="261" t="s">
        <v>1184</v>
      </c>
      <c r="C91" s="1215">
        <f t="shared" si="6"/>
        <v>2985652.0999999996</v>
      </c>
      <c r="D91" s="1117">
        <f t="shared" si="7"/>
        <v>0</v>
      </c>
      <c r="E91" s="121"/>
      <c r="F91" s="121"/>
      <c r="G91" s="121"/>
      <c r="H91" s="121"/>
      <c r="I91" s="1117">
        <f t="shared" si="8"/>
        <v>2107500</v>
      </c>
      <c r="J91" s="121"/>
      <c r="K91" s="121"/>
      <c r="L91" s="121"/>
      <c r="M91" s="121"/>
      <c r="N91" s="121"/>
      <c r="O91" s="121"/>
      <c r="P91" s="121"/>
      <c r="Q91" s="121"/>
      <c r="R91" s="121">
        <v>2107500</v>
      </c>
      <c r="S91" s="121"/>
      <c r="T91" s="121"/>
      <c r="U91" s="121"/>
      <c r="V91" s="121"/>
      <c r="W91" s="125"/>
    </row>
    <row r="92" spans="1:23">
      <c r="A92" s="1214">
        <v>2.04</v>
      </c>
      <c r="B92" s="261" t="s">
        <v>1193</v>
      </c>
      <c r="C92" s="1215">
        <f t="shared" si="6"/>
        <v>2494472.0999999996</v>
      </c>
      <c r="D92" s="1117">
        <f t="shared" si="7"/>
        <v>0</v>
      </c>
      <c r="E92" s="121"/>
      <c r="F92" s="121"/>
      <c r="G92" s="121"/>
      <c r="H92" s="121"/>
      <c r="I92" s="1117">
        <f t="shared" si="8"/>
        <v>491180</v>
      </c>
      <c r="J92" s="121"/>
      <c r="K92" s="121"/>
      <c r="L92" s="121"/>
      <c r="M92" s="121">
        <v>491180</v>
      </c>
      <c r="N92" s="121"/>
      <c r="O92" s="121"/>
      <c r="P92" s="121"/>
      <c r="Q92" s="121"/>
      <c r="R92" s="121"/>
      <c r="S92" s="121"/>
      <c r="T92" s="121"/>
      <c r="U92" s="121"/>
      <c r="V92" s="121"/>
      <c r="W92" s="125"/>
    </row>
    <row r="93" spans="1:23">
      <c r="A93" s="1214">
        <v>10.039999999999999</v>
      </c>
      <c r="B93" s="261" t="s">
        <v>1187</v>
      </c>
      <c r="C93" s="1215">
        <f t="shared" si="6"/>
        <v>3494472.0999999996</v>
      </c>
      <c r="D93" s="1117">
        <f t="shared" si="7"/>
        <v>1000000</v>
      </c>
      <c r="E93" s="121">
        <v>1000000</v>
      </c>
      <c r="F93" s="121"/>
      <c r="G93" s="121"/>
      <c r="H93" s="121"/>
      <c r="I93" s="1117">
        <f t="shared" si="8"/>
        <v>0</v>
      </c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5"/>
    </row>
    <row r="94" spans="1:23">
      <c r="A94" s="1214">
        <v>11.04</v>
      </c>
      <c r="B94" s="261" t="s">
        <v>1201</v>
      </c>
      <c r="C94" s="1215">
        <f t="shared" si="6"/>
        <v>3494372.0999999996</v>
      </c>
      <c r="D94" s="1117">
        <f t="shared" si="7"/>
        <v>0</v>
      </c>
      <c r="E94" s="121"/>
      <c r="F94" s="121"/>
      <c r="G94" s="121"/>
      <c r="H94" s="121"/>
      <c r="I94" s="1117">
        <f t="shared" si="8"/>
        <v>100</v>
      </c>
      <c r="J94" s="121">
        <v>100</v>
      </c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5"/>
    </row>
    <row r="95" spans="1:23">
      <c r="A95" s="1214">
        <v>11.04</v>
      </c>
      <c r="B95" s="261" t="s">
        <v>1204</v>
      </c>
      <c r="C95" s="1215">
        <f t="shared" si="6"/>
        <v>3315280.0999999996</v>
      </c>
      <c r="D95" s="1117">
        <f t="shared" si="7"/>
        <v>0</v>
      </c>
      <c r="E95" s="121"/>
      <c r="F95" s="121"/>
      <c r="G95" s="121"/>
      <c r="H95" s="121"/>
      <c r="I95" s="1117">
        <f t="shared" si="8"/>
        <v>179092</v>
      </c>
      <c r="J95" s="121"/>
      <c r="K95" s="121"/>
      <c r="L95" s="121"/>
      <c r="M95" s="121"/>
      <c r="N95" s="121">
        <v>179092</v>
      </c>
      <c r="O95" s="121"/>
      <c r="P95" s="121"/>
      <c r="Q95" s="121"/>
      <c r="R95" s="121"/>
      <c r="S95" s="121"/>
      <c r="T95" s="121"/>
      <c r="U95" s="121"/>
      <c r="V95" s="121"/>
      <c r="W95" s="125"/>
    </row>
    <row r="96" spans="1:23">
      <c r="A96" s="1214">
        <v>11.04</v>
      </c>
      <c r="B96" s="261" t="s">
        <v>1201</v>
      </c>
      <c r="C96" s="1215">
        <f t="shared" si="6"/>
        <v>3315130.0999999996</v>
      </c>
      <c r="D96" s="1117">
        <f t="shared" si="7"/>
        <v>0</v>
      </c>
      <c r="E96" s="121"/>
      <c r="F96" s="121"/>
      <c r="G96" s="121"/>
      <c r="H96" s="121"/>
      <c r="I96" s="1117">
        <f t="shared" si="8"/>
        <v>150</v>
      </c>
      <c r="J96" s="121">
        <v>150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5"/>
    </row>
    <row r="97" spans="1:23">
      <c r="A97" s="1214">
        <v>11.04</v>
      </c>
      <c r="B97" s="261" t="s">
        <v>1191</v>
      </c>
      <c r="C97" s="1215">
        <f t="shared" si="6"/>
        <v>3265940.0999999996</v>
      </c>
      <c r="D97" s="1117">
        <f t="shared" si="7"/>
        <v>0</v>
      </c>
      <c r="E97" s="121"/>
      <c r="F97" s="121"/>
      <c r="G97" s="121"/>
      <c r="H97" s="121"/>
      <c r="I97" s="1117">
        <f t="shared" si="8"/>
        <v>49190</v>
      </c>
      <c r="J97" s="121"/>
      <c r="K97" s="121"/>
      <c r="L97" s="121"/>
      <c r="M97" s="121"/>
      <c r="N97" s="121"/>
      <c r="O97" s="121">
        <v>49190</v>
      </c>
      <c r="P97" s="121"/>
      <c r="Q97" s="121"/>
      <c r="R97" s="121"/>
      <c r="S97" s="121"/>
      <c r="T97" s="121"/>
      <c r="U97" s="121"/>
      <c r="V97" s="121"/>
      <c r="W97" s="125"/>
    </row>
    <row r="98" spans="1:23">
      <c r="A98" s="1214">
        <v>11.04</v>
      </c>
      <c r="B98" s="261" t="s">
        <v>1201</v>
      </c>
      <c r="C98" s="1215">
        <f t="shared" si="6"/>
        <v>3265790.0999999996</v>
      </c>
      <c r="D98" s="1117">
        <f t="shared" si="7"/>
        <v>0</v>
      </c>
      <c r="E98" s="121"/>
      <c r="F98" s="121"/>
      <c r="G98" s="121"/>
      <c r="H98" s="121"/>
      <c r="I98" s="1117">
        <f t="shared" si="8"/>
        <v>150</v>
      </c>
      <c r="J98" s="121">
        <v>150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5"/>
    </row>
    <row r="99" spans="1:23">
      <c r="A99" s="1214">
        <v>11.04</v>
      </c>
      <c r="B99" s="261" t="s">
        <v>1184</v>
      </c>
      <c r="C99" s="1215">
        <f t="shared" si="6"/>
        <v>3136790.0999999996</v>
      </c>
      <c r="D99" s="1117">
        <f t="shared" si="7"/>
        <v>0</v>
      </c>
      <c r="E99" s="121"/>
      <c r="F99" s="121"/>
      <c r="G99" s="121"/>
      <c r="H99" s="121"/>
      <c r="I99" s="1117">
        <f t="shared" si="8"/>
        <v>129000</v>
      </c>
      <c r="J99" s="121"/>
      <c r="K99" s="121"/>
      <c r="L99" s="121"/>
      <c r="M99" s="121"/>
      <c r="N99" s="121"/>
      <c r="O99" s="121"/>
      <c r="P99" s="121"/>
      <c r="Q99" s="121"/>
      <c r="R99" s="121">
        <v>129000</v>
      </c>
      <c r="S99" s="121"/>
      <c r="T99" s="121"/>
      <c r="U99" s="121"/>
      <c r="V99" s="121"/>
      <c r="W99" s="125"/>
    </row>
    <row r="100" spans="1:23">
      <c r="A100" s="1214">
        <v>11.04</v>
      </c>
      <c r="B100" s="261" t="s">
        <v>1200</v>
      </c>
      <c r="C100" s="1215">
        <f t="shared" si="6"/>
        <v>3116544.0999999996</v>
      </c>
      <c r="D100" s="1117">
        <f t="shared" si="7"/>
        <v>0</v>
      </c>
      <c r="E100" s="121"/>
      <c r="F100" s="121"/>
      <c r="G100" s="121"/>
      <c r="H100" s="121"/>
      <c r="I100" s="1117">
        <f t="shared" si="8"/>
        <v>20246</v>
      </c>
      <c r="J100" s="121"/>
      <c r="K100" s="121"/>
      <c r="L100" s="121"/>
      <c r="M100" s="121"/>
      <c r="N100" s="121"/>
      <c r="O100" s="121"/>
      <c r="P100" s="121">
        <v>20246</v>
      </c>
      <c r="Q100" s="121"/>
      <c r="R100" s="121"/>
      <c r="S100" s="121"/>
      <c r="T100" s="121"/>
      <c r="U100" s="121"/>
      <c r="V100" s="121"/>
      <c r="W100" s="125"/>
    </row>
    <row r="101" spans="1:23">
      <c r="A101" s="1214">
        <v>11.04</v>
      </c>
      <c r="B101" s="261" t="s">
        <v>1201</v>
      </c>
      <c r="C101" s="1215">
        <f t="shared" si="6"/>
        <v>3116394.0999999996</v>
      </c>
      <c r="D101" s="1117">
        <f t="shared" si="7"/>
        <v>0</v>
      </c>
      <c r="E101" s="121"/>
      <c r="F101" s="121"/>
      <c r="G101" s="121"/>
      <c r="H101" s="121"/>
      <c r="I101" s="1117">
        <f t="shared" si="8"/>
        <v>150</v>
      </c>
      <c r="J101" s="121">
        <v>150</v>
      </c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5"/>
    </row>
    <row r="102" spans="1:23">
      <c r="A102" s="1214">
        <v>11.04</v>
      </c>
      <c r="B102" s="261" t="s">
        <v>1207</v>
      </c>
      <c r="C102" s="1215">
        <f t="shared" si="6"/>
        <v>3031394.0999999996</v>
      </c>
      <c r="D102" s="1117">
        <f t="shared" si="7"/>
        <v>0</v>
      </c>
      <c r="E102" s="121"/>
      <c r="F102" s="121"/>
      <c r="G102" s="121"/>
      <c r="H102" s="121"/>
      <c r="I102" s="1117">
        <f t="shared" si="8"/>
        <v>85000</v>
      </c>
      <c r="J102" s="121"/>
      <c r="K102" s="121"/>
      <c r="L102" s="121"/>
      <c r="M102" s="121"/>
      <c r="N102" s="121"/>
      <c r="O102" s="121"/>
      <c r="P102" s="121"/>
      <c r="Q102" s="121"/>
      <c r="R102" s="121"/>
      <c r="S102" s="121">
        <v>85000</v>
      </c>
      <c r="T102" s="121"/>
      <c r="U102" s="121"/>
      <c r="V102" s="121"/>
      <c r="W102" s="125"/>
    </row>
    <row r="103" spans="1:23">
      <c r="A103" s="1214">
        <v>13.04</v>
      </c>
      <c r="B103" s="261" t="s">
        <v>1046</v>
      </c>
      <c r="C103" s="1215">
        <f t="shared" si="6"/>
        <v>3017412.01</v>
      </c>
      <c r="D103" s="1117">
        <f t="shared" si="7"/>
        <v>0</v>
      </c>
      <c r="E103" s="121"/>
      <c r="F103" s="121"/>
      <c r="G103" s="121"/>
      <c r="H103" s="121"/>
      <c r="I103" s="1117">
        <f t="shared" si="8"/>
        <v>13982.09</v>
      </c>
      <c r="J103" s="121"/>
      <c r="K103" s="121"/>
      <c r="L103" s="121">
        <v>13982.09</v>
      </c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5"/>
    </row>
    <row r="104" spans="1:23">
      <c r="A104" s="1214">
        <v>13.04</v>
      </c>
      <c r="B104" s="261" t="s">
        <v>1207</v>
      </c>
      <c r="C104" s="1215">
        <f t="shared" si="6"/>
        <v>2957412.01</v>
      </c>
      <c r="D104" s="1117">
        <f t="shared" si="7"/>
        <v>0</v>
      </c>
      <c r="E104" s="121"/>
      <c r="F104" s="121"/>
      <c r="G104" s="121"/>
      <c r="H104" s="121"/>
      <c r="I104" s="1117">
        <f t="shared" si="8"/>
        <v>60000</v>
      </c>
      <c r="J104" s="121"/>
      <c r="K104" s="121"/>
      <c r="L104" s="121"/>
      <c r="M104" s="121"/>
      <c r="N104" s="121"/>
      <c r="O104" s="121"/>
      <c r="P104" s="121"/>
      <c r="Q104" s="121"/>
      <c r="R104" s="121"/>
      <c r="S104" s="121">
        <v>60000</v>
      </c>
      <c r="T104" s="121"/>
      <c r="U104" s="121"/>
      <c r="V104" s="121"/>
      <c r="W104" s="125"/>
    </row>
    <row r="105" spans="1:23">
      <c r="A105" s="1214">
        <v>13.04</v>
      </c>
      <c r="B105" s="261" t="s">
        <v>1184</v>
      </c>
      <c r="C105" s="1215">
        <f t="shared" si="6"/>
        <v>2857412.01</v>
      </c>
      <c r="D105" s="1117">
        <f t="shared" si="7"/>
        <v>0</v>
      </c>
      <c r="E105" s="121"/>
      <c r="F105" s="121"/>
      <c r="G105" s="121"/>
      <c r="H105" s="121"/>
      <c r="I105" s="1117">
        <f t="shared" si="8"/>
        <v>100000</v>
      </c>
      <c r="J105" s="121"/>
      <c r="K105" s="121"/>
      <c r="L105" s="121"/>
      <c r="M105" s="121"/>
      <c r="N105" s="121"/>
      <c r="O105" s="121"/>
      <c r="P105" s="121"/>
      <c r="Q105" s="121"/>
      <c r="R105" s="121">
        <v>100000</v>
      </c>
      <c r="S105" s="121"/>
      <c r="T105" s="121"/>
      <c r="U105" s="121"/>
      <c r="V105" s="121"/>
      <c r="W105" s="125"/>
    </row>
    <row r="106" spans="1:23">
      <c r="A106" s="1214">
        <v>16.04</v>
      </c>
      <c r="B106" s="261" t="s">
        <v>1209</v>
      </c>
      <c r="C106" s="1215">
        <f t="shared" si="6"/>
        <v>2557412.0099999998</v>
      </c>
      <c r="D106" s="1117">
        <f t="shared" si="7"/>
        <v>0</v>
      </c>
      <c r="E106" s="121"/>
      <c r="F106" s="121"/>
      <c r="G106" s="121"/>
      <c r="H106" s="121"/>
      <c r="I106" s="1117">
        <f t="shared" si="8"/>
        <v>300000</v>
      </c>
      <c r="J106" s="121"/>
      <c r="K106" s="121"/>
      <c r="L106" s="121">
        <v>300000</v>
      </c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5"/>
    </row>
    <row r="107" spans="1:23">
      <c r="A107" s="1214">
        <v>18.04</v>
      </c>
      <c r="B107" s="261" t="s">
        <v>1210</v>
      </c>
      <c r="C107" s="1215">
        <f t="shared" si="6"/>
        <v>2651972.0099999998</v>
      </c>
      <c r="D107" s="1117">
        <f t="shared" si="7"/>
        <v>0</v>
      </c>
      <c r="E107" s="121"/>
      <c r="F107" s="121"/>
      <c r="G107" s="121"/>
      <c r="H107" s="121"/>
      <c r="I107" s="1117">
        <f t="shared" si="8"/>
        <v>-94560</v>
      </c>
      <c r="J107" s="121"/>
      <c r="K107" s="121"/>
      <c r="L107" s="121"/>
      <c r="M107" s="121">
        <f>-31520*3</f>
        <v>-94560</v>
      </c>
      <c r="N107" s="121"/>
      <c r="O107" s="121"/>
      <c r="P107" s="121"/>
      <c r="Q107" s="121"/>
      <c r="R107" s="121"/>
      <c r="S107" s="121"/>
      <c r="T107" s="121"/>
      <c r="U107" s="121"/>
      <c r="V107" s="121"/>
      <c r="W107" s="125"/>
    </row>
    <row r="108" spans="1:23">
      <c r="A108" s="1214">
        <v>24.04</v>
      </c>
      <c r="B108" s="261" t="s">
        <v>215</v>
      </c>
      <c r="C108" s="1215">
        <f t="shared" si="6"/>
        <v>2951472.01</v>
      </c>
      <c r="D108" s="1117">
        <f t="shared" si="7"/>
        <v>299500</v>
      </c>
      <c r="E108" s="121"/>
      <c r="F108" s="121"/>
      <c r="G108" s="121">
        <v>299500</v>
      </c>
      <c r="H108" s="121"/>
      <c r="I108" s="1117">
        <f t="shared" si="8"/>
        <v>0</v>
      </c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5"/>
    </row>
    <row r="109" spans="1:23">
      <c r="A109" s="1214">
        <v>25.04</v>
      </c>
      <c r="B109" s="261" t="s">
        <v>1211</v>
      </c>
      <c r="C109" s="1215">
        <f t="shared" si="6"/>
        <v>2888509.01</v>
      </c>
      <c r="D109" s="1117">
        <f t="shared" si="7"/>
        <v>0</v>
      </c>
      <c r="E109" s="121"/>
      <c r="F109" s="121"/>
      <c r="G109" s="121"/>
      <c r="H109" s="121"/>
      <c r="I109" s="1117">
        <f t="shared" si="8"/>
        <v>62963</v>
      </c>
      <c r="J109" s="121"/>
      <c r="K109" s="121"/>
      <c r="L109" s="121"/>
      <c r="M109" s="121"/>
      <c r="N109" s="121"/>
      <c r="O109" s="121"/>
      <c r="P109" s="121"/>
      <c r="Q109" s="121"/>
      <c r="R109" s="121">
        <v>62963</v>
      </c>
      <c r="S109" s="121"/>
      <c r="T109" s="121"/>
      <c r="U109" s="121"/>
      <c r="V109" s="121"/>
      <c r="W109" s="125"/>
    </row>
    <row r="110" spans="1:23">
      <c r="A110" s="1214">
        <v>30.04</v>
      </c>
      <c r="B110" s="261" t="s">
        <v>1187</v>
      </c>
      <c r="C110" s="1215">
        <f t="shared" si="6"/>
        <v>4188509.01</v>
      </c>
      <c r="D110" s="1117">
        <f t="shared" si="7"/>
        <v>1300000</v>
      </c>
      <c r="E110" s="121">
        <v>1300000</v>
      </c>
      <c r="F110" s="121"/>
      <c r="G110" s="121"/>
      <c r="H110" s="121"/>
      <c r="I110" s="1117">
        <f t="shared" si="8"/>
        <v>0</v>
      </c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5"/>
    </row>
    <row r="111" spans="1:23">
      <c r="A111" s="1214">
        <v>30.04</v>
      </c>
      <c r="B111" s="261" t="s">
        <v>1201</v>
      </c>
      <c r="C111" s="1215">
        <f t="shared" si="6"/>
        <v>4188009.01</v>
      </c>
      <c r="D111" s="1117">
        <f t="shared" si="7"/>
        <v>0</v>
      </c>
      <c r="E111" s="121"/>
      <c r="F111" s="121"/>
      <c r="G111" s="121"/>
      <c r="H111" s="121"/>
      <c r="I111" s="1117">
        <f t="shared" si="8"/>
        <v>500</v>
      </c>
      <c r="J111" s="121">
        <v>500</v>
      </c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5"/>
    </row>
    <row r="112" spans="1:23">
      <c r="A112" s="1214">
        <v>3.05</v>
      </c>
      <c r="B112" s="261" t="s">
        <v>1207</v>
      </c>
      <c r="C112" s="1215">
        <f t="shared" si="6"/>
        <v>3977559.01</v>
      </c>
      <c r="D112" s="1117">
        <f t="shared" si="7"/>
        <v>0</v>
      </c>
      <c r="E112" s="121"/>
      <c r="F112" s="121"/>
      <c r="G112" s="121"/>
      <c r="H112" s="121"/>
      <c r="I112" s="1117">
        <f t="shared" si="8"/>
        <v>210450</v>
      </c>
      <c r="J112" s="121"/>
      <c r="K112" s="121"/>
      <c r="L112" s="121"/>
      <c r="M112" s="121"/>
      <c r="N112" s="121"/>
      <c r="O112" s="121"/>
      <c r="P112" s="121"/>
      <c r="Q112" s="121"/>
      <c r="R112" s="121"/>
      <c r="S112" s="121">
        <v>210450</v>
      </c>
      <c r="T112" s="121"/>
      <c r="U112" s="121"/>
      <c r="V112" s="121"/>
      <c r="W112" s="125"/>
    </row>
    <row r="113" spans="1:23">
      <c r="A113" s="1214">
        <v>3.05</v>
      </c>
      <c r="B113" s="261" t="s">
        <v>1184</v>
      </c>
      <c r="C113" s="1215">
        <f t="shared" si="6"/>
        <v>3598749.01</v>
      </c>
      <c r="D113" s="1117">
        <f t="shared" si="7"/>
        <v>0</v>
      </c>
      <c r="E113" s="121"/>
      <c r="F113" s="121"/>
      <c r="G113" s="121"/>
      <c r="H113" s="121"/>
      <c r="I113" s="1117">
        <f t="shared" si="8"/>
        <v>378810</v>
      </c>
      <c r="J113" s="121"/>
      <c r="K113" s="121"/>
      <c r="L113" s="121"/>
      <c r="M113" s="121"/>
      <c r="N113" s="121"/>
      <c r="O113" s="121"/>
      <c r="P113" s="121"/>
      <c r="Q113" s="121"/>
      <c r="R113" s="121">
        <v>378810</v>
      </c>
      <c r="S113" s="121"/>
      <c r="T113" s="121"/>
      <c r="U113" s="121"/>
      <c r="V113" s="121"/>
      <c r="W113" s="125"/>
    </row>
    <row r="114" spans="1:23">
      <c r="A114" s="1214">
        <v>3.05</v>
      </c>
      <c r="B114" s="261" t="s">
        <v>1184</v>
      </c>
      <c r="C114" s="1215">
        <f t="shared" si="6"/>
        <v>3318149.01</v>
      </c>
      <c r="D114" s="1117">
        <f t="shared" si="7"/>
        <v>0</v>
      </c>
      <c r="E114" s="121"/>
      <c r="F114" s="121"/>
      <c r="G114" s="121"/>
      <c r="H114" s="121"/>
      <c r="I114" s="1117">
        <f t="shared" si="8"/>
        <v>280600</v>
      </c>
      <c r="J114" s="121"/>
      <c r="K114" s="121"/>
      <c r="L114" s="121"/>
      <c r="M114" s="121"/>
      <c r="N114" s="121"/>
      <c r="O114" s="121"/>
      <c r="P114" s="121"/>
      <c r="Q114" s="121"/>
      <c r="R114" s="121">
        <v>280600</v>
      </c>
      <c r="S114" s="121"/>
      <c r="T114" s="121"/>
      <c r="U114" s="121"/>
      <c r="V114" s="121"/>
      <c r="W114" s="125"/>
    </row>
    <row r="115" spans="1:23">
      <c r="A115" s="1214">
        <v>4.05</v>
      </c>
      <c r="B115" s="261" t="s">
        <v>1193</v>
      </c>
      <c r="C115" s="1215">
        <f t="shared" si="6"/>
        <v>2829907.01</v>
      </c>
      <c r="D115" s="1117">
        <f t="shared" si="7"/>
        <v>0</v>
      </c>
      <c r="E115" s="121"/>
      <c r="F115" s="121"/>
      <c r="G115" s="121"/>
      <c r="H115" s="121"/>
      <c r="I115" s="1117">
        <f t="shared" si="8"/>
        <v>488242</v>
      </c>
      <c r="J115" s="121"/>
      <c r="K115" s="121"/>
      <c r="L115" s="121"/>
      <c r="M115" s="121">
        <v>488242</v>
      </c>
      <c r="N115" s="121"/>
      <c r="O115" s="121"/>
      <c r="P115" s="121"/>
      <c r="Q115" s="121"/>
      <c r="R115" s="121"/>
      <c r="S115" s="121"/>
      <c r="T115" s="121"/>
      <c r="U115" s="121"/>
      <c r="V115" s="121"/>
      <c r="W115" s="125"/>
    </row>
    <row r="116" spans="1:23">
      <c r="A116" s="1214">
        <v>9.0500000000000007</v>
      </c>
      <c r="B116" s="261" t="s">
        <v>1201</v>
      </c>
      <c r="C116" s="1215">
        <f t="shared" si="6"/>
        <v>2829807.01</v>
      </c>
      <c r="D116" s="1117">
        <f t="shared" si="7"/>
        <v>0</v>
      </c>
      <c r="E116" s="121"/>
      <c r="F116" s="121"/>
      <c r="G116" s="121"/>
      <c r="H116" s="121"/>
      <c r="I116" s="1117">
        <f t="shared" si="8"/>
        <v>100</v>
      </c>
      <c r="J116" s="121">
        <v>100</v>
      </c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5"/>
    </row>
    <row r="117" spans="1:23">
      <c r="A117" s="1214">
        <v>9.0500000000000007</v>
      </c>
      <c r="B117" s="261" t="s">
        <v>1194</v>
      </c>
      <c r="C117" s="1215">
        <f t="shared" si="6"/>
        <v>2650379.0099999998</v>
      </c>
      <c r="D117" s="1117">
        <f t="shared" si="7"/>
        <v>0</v>
      </c>
      <c r="E117" s="121"/>
      <c r="F117" s="121"/>
      <c r="G117" s="121"/>
      <c r="H117" s="121"/>
      <c r="I117" s="1117">
        <f t="shared" si="8"/>
        <v>179428</v>
      </c>
      <c r="J117" s="121"/>
      <c r="K117" s="121"/>
      <c r="L117" s="121"/>
      <c r="M117" s="121"/>
      <c r="N117" s="121">
        <v>179428</v>
      </c>
      <c r="O117" s="121"/>
      <c r="P117" s="121"/>
      <c r="Q117" s="121"/>
      <c r="R117" s="121"/>
      <c r="S117" s="121"/>
      <c r="T117" s="121"/>
      <c r="U117" s="121"/>
      <c r="V117" s="121"/>
      <c r="W117" s="125"/>
    </row>
    <row r="118" spans="1:23">
      <c r="A118" s="1214">
        <v>9.0500000000000007</v>
      </c>
      <c r="B118" s="261" t="s">
        <v>1201</v>
      </c>
      <c r="C118" s="1215">
        <f t="shared" si="6"/>
        <v>2650229.0099999998</v>
      </c>
      <c r="D118" s="1117">
        <f t="shared" si="7"/>
        <v>0</v>
      </c>
      <c r="E118" s="121"/>
      <c r="F118" s="121"/>
      <c r="G118" s="121"/>
      <c r="H118" s="121"/>
      <c r="I118" s="1117">
        <f t="shared" si="8"/>
        <v>150</v>
      </c>
      <c r="J118" s="121">
        <v>150</v>
      </c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5"/>
    </row>
    <row r="119" spans="1:23">
      <c r="A119" s="1214">
        <v>9.0500000000000007</v>
      </c>
      <c r="B119" s="261" t="s">
        <v>1212</v>
      </c>
      <c r="C119" s="1215">
        <f t="shared" si="6"/>
        <v>2598919.0099999998</v>
      </c>
      <c r="D119" s="1117">
        <f t="shared" si="7"/>
        <v>0</v>
      </c>
      <c r="E119" s="121"/>
      <c r="F119" s="121"/>
      <c r="G119" s="121"/>
      <c r="H119" s="121"/>
      <c r="I119" s="1117">
        <f t="shared" si="8"/>
        <v>51310</v>
      </c>
      <c r="J119" s="121"/>
      <c r="K119" s="121"/>
      <c r="L119" s="121"/>
      <c r="M119" s="121"/>
      <c r="N119" s="121"/>
      <c r="O119" s="121">
        <v>51310</v>
      </c>
      <c r="P119" s="121"/>
      <c r="Q119" s="121"/>
      <c r="R119" s="121"/>
      <c r="S119" s="121"/>
      <c r="T119" s="121"/>
      <c r="U119" s="121"/>
      <c r="V119" s="121"/>
      <c r="W119" s="125"/>
    </row>
    <row r="120" spans="1:23">
      <c r="A120" s="1214">
        <v>9.0500000000000007</v>
      </c>
      <c r="B120" s="261" t="s">
        <v>1201</v>
      </c>
      <c r="C120" s="1215">
        <f t="shared" si="6"/>
        <v>2598769.0099999998</v>
      </c>
      <c r="D120" s="1117">
        <f t="shared" si="7"/>
        <v>0</v>
      </c>
      <c r="E120" s="121"/>
      <c r="F120" s="121"/>
      <c r="G120" s="121"/>
      <c r="H120" s="121"/>
      <c r="I120" s="1117">
        <f t="shared" si="8"/>
        <v>150</v>
      </c>
      <c r="J120" s="121">
        <v>150</v>
      </c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5"/>
    </row>
    <row r="121" spans="1:23">
      <c r="A121" s="1214">
        <v>9.0500000000000007</v>
      </c>
      <c r="B121" s="261" t="s">
        <v>1207</v>
      </c>
      <c r="C121" s="1215">
        <f t="shared" si="6"/>
        <v>2548769.0099999998</v>
      </c>
      <c r="D121" s="1117">
        <f t="shared" si="7"/>
        <v>0</v>
      </c>
      <c r="E121" s="121"/>
      <c r="F121" s="121"/>
      <c r="G121" s="121"/>
      <c r="H121" s="121"/>
      <c r="I121" s="1117">
        <f t="shared" si="8"/>
        <v>50000</v>
      </c>
      <c r="J121" s="121"/>
      <c r="K121" s="121"/>
      <c r="L121" s="121"/>
      <c r="M121" s="121"/>
      <c r="N121" s="121"/>
      <c r="O121" s="121"/>
      <c r="P121" s="121"/>
      <c r="Q121" s="121"/>
      <c r="R121" s="121"/>
      <c r="S121" s="121">
        <v>50000</v>
      </c>
      <c r="T121" s="121"/>
      <c r="U121" s="121"/>
      <c r="V121" s="121"/>
      <c r="W121" s="125"/>
    </row>
    <row r="122" spans="1:23">
      <c r="A122" s="1214">
        <v>9.0500000000000007</v>
      </c>
      <c r="B122" s="261" t="s">
        <v>1184</v>
      </c>
      <c r="C122" s="1215">
        <f t="shared" si="6"/>
        <v>2472769.0099999998</v>
      </c>
      <c r="D122" s="1117">
        <f t="shared" si="7"/>
        <v>0</v>
      </c>
      <c r="E122" s="121"/>
      <c r="F122" s="121"/>
      <c r="G122" s="121"/>
      <c r="H122" s="121"/>
      <c r="I122" s="1117">
        <f t="shared" si="8"/>
        <v>76000</v>
      </c>
      <c r="J122" s="121"/>
      <c r="K122" s="121"/>
      <c r="L122" s="121"/>
      <c r="M122" s="121"/>
      <c r="N122" s="121"/>
      <c r="O122" s="121"/>
      <c r="P122" s="121"/>
      <c r="Q122" s="121"/>
      <c r="R122" s="121">
        <v>76000</v>
      </c>
      <c r="S122" s="121"/>
      <c r="T122" s="121"/>
      <c r="U122" s="121"/>
      <c r="V122" s="121"/>
      <c r="W122" s="125"/>
    </row>
    <row r="123" spans="1:23">
      <c r="A123" s="1214">
        <v>10.050000000000001</v>
      </c>
      <c r="B123" s="261" t="s">
        <v>1184</v>
      </c>
      <c r="C123" s="1215">
        <f t="shared" si="6"/>
        <v>2372769.0099999998</v>
      </c>
      <c r="D123" s="1117">
        <f t="shared" si="7"/>
        <v>0</v>
      </c>
      <c r="E123" s="121"/>
      <c r="F123" s="121"/>
      <c r="G123" s="121"/>
      <c r="H123" s="121"/>
      <c r="I123" s="1117">
        <f t="shared" si="8"/>
        <v>100000</v>
      </c>
      <c r="J123" s="121"/>
      <c r="K123" s="121"/>
      <c r="L123" s="121"/>
      <c r="M123" s="121"/>
      <c r="N123" s="121"/>
      <c r="O123" s="121"/>
      <c r="P123" s="121"/>
      <c r="Q123" s="121"/>
      <c r="R123" s="121">
        <v>100000</v>
      </c>
      <c r="S123" s="121"/>
      <c r="T123" s="121"/>
      <c r="U123" s="121"/>
      <c r="V123" s="121"/>
      <c r="W123" s="125"/>
    </row>
    <row r="124" spans="1:23">
      <c r="A124" s="1214">
        <v>10.050000000000001</v>
      </c>
      <c r="B124" s="261" t="s">
        <v>1207</v>
      </c>
      <c r="C124" s="1215">
        <f t="shared" si="6"/>
        <v>2302769.0099999998</v>
      </c>
      <c r="D124" s="1117">
        <f t="shared" si="7"/>
        <v>0</v>
      </c>
      <c r="E124" s="121"/>
      <c r="F124" s="121"/>
      <c r="G124" s="121"/>
      <c r="H124" s="121"/>
      <c r="I124" s="1117">
        <f t="shared" si="8"/>
        <v>70000</v>
      </c>
      <c r="J124" s="121"/>
      <c r="K124" s="121"/>
      <c r="L124" s="121"/>
      <c r="M124" s="121"/>
      <c r="N124" s="121"/>
      <c r="O124" s="121"/>
      <c r="P124" s="121"/>
      <c r="Q124" s="121"/>
      <c r="R124" s="121"/>
      <c r="S124" s="121">
        <v>70000</v>
      </c>
      <c r="T124" s="121"/>
      <c r="U124" s="121"/>
      <c r="V124" s="121"/>
      <c r="W124" s="125"/>
    </row>
    <row r="125" spans="1:23">
      <c r="A125" s="1214">
        <v>11.05</v>
      </c>
      <c r="B125" s="261" t="s">
        <v>1046</v>
      </c>
      <c r="C125" s="1215">
        <f t="shared" si="6"/>
        <v>2288221.7999999998</v>
      </c>
      <c r="D125" s="1117">
        <f t="shared" si="7"/>
        <v>0</v>
      </c>
      <c r="E125" s="121"/>
      <c r="F125" s="121"/>
      <c r="G125" s="121"/>
      <c r="H125" s="121"/>
      <c r="I125" s="1117">
        <f t="shared" si="8"/>
        <v>14547.21</v>
      </c>
      <c r="J125" s="121"/>
      <c r="K125" s="121"/>
      <c r="L125" s="121">
        <v>14547.21</v>
      </c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5"/>
    </row>
    <row r="126" spans="1:23">
      <c r="A126" s="1214">
        <v>11.05</v>
      </c>
      <c r="B126" s="261" t="s">
        <v>1208</v>
      </c>
      <c r="C126" s="1215">
        <f t="shared" si="6"/>
        <v>2267975.7999999998</v>
      </c>
      <c r="D126" s="1117">
        <f t="shared" si="7"/>
        <v>0</v>
      </c>
      <c r="E126" s="121"/>
      <c r="F126" s="121"/>
      <c r="G126" s="121"/>
      <c r="H126" s="121"/>
      <c r="I126" s="1117">
        <f t="shared" si="8"/>
        <v>20246</v>
      </c>
      <c r="J126" s="121"/>
      <c r="K126" s="121"/>
      <c r="L126" s="121"/>
      <c r="M126" s="121"/>
      <c r="N126" s="121"/>
      <c r="O126" s="121"/>
      <c r="P126" s="121">
        <v>20246</v>
      </c>
      <c r="Q126" s="121"/>
      <c r="R126" s="121"/>
      <c r="S126" s="121"/>
      <c r="T126" s="121"/>
      <c r="U126" s="121"/>
      <c r="V126" s="121"/>
      <c r="W126" s="125"/>
    </row>
    <row r="127" spans="1:23">
      <c r="A127" s="1214">
        <v>11.05</v>
      </c>
      <c r="B127" s="261" t="s">
        <v>1201</v>
      </c>
      <c r="C127" s="1215">
        <f t="shared" si="6"/>
        <v>2267825.7999999998</v>
      </c>
      <c r="D127" s="1117">
        <f t="shared" si="7"/>
        <v>0</v>
      </c>
      <c r="E127" s="121"/>
      <c r="F127" s="121"/>
      <c r="G127" s="121"/>
      <c r="H127" s="121"/>
      <c r="I127" s="1117">
        <f t="shared" si="8"/>
        <v>150</v>
      </c>
      <c r="J127" s="121">
        <v>150</v>
      </c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5"/>
    </row>
    <row r="128" spans="1:23">
      <c r="A128" s="1214">
        <v>11.05</v>
      </c>
      <c r="B128" s="261" t="s">
        <v>1184</v>
      </c>
      <c r="C128" s="1215">
        <f t="shared" si="6"/>
        <v>2229825.7999999998</v>
      </c>
      <c r="D128" s="1117">
        <f t="shared" si="7"/>
        <v>0</v>
      </c>
      <c r="E128" s="121"/>
      <c r="F128" s="121"/>
      <c r="G128" s="121"/>
      <c r="H128" s="121"/>
      <c r="I128" s="1117">
        <f t="shared" si="8"/>
        <v>38000</v>
      </c>
      <c r="J128" s="121"/>
      <c r="K128" s="121"/>
      <c r="L128" s="121"/>
      <c r="M128" s="121"/>
      <c r="N128" s="121"/>
      <c r="O128" s="121"/>
      <c r="P128" s="121"/>
      <c r="Q128" s="121"/>
      <c r="R128" s="121">
        <v>38000</v>
      </c>
      <c r="S128" s="121"/>
      <c r="T128" s="121"/>
      <c r="U128" s="121"/>
      <c r="V128" s="121"/>
      <c r="W128" s="125"/>
    </row>
    <row r="129" spans="1:23">
      <c r="A129" s="1214">
        <v>23.05</v>
      </c>
      <c r="B129" s="261" t="s">
        <v>1184</v>
      </c>
      <c r="C129" s="1215">
        <f t="shared" si="6"/>
        <v>2154825.7999999998</v>
      </c>
      <c r="D129" s="1117">
        <f t="shared" si="7"/>
        <v>0</v>
      </c>
      <c r="E129" s="121"/>
      <c r="F129" s="121"/>
      <c r="G129" s="121"/>
      <c r="H129" s="121"/>
      <c r="I129" s="1117">
        <f t="shared" si="8"/>
        <v>75000</v>
      </c>
      <c r="J129" s="121"/>
      <c r="K129" s="121"/>
      <c r="L129" s="121"/>
      <c r="M129" s="121"/>
      <c r="N129" s="121"/>
      <c r="O129" s="121"/>
      <c r="P129" s="121"/>
      <c r="Q129" s="121"/>
      <c r="R129" s="121">
        <v>75000</v>
      </c>
      <c r="S129" s="121"/>
      <c r="T129" s="121"/>
      <c r="U129" s="121"/>
      <c r="V129" s="121"/>
      <c r="W129" s="125"/>
    </row>
    <row r="130" spans="1:23">
      <c r="A130" s="1214">
        <v>25.05</v>
      </c>
      <c r="B130" s="261" t="s">
        <v>1184</v>
      </c>
      <c r="C130" s="1215">
        <f t="shared" si="6"/>
        <v>2088711.7999999998</v>
      </c>
      <c r="D130" s="1117">
        <f t="shared" si="7"/>
        <v>0</v>
      </c>
      <c r="E130" s="121"/>
      <c r="F130" s="121"/>
      <c r="G130" s="121"/>
      <c r="H130" s="121"/>
      <c r="I130" s="1117">
        <f t="shared" si="8"/>
        <v>66114</v>
      </c>
      <c r="J130" s="121"/>
      <c r="K130" s="121"/>
      <c r="L130" s="121"/>
      <c r="M130" s="121"/>
      <c r="N130" s="121"/>
      <c r="O130" s="121"/>
      <c r="P130" s="121"/>
      <c r="Q130" s="121"/>
      <c r="R130" s="121">
        <v>66114</v>
      </c>
      <c r="S130" s="121"/>
      <c r="T130" s="121"/>
      <c r="U130" s="121"/>
      <c r="V130" s="121"/>
      <c r="W130" s="125"/>
    </row>
    <row r="131" spans="1:23">
      <c r="A131" s="1214">
        <v>25.05</v>
      </c>
      <c r="B131" s="261" t="s">
        <v>1213</v>
      </c>
      <c r="C131" s="1215">
        <f t="shared" si="6"/>
        <v>1895711.7999999998</v>
      </c>
      <c r="D131" s="1117">
        <f t="shared" si="7"/>
        <v>0</v>
      </c>
      <c r="E131" s="121"/>
      <c r="F131" s="121"/>
      <c r="G131" s="121"/>
      <c r="H131" s="121"/>
      <c r="I131" s="1117">
        <f t="shared" si="8"/>
        <v>193000</v>
      </c>
      <c r="J131" s="121"/>
      <c r="K131" s="121"/>
      <c r="L131" s="121">
        <v>193000</v>
      </c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5"/>
    </row>
    <row r="132" spans="1:23">
      <c r="A132" s="1214">
        <v>25.05</v>
      </c>
      <c r="B132" s="261" t="s">
        <v>1201</v>
      </c>
      <c r="C132" s="1215">
        <f t="shared" ref="C132:C195" si="9">+C131+D132-I132</f>
        <v>1895661.7999999998</v>
      </c>
      <c r="D132" s="1117">
        <f t="shared" ref="D132:D195" si="10">SUM(E132:H132)</f>
        <v>0</v>
      </c>
      <c r="E132" s="121"/>
      <c r="F132" s="121"/>
      <c r="G132" s="121"/>
      <c r="H132" s="121"/>
      <c r="I132" s="1117">
        <f t="shared" ref="I132:I195" si="11">SUM(J132:W132)</f>
        <v>50</v>
      </c>
      <c r="J132" s="121">
        <v>50</v>
      </c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5"/>
    </row>
    <row r="133" spans="1:23">
      <c r="A133" s="1214">
        <v>25.05</v>
      </c>
      <c r="B133" s="261" t="s">
        <v>1213</v>
      </c>
      <c r="C133" s="1215">
        <f t="shared" si="9"/>
        <v>1283661.7999999998</v>
      </c>
      <c r="D133" s="1117">
        <f t="shared" si="10"/>
        <v>0</v>
      </c>
      <c r="E133" s="121"/>
      <c r="F133" s="121"/>
      <c r="G133" s="121"/>
      <c r="H133" s="121"/>
      <c r="I133" s="1117">
        <f t="shared" si="11"/>
        <v>612000</v>
      </c>
      <c r="J133" s="121"/>
      <c r="K133" s="121"/>
      <c r="L133" s="121">
        <v>612000</v>
      </c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5"/>
    </row>
    <row r="134" spans="1:23">
      <c r="A134" s="1214">
        <v>30.05</v>
      </c>
      <c r="B134" s="261" t="s">
        <v>1187</v>
      </c>
      <c r="C134" s="1215">
        <f t="shared" si="9"/>
        <v>2283661.7999999998</v>
      </c>
      <c r="D134" s="1117">
        <f t="shared" si="10"/>
        <v>1000000</v>
      </c>
      <c r="E134" s="121">
        <v>1000000</v>
      </c>
      <c r="F134" s="121"/>
      <c r="G134" s="121"/>
      <c r="H134" s="121"/>
      <c r="I134" s="1117">
        <f t="shared" si="11"/>
        <v>0</v>
      </c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5"/>
    </row>
    <row r="135" spans="1:23">
      <c r="A135" s="1214">
        <v>31.05</v>
      </c>
      <c r="B135" s="261" t="s">
        <v>1201</v>
      </c>
      <c r="C135" s="1215">
        <f t="shared" si="9"/>
        <v>2283161.7999999998</v>
      </c>
      <c r="D135" s="1117">
        <f t="shared" si="10"/>
        <v>0</v>
      </c>
      <c r="E135" s="121"/>
      <c r="F135" s="121"/>
      <c r="G135" s="121"/>
      <c r="H135" s="121"/>
      <c r="I135" s="1117">
        <f t="shared" si="11"/>
        <v>500</v>
      </c>
      <c r="J135" s="121">
        <v>500</v>
      </c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5"/>
    </row>
    <row r="136" spans="1:23">
      <c r="A136" s="1214">
        <v>1.06</v>
      </c>
      <c r="B136" s="261" t="s">
        <v>657</v>
      </c>
      <c r="C136" s="1215">
        <f t="shared" si="9"/>
        <v>1794919.7999999998</v>
      </c>
      <c r="D136" s="1117">
        <f t="shared" si="10"/>
        <v>0</v>
      </c>
      <c r="E136" s="121"/>
      <c r="F136" s="121"/>
      <c r="G136" s="121"/>
      <c r="H136" s="121"/>
      <c r="I136" s="1117">
        <f t="shared" si="11"/>
        <v>488242</v>
      </c>
      <c r="J136" s="121"/>
      <c r="K136" s="121"/>
      <c r="L136" s="121">
        <v>488242</v>
      </c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5"/>
    </row>
    <row r="137" spans="1:23">
      <c r="A137" s="1214">
        <v>7.06</v>
      </c>
      <c r="B137" s="261" t="s">
        <v>1184</v>
      </c>
      <c r="C137" s="1215">
        <f t="shared" si="9"/>
        <v>1780919.7999999998</v>
      </c>
      <c r="D137" s="1117">
        <f t="shared" si="10"/>
        <v>0</v>
      </c>
      <c r="E137" s="121"/>
      <c r="F137" s="121"/>
      <c r="G137" s="121"/>
      <c r="H137" s="121"/>
      <c r="I137" s="1117">
        <f t="shared" si="11"/>
        <v>14000</v>
      </c>
      <c r="J137" s="121"/>
      <c r="K137" s="121"/>
      <c r="L137" s="121"/>
      <c r="M137" s="121"/>
      <c r="N137" s="121"/>
      <c r="O137" s="121"/>
      <c r="P137" s="121"/>
      <c r="Q137" s="121"/>
      <c r="R137" s="121">
        <v>14000</v>
      </c>
      <c r="S137" s="121"/>
      <c r="T137" s="121"/>
      <c r="U137" s="121"/>
      <c r="V137" s="121"/>
      <c r="W137" s="125"/>
    </row>
    <row r="138" spans="1:23">
      <c r="A138" s="1214">
        <v>8.06</v>
      </c>
      <c r="B138" s="261" t="s">
        <v>1187</v>
      </c>
      <c r="C138" s="1215">
        <f t="shared" si="9"/>
        <v>2580919.7999999998</v>
      </c>
      <c r="D138" s="1117">
        <f t="shared" si="10"/>
        <v>800000</v>
      </c>
      <c r="E138" s="121"/>
      <c r="F138" s="121">
        <v>800000</v>
      </c>
      <c r="G138" s="121"/>
      <c r="H138" s="121"/>
      <c r="I138" s="1117">
        <f t="shared" si="11"/>
        <v>0</v>
      </c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5"/>
    </row>
    <row r="139" spans="1:23">
      <c r="A139" s="1214">
        <v>12.06</v>
      </c>
      <c r="B139" s="261" t="s">
        <v>1187</v>
      </c>
      <c r="C139" s="1215">
        <f t="shared" si="9"/>
        <v>2820919.8</v>
      </c>
      <c r="D139" s="1117">
        <f t="shared" si="10"/>
        <v>240000</v>
      </c>
      <c r="E139" s="121"/>
      <c r="F139" s="121">
        <v>240000</v>
      </c>
      <c r="G139" s="121"/>
      <c r="H139" s="121"/>
      <c r="I139" s="1117">
        <f t="shared" si="11"/>
        <v>0</v>
      </c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5"/>
    </row>
    <row r="140" spans="1:23">
      <c r="A140" s="1214">
        <v>12.06</v>
      </c>
      <c r="B140" s="261" t="s">
        <v>1191</v>
      </c>
      <c r="C140" s="1215">
        <f t="shared" si="9"/>
        <v>2769609.8</v>
      </c>
      <c r="D140" s="1117">
        <f t="shared" si="10"/>
        <v>0</v>
      </c>
      <c r="E140" s="121"/>
      <c r="F140" s="121"/>
      <c r="G140" s="121"/>
      <c r="H140" s="121"/>
      <c r="I140" s="1117">
        <f t="shared" si="11"/>
        <v>51310</v>
      </c>
      <c r="J140" s="121"/>
      <c r="K140" s="121"/>
      <c r="L140" s="121"/>
      <c r="M140" s="121"/>
      <c r="N140" s="121"/>
      <c r="O140" s="121">
        <v>51310</v>
      </c>
      <c r="P140" s="121"/>
      <c r="Q140" s="121"/>
      <c r="R140" s="121"/>
      <c r="S140" s="121"/>
      <c r="T140" s="121"/>
      <c r="U140" s="121"/>
      <c r="V140" s="121"/>
      <c r="W140" s="125"/>
    </row>
    <row r="141" spans="1:23">
      <c r="A141" s="1214">
        <v>12.06</v>
      </c>
      <c r="B141" s="261" t="s">
        <v>1201</v>
      </c>
      <c r="C141" s="1215">
        <f t="shared" si="9"/>
        <v>2769459.8</v>
      </c>
      <c r="D141" s="1117">
        <f t="shared" si="10"/>
        <v>0</v>
      </c>
      <c r="E141" s="121"/>
      <c r="F141" s="121"/>
      <c r="G141" s="121"/>
      <c r="H141" s="121"/>
      <c r="I141" s="1117">
        <f t="shared" si="11"/>
        <v>150</v>
      </c>
      <c r="J141" s="121">
        <v>150</v>
      </c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5"/>
    </row>
    <row r="142" spans="1:23">
      <c r="A142" s="1214">
        <v>12.06</v>
      </c>
      <c r="B142" s="261" t="s">
        <v>1204</v>
      </c>
      <c r="C142" s="1215">
        <f t="shared" si="9"/>
        <v>2590031.7999999998</v>
      </c>
      <c r="D142" s="1117">
        <f t="shared" si="10"/>
        <v>0</v>
      </c>
      <c r="E142" s="121"/>
      <c r="F142" s="121"/>
      <c r="G142" s="121"/>
      <c r="H142" s="121"/>
      <c r="I142" s="1117">
        <f t="shared" si="11"/>
        <v>179428</v>
      </c>
      <c r="J142" s="121"/>
      <c r="K142" s="121"/>
      <c r="L142" s="121"/>
      <c r="M142" s="121"/>
      <c r="N142" s="121">
        <v>179428</v>
      </c>
      <c r="O142" s="121"/>
      <c r="P142" s="121"/>
      <c r="Q142" s="121"/>
      <c r="R142" s="121"/>
      <c r="S142" s="121"/>
      <c r="T142" s="121"/>
      <c r="U142" s="121"/>
      <c r="V142" s="121"/>
      <c r="W142" s="125"/>
    </row>
    <row r="143" spans="1:23">
      <c r="A143" s="1214">
        <v>12.06</v>
      </c>
      <c r="B143" s="261" t="s">
        <v>1201</v>
      </c>
      <c r="C143" s="1215">
        <f t="shared" si="9"/>
        <v>2589881.7999999998</v>
      </c>
      <c r="D143" s="1117">
        <f t="shared" si="10"/>
        <v>0</v>
      </c>
      <c r="E143" s="121"/>
      <c r="F143" s="121"/>
      <c r="G143" s="121"/>
      <c r="H143" s="121"/>
      <c r="I143" s="1117">
        <f t="shared" si="11"/>
        <v>150</v>
      </c>
      <c r="J143" s="121">
        <v>150</v>
      </c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5"/>
    </row>
    <row r="144" spans="1:23">
      <c r="A144" s="1214">
        <v>12.06</v>
      </c>
      <c r="B144" s="261" t="s">
        <v>1205</v>
      </c>
      <c r="C144" s="1215">
        <f t="shared" si="9"/>
        <v>2569635.7999999998</v>
      </c>
      <c r="D144" s="1117">
        <f t="shared" si="10"/>
        <v>0</v>
      </c>
      <c r="E144" s="121"/>
      <c r="F144" s="121"/>
      <c r="G144" s="121"/>
      <c r="H144" s="121"/>
      <c r="I144" s="1117">
        <f t="shared" si="11"/>
        <v>20246</v>
      </c>
      <c r="J144" s="121"/>
      <c r="K144" s="121"/>
      <c r="L144" s="121"/>
      <c r="M144" s="121"/>
      <c r="N144" s="121"/>
      <c r="O144" s="121"/>
      <c r="P144" s="121">
        <v>20246</v>
      </c>
      <c r="Q144" s="121"/>
      <c r="R144" s="121"/>
      <c r="S144" s="121"/>
      <c r="T144" s="121"/>
      <c r="U144" s="121"/>
      <c r="V144" s="121"/>
      <c r="W144" s="125"/>
    </row>
    <row r="145" spans="1:23">
      <c r="A145" s="1214">
        <v>12.06</v>
      </c>
      <c r="B145" s="261" t="s">
        <v>1201</v>
      </c>
      <c r="C145" s="1215">
        <f t="shared" si="9"/>
        <v>2569485.7999999998</v>
      </c>
      <c r="D145" s="1117">
        <f t="shared" si="10"/>
        <v>0</v>
      </c>
      <c r="E145" s="121"/>
      <c r="F145" s="121"/>
      <c r="G145" s="121"/>
      <c r="H145" s="121"/>
      <c r="I145" s="1117">
        <f t="shared" si="11"/>
        <v>150</v>
      </c>
      <c r="J145" s="121">
        <v>150</v>
      </c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5"/>
    </row>
    <row r="146" spans="1:23">
      <c r="A146" s="1214">
        <v>12.06</v>
      </c>
      <c r="B146" s="261" t="s">
        <v>1207</v>
      </c>
      <c r="C146" s="1215">
        <f t="shared" si="9"/>
        <v>2509485.7999999998</v>
      </c>
      <c r="D146" s="1117">
        <f t="shared" si="10"/>
        <v>0</v>
      </c>
      <c r="E146" s="121"/>
      <c r="F146" s="121"/>
      <c r="G146" s="121"/>
      <c r="H146" s="121"/>
      <c r="I146" s="1117">
        <f t="shared" si="11"/>
        <v>60000</v>
      </c>
      <c r="J146" s="121"/>
      <c r="K146" s="121"/>
      <c r="L146" s="121"/>
      <c r="M146" s="121"/>
      <c r="N146" s="121"/>
      <c r="O146" s="121"/>
      <c r="P146" s="121"/>
      <c r="Q146" s="121"/>
      <c r="R146" s="121"/>
      <c r="S146" s="121">
        <v>60000</v>
      </c>
      <c r="T146" s="121"/>
      <c r="U146" s="121"/>
      <c r="V146" s="121"/>
      <c r="W146" s="125"/>
    </row>
    <row r="147" spans="1:23">
      <c r="A147" s="1214">
        <v>12.06</v>
      </c>
      <c r="B147" s="261" t="s">
        <v>1201</v>
      </c>
      <c r="C147" s="1215">
        <f t="shared" si="9"/>
        <v>2509385.7999999998</v>
      </c>
      <c r="D147" s="1117">
        <f t="shared" si="10"/>
        <v>0</v>
      </c>
      <c r="E147" s="121"/>
      <c r="F147" s="121"/>
      <c r="G147" s="121"/>
      <c r="H147" s="121"/>
      <c r="I147" s="1117">
        <f t="shared" si="11"/>
        <v>100</v>
      </c>
      <c r="J147" s="121">
        <v>100</v>
      </c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5"/>
    </row>
    <row r="148" spans="1:23">
      <c r="A148" s="1214">
        <v>12.06</v>
      </c>
      <c r="B148" s="261" t="s">
        <v>1214</v>
      </c>
      <c r="C148" s="1215">
        <f t="shared" si="9"/>
        <v>2337385.7999999998</v>
      </c>
      <c r="D148" s="1117">
        <f t="shared" si="10"/>
        <v>0</v>
      </c>
      <c r="E148" s="121"/>
      <c r="F148" s="121"/>
      <c r="G148" s="121"/>
      <c r="H148" s="121"/>
      <c r="I148" s="1117">
        <f t="shared" si="11"/>
        <v>172000</v>
      </c>
      <c r="J148" s="121"/>
      <c r="K148" s="121">
        <v>172000</v>
      </c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5"/>
    </row>
    <row r="149" spans="1:23">
      <c r="A149" s="1214">
        <v>12.06</v>
      </c>
      <c r="B149" s="261" t="s">
        <v>1207</v>
      </c>
      <c r="C149" s="1215">
        <f t="shared" si="9"/>
        <v>2327385.7999999998</v>
      </c>
      <c r="D149" s="1117">
        <f t="shared" si="10"/>
        <v>0</v>
      </c>
      <c r="E149" s="121"/>
      <c r="F149" s="121"/>
      <c r="G149" s="121"/>
      <c r="H149" s="121"/>
      <c r="I149" s="1117">
        <f t="shared" si="11"/>
        <v>10000</v>
      </c>
      <c r="J149" s="121"/>
      <c r="K149" s="121"/>
      <c r="L149" s="121"/>
      <c r="M149" s="121"/>
      <c r="N149" s="121"/>
      <c r="O149" s="121"/>
      <c r="P149" s="121"/>
      <c r="Q149" s="121"/>
      <c r="R149" s="121"/>
      <c r="S149" s="121">
        <v>10000</v>
      </c>
      <c r="T149" s="121"/>
      <c r="U149" s="121"/>
      <c r="V149" s="121"/>
      <c r="W149" s="125"/>
    </row>
    <row r="150" spans="1:23">
      <c r="A150" s="1214">
        <v>12.06</v>
      </c>
      <c r="B150" s="261" t="s">
        <v>1184</v>
      </c>
      <c r="C150" s="1215">
        <f t="shared" si="9"/>
        <v>2257385.7999999998</v>
      </c>
      <c r="D150" s="1117">
        <f t="shared" si="10"/>
        <v>0</v>
      </c>
      <c r="E150" s="121"/>
      <c r="F150" s="121"/>
      <c r="G150" s="121"/>
      <c r="H150" s="121"/>
      <c r="I150" s="1117">
        <f t="shared" si="11"/>
        <v>70000</v>
      </c>
      <c r="J150" s="121"/>
      <c r="K150" s="121"/>
      <c r="L150" s="121"/>
      <c r="M150" s="121"/>
      <c r="N150" s="121"/>
      <c r="O150" s="121"/>
      <c r="P150" s="121"/>
      <c r="Q150" s="121"/>
      <c r="R150" s="121">
        <v>70000</v>
      </c>
      <c r="S150" s="121"/>
      <c r="T150" s="121"/>
      <c r="U150" s="121"/>
      <c r="V150" s="121"/>
      <c r="W150" s="125"/>
    </row>
    <row r="151" spans="1:23">
      <c r="A151" s="1214">
        <v>13.06</v>
      </c>
      <c r="B151" s="261" t="s">
        <v>1187</v>
      </c>
      <c r="C151" s="1215">
        <f t="shared" si="9"/>
        <v>2442385.7999999998</v>
      </c>
      <c r="D151" s="1117">
        <f t="shared" si="10"/>
        <v>185000</v>
      </c>
      <c r="E151" s="121"/>
      <c r="F151" s="121">
        <v>185000</v>
      </c>
      <c r="G151" s="121"/>
      <c r="H151" s="121"/>
      <c r="I151" s="1117">
        <f t="shared" si="11"/>
        <v>0</v>
      </c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5"/>
    </row>
    <row r="152" spans="1:23">
      <c r="A152" s="1214">
        <v>14.06</v>
      </c>
      <c r="B152" s="261" t="s">
        <v>1215</v>
      </c>
      <c r="C152" s="1215">
        <f t="shared" si="9"/>
        <v>2567385.7999999998</v>
      </c>
      <c r="D152" s="1117">
        <f t="shared" si="10"/>
        <v>125000</v>
      </c>
      <c r="E152" s="121"/>
      <c r="F152" s="121">
        <v>125000</v>
      </c>
      <c r="G152" s="121"/>
      <c r="H152" s="121"/>
      <c r="I152" s="1117">
        <f t="shared" si="11"/>
        <v>0</v>
      </c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5"/>
    </row>
    <row r="153" spans="1:23">
      <c r="A153" s="1214">
        <v>20.059999999999999</v>
      </c>
      <c r="B153" s="261" t="s">
        <v>1046</v>
      </c>
      <c r="C153" s="1215">
        <f t="shared" si="9"/>
        <v>2553315.6999999997</v>
      </c>
      <c r="D153" s="1117">
        <f t="shared" si="10"/>
        <v>0</v>
      </c>
      <c r="E153" s="121"/>
      <c r="F153" s="121"/>
      <c r="G153" s="121"/>
      <c r="H153" s="121"/>
      <c r="I153" s="1117">
        <f t="shared" si="11"/>
        <v>14070.1</v>
      </c>
      <c r="J153" s="121"/>
      <c r="K153" s="121"/>
      <c r="L153" s="121">
        <v>14070.1</v>
      </c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5"/>
    </row>
    <row r="154" spans="1:23">
      <c r="A154" s="1214">
        <v>20.059999999999999</v>
      </c>
      <c r="B154" s="261" t="s">
        <v>1184</v>
      </c>
      <c r="C154" s="1215">
        <f t="shared" si="9"/>
        <v>2540615.6999999997</v>
      </c>
      <c r="D154" s="1117">
        <f t="shared" si="10"/>
        <v>0</v>
      </c>
      <c r="E154" s="121"/>
      <c r="F154" s="121"/>
      <c r="G154" s="121"/>
      <c r="H154" s="121"/>
      <c r="I154" s="1117">
        <f t="shared" si="11"/>
        <v>12700</v>
      </c>
      <c r="J154" s="121"/>
      <c r="K154" s="121"/>
      <c r="L154" s="121"/>
      <c r="M154" s="121"/>
      <c r="N154" s="121"/>
      <c r="O154" s="121"/>
      <c r="P154" s="121"/>
      <c r="Q154" s="121"/>
      <c r="R154" s="121">
        <v>12700</v>
      </c>
      <c r="S154" s="121"/>
      <c r="T154" s="121"/>
      <c r="U154" s="121"/>
      <c r="V154" s="121"/>
      <c r="W154" s="125"/>
    </row>
    <row r="155" spans="1:23">
      <c r="A155" s="1214">
        <v>20.059999999999999</v>
      </c>
      <c r="B155" s="261" t="s">
        <v>657</v>
      </c>
      <c r="C155" s="1215">
        <f t="shared" si="9"/>
        <v>2370554.6999999997</v>
      </c>
      <c r="D155" s="1117">
        <f t="shared" si="10"/>
        <v>0</v>
      </c>
      <c r="E155" s="121"/>
      <c r="F155" s="121"/>
      <c r="G155" s="121"/>
      <c r="H155" s="121"/>
      <c r="I155" s="1117">
        <f t="shared" si="11"/>
        <v>170061</v>
      </c>
      <c r="J155" s="121"/>
      <c r="K155" s="121"/>
      <c r="L155" s="121"/>
      <c r="M155" s="121">
        <v>170061</v>
      </c>
      <c r="N155" s="121"/>
      <c r="O155" s="121"/>
      <c r="P155" s="121"/>
      <c r="Q155" s="121"/>
      <c r="R155" s="121"/>
      <c r="S155" s="121"/>
      <c r="T155" s="121"/>
      <c r="U155" s="121"/>
      <c r="V155" s="121"/>
      <c r="W155" s="125"/>
    </row>
    <row r="156" spans="1:23">
      <c r="A156" s="1214">
        <v>20.059999999999999</v>
      </c>
      <c r="B156" s="261" t="s">
        <v>1207</v>
      </c>
      <c r="C156" s="1215">
        <f t="shared" si="9"/>
        <v>2360554.6999999997</v>
      </c>
      <c r="D156" s="1117">
        <f t="shared" si="10"/>
        <v>0</v>
      </c>
      <c r="E156" s="121"/>
      <c r="F156" s="121"/>
      <c r="G156" s="121"/>
      <c r="H156" s="121"/>
      <c r="I156" s="1117">
        <f t="shared" si="11"/>
        <v>10000</v>
      </c>
      <c r="J156" s="121"/>
      <c r="K156" s="121"/>
      <c r="L156" s="121"/>
      <c r="M156" s="121"/>
      <c r="N156" s="121"/>
      <c r="O156" s="121"/>
      <c r="P156" s="121"/>
      <c r="Q156" s="121"/>
      <c r="R156" s="121">
        <v>10000</v>
      </c>
      <c r="S156" s="121"/>
      <c r="T156" s="121"/>
      <c r="U156" s="121"/>
      <c r="V156" s="121"/>
      <c r="W156" s="125"/>
    </row>
    <row r="157" spans="1:23">
      <c r="A157" s="1214">
        <v>20.059999999999999</v>
      </c>
      <c r="B157" s="261" t="s">
        <v>1216</v>
      </c>
      <c r="C157" s="1215">
        <f t="shared" si="9"/>
        <v>2137254.6999999997</v>
      </c>
      <c r="D157" s="1117">
        <f t="shared" si="10"/>
        <v>0</v>
      </c>
      <c r="E157" s="121"/>
      <c r="F157" s="121"/>
      <c r="G157" s="121"/>
      <c r="H157" s="121"/>
      <c r="I157" s="1117">
        <f t="shared" si="11"/>
        <v>223300</v>
      </c>
      <c r="J157" s="121"/>
      <c r="K157" s="121"/>
      <c r="L157" s="121"/>
      <c r="M157" s="121"/>
      <c r="N157" s="121"/>
      <c r="O157" s="121"/>
      <c r="P157" s="121"/>
      <c r="Q157" s="121">
        <f>146700+100+15000+61500</f>
        <v>223300</v>
      </c>
      <c r="R157" s="121"/>
      <c r="S157" s="121"/>
      <c r="T157" s="121"/>
      <c r="U157" s="121"/>
      <c r="V157" s="121"/>
      <c r="W157" s="125"/>
    </row>
    <row r="158" spans="1:23">
      <c r="A158" s="1214">
        <v>20.059999999999999</v>
      </c>
      <c r="B158" s="261" t="s">
        <v>1201</v>
      </c>
      <c r="C158" s="1215">
        <f t="shared" si="9"/>
        <v>2137154.6999999997</v>
      </c>
      <c r="D158" s="1117">
        <f t="shared" si="10"/>
        <v>0</v>
      </c>
      <c r="E158" s="121"/>
      <c r="F158" s="121"/>
      <c r="G158" s="121"/>
      <c r="H158" s="121"/>
      <c r="I158" s="1117">
        <f t="shared" si="11"/>
        <v>100</v>
      </c>
      <c r="J158" s="121">
        <f>50+50</f>
        <v>100</v>
      </c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5"/>
    </row>
    <row r="159" spans="1:23">
      <c r="A159" s="1214">
        <v>21.06</v>
      </c>
      <c r="B159" s="261" t="s">
        <v>1184</v>
      </c>
      <c r="C159" s="1215">
        <f t="shared" si="9"/>
        <v>2057154.6999999997</v>
      </c>
      <c r="D159" s="1117">
        <f t="shared" si="10"/>
        <v>0</v>
      </c>
      <c r="E159" s="121"/>
      <c r="F159" s="121"/>
      <c r="G159" s="121"/>
      <c r="H159" s="121"/>
      <c r="I159" s="1117">
        <f t="shared" si="11"/>
        <v>80000</v>
      </c>
      <c r="J159" s="121"/>
      <c r="K159" s="121"/>
      <c r="L159" s="121"/>
      <c r="M159" s="121"/>
      <c r="N159" s="121"/>
      <c r="O159" s="121"/>
      <c r="P159" s="121"/>
      <c r="Q159" s="121"/>
      <c r="R159" s="121">
        <v>80000</v>
      </c>
      <c r="S159" s="121"/>
      <c r="T159" s="121"/>
      <c r="U159" s="121"/>
      <c r="V159" s="121"/>
      <c r="W159" s="125"/>
    </row>
    <row r="160" spans="1:23">
      <c r="A160" s="1214">
        <v>29.06</v>
      </c>
      <c r="B160" s="261" t="s">
        <v>1207</v>
      </c>
      <c r="C160" s="1215">
        <f t="shared" si="9"/>
        <v>1905954.6999999997</v>
      </c>
      <c r="D160" s="1117">
        <f t="shared" si="10"/>
        <v>0</v>
      </c>
      <c r="E160" s="121"/>
      <c r="F160" s="121"/>
      <c r="G160" s="121"/>
      <c r="H160" s="121"/>
      <c r="I160" s="1117">
        <f t="shared" si="11"/>
        <v>151200</v>
      </c>
      <c r="J160" s="121"/>
      <c r="K160" s="121"/>
      <c r="L160" s="121"/>
      <c r="M160" s="121"/>
      <c r="N160" s="121"/>
      <c r="O160" s="121"/>
      <c r="P160" s="121"/>
      <c r="Q160" s="121"/>
      <c r="R160" s="121"/>
      <c r="S160" s="121">
        <v>151200</v>
      </c>
      <c r="T160" s="121"/>
      <c r="U160" s="121"/>
      <c r="V160" s="121"/>
      <c r="W160" s="125"/>
    </row>
    <row r="161" spans="1:23">
      <c r="A161" s="1214">
        <v>29.06</v>
      </c>
      <c r="B161" s="261" t="s">
        <v>1207</v>
      </c>
      <c r="C161" s="1215">
        <f t="shared" si="9"/>
        <v>1237954.6999999997</v>
      </c>
      <c r="D161" s="1117">
        <f t="shared" si="10"/>
        <v>0</v>
      </c>
      <c r="E161" s="121"/>
      <c r="F161" s="121"/>
      <c r="G161" s="121"/>
      <c r="H161" s="121"/>
      <c r="I161" s="1117">
        <f t="shared" si="11"/>
        <v>668000</v>
      </c>
      <c r="J161" s="121"/>
      <c r="K161" s="121"/>
      <c r="L161" s="121"/>
      <c r="M161" s="121"/>
      <c r="N161" s="121"/>
      <c r="O161" s="121"/>
      <c r="P161" s="121"/>
      <c r="Q161" s="121"/>
      <c r="R161" s="121"/>
      <c r="S161" s="121">
        <v>668000</v>
      </c>
      <c r="T161" s="121"/>
      <c r="U161" s="121"/>
      <c r="V161" s="121"/>
      <c r="W161" s="125"/>
    </row>
    <row r="162" spans="1:23">
      <c r="A162" s="1214">
        <v>29.06</v>
      </c>
      <c r="B162" s="261" t="s">
        <v>1201</v>
      </c>
      <c r="C162" s="1215">
        <f t="shared" si="9"/>
        <v>1237454.6999999997</v>
      </c>
      <c r="D162" s="1117">
        <f t="shared" si="10"/>
        <v>0</v>
      </c>
      <c r="E162" s="121"/>
      <c r="F162" s="121"/>
      <c r="G162" s="121"/>
      <c r="H162" s="121"/>
      <c r="I162" s="1117">
        <f t="shared" si="11"/>
        <v>500</v>
      </c>
      <c r="J162" s="121">
        <v>500</v>
      </c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5"/>
    </row>
    <row r="163" spans="1:23">
      <c r="A163" s="1214">
        <v>2.0699999999999998</v>
      </c>
      <c r="B163" s="261" t="s">
        <v>657</v>
      </c>
      <c r="C163" s="1215">
        <f t="shared" si="9"/>
        <v>717692.69999999972</v>
      </c>
      <c r="D163" s="1117">
        <f t="shared" si="10"/>
        <v>0</v>
      </c>
      <c r="E163" s="121"/>
      <c r="F163" s="121"/>
      <c r="G163" s="121"/>
      <c r="H163" s="121"/>
      <c r="I163" s="1117">
        <f t="shared" si="11"/>
        <v>519762</v>
      </c>
      <c r="J163" s="121"/>
      <c r="K163" s="121"/>
      <c r="L163" s="121"/>
      <c r="M163" s="121">
        <v>519762</v>
      </c>
      <c r="N163" s="121"/>
      <c r="O163" s="121"/>
      <c r="P163" s="121"/>
      <c r="Q163" s="121"/>
      <c r="R163" s="121"/>
      <c r="S163" s="121"/>
      <c r="T163" s="121"/>
      <c r="U163" s="121"/>
      <c r="V163" s="121"/>
      <c r="W163" s="125"/>
    </row>
    <row r="164" spans="1:23">
      <c r="A164" s="1214">
        <v>3.07</v>
      </c>
      <c r="B164" s="261" t="s">
        <v>1184</v>
      </c>
      <c r="C164" s="1215">
        <f t="shared" si="9"/>
        <v>707692.69999999972</v>
      </c>
      <c r="D164" s="1117">
        <f t="shared" si="10"/>
        <v>0</v>
      </c>
      <c r="E164" s="121"/>
      <c r="F164" s="121"/>
      <c r="G164" s="121"/>
      <c r="H164" s="121"/>
      <c r="I164" s="1117">
        <f t="shared" si="11"/>
        <v>10000</v>
      </c>
      <c r="J164" s="121"/>
      <c r="K164" s="121"/>
      <c r="L164" s="121"/>
      <c r="M164" s="121"/>
      <c r="N164" s="121"/>
      <c r="O164" s="121"/>
      <c r="P164" s="121"/>
      <c r="Q164" s="121"/>
      <c r="R164" s="121">
        <v>10000</v>
      </c>
      <c r="S164" s="121"/>
      <c r="T164" s="121"/>
      <c r="U164" s="121"/>
      <c r="V164" s="121"/>
      <c r="W164" s="125"/>
    </row>
    <row r="165" spans="1:23">
      <c r="A165" s="1214">
        <v>3.07</v>
      </c>
      <c r="B165" s="261" t="s">
        <v>1184</v>
      </c>
      <c r="C165" s="1215">
        <f t="shared" si="9"/>
        <v>609692.69999999972</v>
      </c>
      <c r="D165" s="1117">
        <f t="shared" si="10"/>
        <v>0</v>
      </c>
      <c r="E165" s="121"/>
      <c r="F165" s="121"/>
      <c r="G165" s="121"/>
      <c r="H165" s="121"/>
      <c r="I165" s="1117">
        <f t="shared" si="11"/>
        <v>98000</v>
      </c>
      <c r="J165" s="121"/>
      <c r="K165" s="121"/>
      <c r="L165" s="121"/>
      <c r="M165" s="121"/>
      <c r="N165" s="121"/>
      <c r="O165" s="121"/>
      <c r="P165" s="121"/>
      <c r="Q165" s="121"/>
      <c r="R165" s="121">
        <v>98000</v>
      </c>
      <c r="S165" s="121"/>
      <c r="T165" s="121"/>
      <c r="U165" s="121"/>
      <c r="V165" s="121"/>
      <c r="W165" s="125"/>
    </row>
    <row r="166" spans="1:23">
      <c r="A166" s="1214">
        <v>6.07</v>
      </c>
      <c r="B166" s="261" t="s">
        <v>1187</v>
      </c>
      <c r="C166" s="1215">
        <f t="shared" si="9"/>
        <v>909692.69999999972</v>
      </c>
      <c r="D166" s="1117">
        <f t="shared" si="10"/>
        <v>300000</v>
      </c>
      <c r="E166" s="121">
        <v>300000</v>
      </c>
      <c r="F166" s="121"/>
      <c r="G166" s="121"/>
      <c r="H166" s="121"/>
      <c r="I166" s="1117">
        <f t="shared" si="11"/>
        <v>0</v>
      </c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5"/>
    </row>
    <row r="167" spans="1:23">
      <c r="A167" s="1214">
        <v>9.07</v>
      </c>
      <c r="B167" s="261" t="s">
        <v>1187</v>
      </c>
      <c r="C167" s="1215">
        <f t="shared" si="9"/>
        <v>1509692.6999999997</v>
      </c>
      <c r="D167" s="1117">
        <f t="shared" si="10"/>
        <v>600000</v>
      </c>
      <c r="E167" s="121">
        <v>600000</v>
      </c>
      <c r="F167" s="121"/>
      <c r="G167" s="121"/>
      <c r="H167" s="121"/>
      <c r="I167" s="1117">
        <f t="shared" si="11"/>
        <v>0</v>
      </c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5"/>
    </row>
    <row r="168" spans="1:23">
      <c r="A168" s="1214">
        <v>10.07</v>
      </c>
      <c r="B168" s="261" t="s">
        <v>1187</v>
      </c>
      <c r="C168" s="1215">
        <f t="shared" si="9"/>
        <v>2509692.6999999997</v>
      </c>
      <c r="D168" s="1117">
        <f t="shared" si="10"/>
        <v>1000000</v>
      </c>
      <c r="E168" s="121">
        <v>1000000</v>
      </c>
      <c r="F168" s="121"/>
      <c r="G168" s="121"/>
      <c r="H168" s="121"/>
      <c r="I168" s="1117">
        <f t="shared" si="11"/>
        <v>0</v>
      </c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5"/>
    </row>
    <row r="169" spans="1:23">
      <c r="A169" s="1214">
        <v>10.07</v>
      </c>
      <c r="B169" s="261" t="s">
        <v>1187</v>
      </c>
      <c r="C169" s="1215">
        <f t="shared" si="9"/>
        <v>2709692.6999999997</v>
      </c>
      <c r="D169" s="1117">
        <f t="shared" si="10"/>
        <v>200000</v>
      </c>
      <c r="E169" s="121">
        <v>200000</v>
      </c>
      <c r="F169" s="121"/>
      <c r="G169" s="121"/>
      <c r="H169" s="121"/>
      <c r="I169" s="1117">
        <f t="shared" si="11"/>
        <v>0</v>
      </c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5"/>
    </row>
    <row r="170" spans="1:23">
      <c r="A170" s="1214">
        <v>10.07</v>
      </c>
      <c r="B170" s="261" t="s">
        <v>840</v>
      </c>
      <c r="C170" s="1215">
        <f t="shared" si="9"/>
        <v>2627692.6999999997</v>
      </c>
      <c r="D170" s="1117">
        <f t="shared" si="10"/>
        <v>0</v>
      </c>
      <c r="E170" s="121"/>
      <c r="F170" s="121"/>
      <c r="G170" s="121"/>
      <c r="H170" s="121"/>
      <c r="I170" s="1117">
        <f t="shared" si="11"/>
        <v>82000</v>
      </c>
      <c r="J170" s="121"/>
      <c r="K170" s="121"/>
      <c r="L170" s="121"/>
      <c r="M170" s="121"/>
      <c r="N170" s="121"/>
      <c r="O170" s="121"/>
      <c r="P170" s="121"/>
      <c r="Q170" s="121"/>
      <c r="R170" s="121">
        <v>82000</v>
      </c>
      <c r="S170" s="121"/>
      <c r="T170" s="121"/>
      <c r="U170" s="121"/>
      <c r="V170" s="121"/>
      <c r="W170" s="125"/>
    </row>
    <row r="171" spans="1:23">
      <c r="A171" s="1214">
        <v>11.07</v>
      </c>
      <c r="B171" s="261" t="s">
        <v>1207</v>
      </c>
      <c r="C171" s="1215">
        <f t="shared" si="9"/>
        <v>2554692.6999999997</v>
      </c>
      <c r="D171" s="1117">
        <f t="shared" si="10"/>
        <v>0</v>
      </c>
      <c r="E171" s="121"/>
      <c r="F171" s="121"/>
      <c r="G171" s="121"/>
      <c r="H171" s="121"/>
      <c r="I171" s="1117">
        <f t="shared" si="11"/>
        <v>73000</v>
      </c>
      <c r="J171" s="121"/>
      <c r="K171" s="121"/>
      <c r="L171" s="121"/>
      <c r="M171" s="121"/>
      <c r="N171" s="121"/>
      <c r="O171" s="121"/>
      <c r="P171" s="121"/>
      <c r="Q171" s="121"/>
      <c r="R171" s="121"/>
      <c r="S171" s="121">
        <v>73000</v>
      </c>
      <c r="T171" s="121"/>
      <c r="U171" s="121"/>
      <c r="V171" s="121"/>
      <c r="W171" s="125"/>
    </row>
    <row r="172" spans="1:23">
      <c r="A172" s="1214">
        <v>11.07</v>
      </c>
      <c r="B172" s="261" t="s">
        <v>1208</v>
      </c>
      <c r="C172" s="1215">
        <f t="shared" si="9"/>
        <v>2534446.6999999997</v>
      </c>
      <c r="D172" s="1117">
        <f t="shared" si="10"/>
        <v>0</v>
      </c>
      <c r="E172" s="121"/>
      <c r="F172" s="121"/>
      <c r="G172" s="121"/>
      <c r="H172" s="121"/>
      <c r="I172" s="1117">
        <f t="shared" si="11"/>
        <v>20246</v>
      </c>
      <c r="J172" s="121"/>
      <c r="K172" s="121"/>
      <c r="L172" s="121"/>
      <c r="M172" s="121"/>
      <c r="N172" s="121"/>
      <c r="O172" s="121"/>
      <c r="P172" s="121">
        <v>20246</v>
      </c>
      <c r="Q172" s="121"/>
      <c r="R172" s="121"/>
      <c r="S172" s="121"/>
      <c r="T172" s="121"/>
      <c r="U172" s="121"/>
      <c r="V172" s="121"/>
      <c r="W172" s="125"/>
    </row>
    <row r="173" spans="1:23">
      <c r="A173" s="1214">
        <v>11.07</v>
      </c>
      <c r="B173" s="261" t="s">
        <v>1201</v>
      </c>
      <c r="C173" s="1215">
        <f t="shared" si="9"/>
        <v>2534296.6999999997</v>
      </c>
      <c r="D173" s="1117">
        <f t="shared" si="10"/>
        <v>0</v>
      </c>
      <c r="E173" s="121"/>
      <c r="F173" s="121"/>
      <c r="G173" s="121"/>
      <c r="H173" s="121"/>
      <c r="I173" s="1117">
        <f t="shared" si="11"/>
        <v>150</v>
      </c>
      <c r="J173" s="121">
        <v>150</v>
      </c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5"/>
    </row>
    <row r="174" spans="1:23">
      <c r="A174" s="1214">
        <v>11.07</v>
      </c>
      <c r="B174" s="261" t="s">
        <v>1201</v>
      </c>
      <c r="C174" s="1215">
        <f t="shared" si="9"/>
        <v>2534196.6999999997</v>
      </c>
      <c r="D174" s="1117">
        <f t="shared" si="10"/>
        <v>0</v>
      </c>
      <c r="E174" s="121"/>
      <c r="F174" s="121"/>
      <c r="G174" s="121"/>
      <c r="H174" s="121"/>
      <c r="I174" s="1117">
        <f t="shared" si="11"/>
        <v>100</v>
      </c>
      <c r="J174" s="121">
        <v>100</v>
      </c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5"/>
    </row>
    <row r="175" spans="1:23">
      <c r="A175" s="1214">
        <v>11.07</v>
      </c>
      <c r="B175" s="261" t="s">
        <v>1189</v>
      </c>
      <c r="C175" s="1215">
        <f t="shared" si="9"/>
        <v>2354768.6999999997</v>
      </c>
      <c r="D175" s="1117">
        <f t="shared" si="10"/>
        <v>0</v>
      </c>
      <c r="E175" s="121"/>
      <c r="F175" s="121"/>
      <c r="G175" s="121"/>
      <c r="H175" s="121"/>
      <c r="I175" s="1117">
        <f t="shared" si="11"/>
        <v>179428</v>
      </c>
      <c r="J175" s="121"/>
      <c r="K175" s="121"/>
      <c r="L175" s="121"/>
      <c r="M175" s="121"/>
      <c r="N175" s="121">
        <v>179428</v>
      </c>
      <c r="O175" s="121"/>
      <c r="P175" s="121"/>
      <c r="Q175" s="121"/>
      <c r="R175" s="121"/>
      <c r="S175" s="121"/>
      <c r="T175" s="121"/>
      <c r="U175" s="121"/>
      <c r="V175" s="121"/>
      <c r="W175" s="125"/>
    </row>
    <row r="176" spans="1:23">
      <c r="A176" s="1214">
        <v>11.07</v>
      </c>
      <c r="B176" s="261" t="s">
        <v>1201</v>
      </c>
      <c r="C176" s="1215">
        <f t="shared" si="9"/>
        <v>2354618.6999999997</v>
      </c>
      <c r="D176" s="1117">
        <f t="shared" si="10"/>
        <v>0</v>
      </c>
      <c r="E176" s="121"/>
      <c r="F176" s="121"/>
      <c r="G176" s="121"/>
      <c r="H176" s="121"/>
      <c r="I176" s="1117">
        <f t="shared" si="11"/>
        <v>150</v>
      </c>
      <c r="J176" s="121">
        <v>150</v>
      </c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5"/>
    </row>
    <row r="177" spans="1:23">
      <c r="A177" s="1214">
        <v>11.07</v>
      </c>
      <c r="B177" s="261" t="s">
        <v>1191</v>
      </c>
      <c r="C177" s="1215">
        <f t="shared" si="9"/>
        <v>2303308.6999999997</v>
      </c>
      <c r="D177" s="1117">
        <f t="shared" si="10"/>
        <v>0</v>
      </c>
      <c r="E177" s="121"/>
      <c r="F177" s="121"/>
      <c r="G177" s="121"/>
      <c r="H177" s="121"/>
      <c r="I177" s="1117">
        <f t="shared" si="11"/>
        <v>51310</v>
      </c>
      <c r="J177" s="121"/>
      <c r="K177" s="121"/>
      <c r="L177" s="121"/>
      <c r="M177" s="121"/>
      <c r="N177" s="121"/>
      <c r="O177" s="121">
        <v>51310</v>
      </c>
      <c r="P177" s="121"/>
      <c r="Q177" s="121"/>
      <c r="R177" s="121"/>
      <c r="S177" s="121"/>
      <c r="T177" s="121"/>
      <c r="U177" s="121"/>
      <c r="V177" s="121"/>
      <c r="W177" s="125"/>
    </row>
    <row r="178" spans="1:23">
      <c r="A178" s="1214">
        <v>11.07</v>
      </c>
      <c r="B178" s="261" t="s">
        <v>1201</v>
      </c>
      <c r="C178" s="1215">
        <f t="shared" si="9"/>
        <v>2303158.6999999997</v>
      </c>
      <c r="D178" s="1117">
        <f t="shared" si="10"/>
        <v>0</v>
      </c>
      <c r="E178" s="121"/>
      <c r="F178" s="121"/>
      <c r="G178" s="121"/>
      <c r="H178" s="121"/>
      <c r="I178" s="1117">
        <f t="shared" si="11"/>
        <v>150</v>
      </c>
      <c r="J178" s="121">
        <v>150</v>
      </c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5"/>
    </row>
    <row r="179" spans="1:23">
      <c r="A179" s="1214">
        <v>11.07</v>
      </c>
      <c r="B179" s="261" t="s">
        <v>1184</v>
      </c>
      <c r="C179" s="1215">
        <f t="shared" si="9"/>
        <v>2103158.6999999997</v>
      </c>
      <c r="D179" s="1117">
        <f t="shared" si="10"/>
        <v>0</v>
      </c>
      <c r="E179" s="121"/>
      <c r="F179" s="121"/>
      <c r="G179" s="121"/>
      <c r="H179" s="121"/>
      <c r="I179" s="1117">
        <f t="shared" si="11"/>
        <v>200000</v>
      </c>
      <c r="J179" s="121"/>
      <c r="K179" s="121"/>
      <c r="L179" s="121"/>
      <c r="M179" s="121"/>
      <c r="N179" s="121"/>
      <c r="O179" s="121"/>
      <c r="P179" s="121"/>
      <c r="Q179" s="121"/>
      <c r="R179" s="121">
        <v>200000</v>
      </c>
      <c r="S179" s="121"/>
      <c r="T179" s="121"/>
      <c r="U179" s="121"/>
      <c r="V179" s="121"/>
      <c r="W179" s="125"/>
    </row>
    <row r="180" spans="1:23">
      <c r="A180" s="1214">
        <v>11.07</v>
      </c>
      <c r="B180" s="261" t="s">
        <v>1207</v>
      </c>
      <c r="C180" s="1215">
        <f t="shared" si="9"/>
        <v>2069158.6999999997</v>
      </c>
      <c r="D180" s="1117">
        <f t="shared" si="10"/>
        <v>0</v>
      </c>
      <c r="E180" s="121"/>
      <c r="F180" s="121"/>
      <c r="G180" s="121"/>
      <c r="H180" s="121"/>
      <c r="I180" s="1117">
        <f t="shared" si="11"/>
        <v>34000</v>
      </c>
      <c r="J180" s="121"/>
      <c r="K180" s="121"/>
      <c r="L180" s="121"/>
      <c r="M180" s="121"/>
      <c r="N180" s="121"/>
      <c r="O180" s="121"/>
      <c r="P180" s="121"/>
      <c r="Q180" s="121"/>
      <c r="R180" s="121"/>
      <c r="S180" s="121">
        <v>34000</v>
      </c>
      <c r="T180" s="121"/>
      <c r="U180" s="121"/>
      <c r="V180" s="121"/>
      <c r="W180" s="125"/>
    </row>
    <row r="181" spans="1:23">
      <c r="A181" s="1214">
        <v>20.07</v>
      </c>
      <c r="B181" s="261" t="s">
        <v>1201</v>
      </c>
      <c r="C181" s="1215">
        <f t="shared" si="9"/>
        <v>2069008.6999999997</v>
      </c>
      <c r="D181" s="1117">
        <f t="shared" si="10"/>
        <v>0</v>
      </c>
      <c r="E181" s="121"/>
      <c r="F181" s="121"/>
      <c r="G181" s="121"/>
      <c r="H181" s="121"/>
      <c r="I181" s="1117">
        <f t="shared" si="11"/>
        <v>150</v>
      </c>
      <c r="J181" s="121">
        <v>150</v>
      </c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5"/>
    </row>
    <row r="182" spans="1:23">
      <c r="A182" s="1214">
        <v>23.07</v>
      </c>
      <c r="B182" s="261" t="s">
        <v>1184</v>
      </c>
      <c r="C182" s="1215">
        <f t="shared" si="9"/>
        <v>2031008.6999999997</v>
      </c>
      <c r="D182" s="1117">
        <f t="shared" si="10"/>
        <v>0</v>
      </c>
      <c r="E182" s="121"/>
      <c r="F182" s="121"/>
      <c r="G182" s="121"/>
      <c r="H182" s="121"/>
      <c r="I182" s="1117">
        <f t="shared" si="11"/>
        <v>38000</v>
      </c>
      <c r="J182" s="121"/>
      <c r="K182" s="121"/>
      <c r="L182" s="121"/>
      <c r="M182" s="121"/>
      <c r="N182" s="121"/>
      <c r="O182" s="121"/>
      <c r="P182" s="121"/>
      <c r="Q182" s="121"/>
      <c r="R182" s="121">
        <v>38000</v>
      </c>
      <c r="S182" s="121"/>
      <c r="T182" s="121"/>
      <c r="U182" s="121"/>
      <c r="V182" s="121"/>
      <c r="W182" s="125"/>
    </row>
    <row r="183" spans="1:23">
      <c r="A183" s="1214">
        <v>27.03</v>
      </c>
      <c r="B183" s="261" t="s">
        <v>1184</v>
      </c>
      <c r="C183" s="1215">
        <f t="shared" si="9"/>
        <v>1811008.6999999997</v>
      </c>
      <c r="D183" s="1117">
        <f t="shared" si="10"/>
        <v>0</v>
      </c>
      <c r="E183" s="121"/>
      <c r="F183" s="121"/>
      <c r="G183" s="121"/>
      <c r="H183" s="121"/>
      <c r="I183" s="1117">
        <f t="shared" si="11"/>
        <v>220000</v>
      </c>
      <c r="J183" s="121"/>
      <c r="K183" s="121"/>
      <c r="L183" s="121"/>
      <c r="M183" s="121"/>
      <c r="N183" s="121"/>
      <c r="O183" s="121"/>
      <c r="P183" s="121"/>
      <c r="Q183" s="121"/>
      <c r="R183" s="121">
        <v>220000</v>
      </c>
      <c r="S183" s="121"/>
      <c r="T183" s="121"/>
      <c r="U183" s="121"/>
      <c r="V183" s="121"/>
      <c r="W183" s="125"/>
    </row>
    <row r="184" spans="1:23">
      <c r="A184" s="1214">
        <v>27.07</v>
      </c>
      <c r="B184" s="261" t="s">
        <v>1184</v>
      </c>
      <c r="C184" s="1215">
        <f t="shared" si="9"/>
        <v>1761008.6999999997</v>
      </c>
      <c r="D184" s="1117">
        <f t="shared" si="10"/>
        <v>0</v>
      </c>
      <c r="E184" s="121"/>
      <c r="F184" s="121"/>
      <c r="G184" s="121"/>
      <c r="H184" s="121"/>
      <c r="I184" s="1117">
        <f t="shared" si="11"/>
        <v>50000</v>
      </c>
      <c r="J184" s="121"/>
      <c r="K184" s="121"/>
      <c r="L184" s="121"/>
      <c r="M184" s="121"/>
      <c r="N184" s="121"/>
      <c r="O184" s="121"/>
      <c r="P184" s="121"/>
      <c r="Q184" s="121"/>
      <c r="R184" s="121">
        <v>50000</v>
      </c>
      <c r="S184" s="121"/>
      <c r="T184" s="121"/>
      <c r="U184" s="121"/>
      <c r="V184" s="121"/>
      <c r="W184" s="125"/>
    </row>
    <row r="185" spans="1:23">
      <c r="A185" s="1214">
        <v>31.07</v>
      </c>
      <c r="B185" s="261" t="s">
        <v>1187</v>
      </c>
      <c r="C185" s="1215">
        <f t="shared" si="9"/>
        <v>1861008.6999999997</v>
      </c>
      <c r="D185" s="1117">
        <f t="shared" si="10"/>
        <v>100000</v>
      </c>
      <c r="E185" s="121">
        <v>100000</v>
      </c>
      <c r="F185" s="121"/>
      <c r="G185" s="121"/>
      <c r="H185" s="121"/>
      <c r="I185" s="1117">
        <f t="shared" si="11"/>
        <v>0</v>
      </c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5"/>
    </row>
    <row r="186" spans="1:23">
      <c r="A186" s="1214">
        <v>31.07</v>
      </c>
      <c r="B186" s="261" t="s">
        <v>1046</v>
      </c>
      <c r="C186" s="1215">
        <f t="shared" si="9"/>
        <v>1847299.3299999996</v>
      </c>
      <c r="D186" s="1117">
        <f t="shared" si="10"/>
        <v>0</v>
      </c>
      <c r="E186" s="121"/>
      <c r="F186" s="121"/>
      <c r="G186" s="121"/>
      <c r="H186" s="121"/>
      <c r="I186" s="1117">
        <f t="shared" si="11"/>
        <v>13709.37</v>
      </c>
      <c r="J186" s="121"/>
      <c r="K186" s="121"/>
      <c r="L186" s="121">
        <v>13709.37</v>
      </c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5"/>
    </row>
    <row r="187" spans="1:23">
      <c r="A187" s="1214">
        <v>31.07</v>
      </c>
      <c r="B187" s="261" t="s">
        <v>1201</v>
      </c>
      <c r="C187" s="1215">
        <f t="shared" si="9"/>
        <v>1846799.3299999996</v>
      </c>
      <c r="D187" s="1117">
        <f t="shared" si="10"/>
        <v>0</v>
      </c>
      <c r="E187" s="121"/>
      <c r="F187" s="121"/>
      <c r="G187" s="121"/>
      <c r="H187" s="121"/>
      <c r="I187" s="1117">
        <f t="shared" si="11"/>
        <v>500</v>
      </c>
      <c r="J187" s="121">
        <v>500</v>
      </c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5"/>
    </row>
    <row r="188" spans="1:23">
      <c r="A188" s="1214">
        <v>1.08</v>
      </c>
      <c r="B188" s="261" t="s">
        <v>1193</v>
      </c>
      <c r="C188" s="1215">
        <f t="shared" si="9"/>
        <v>1325461.3299999996</v>
      </c>
      <c r="D188" s="1117">
        <f t="shared" si="10"/>
        <v>0</v>
      </c>
      <c r="E188" s="121"/>
      <c r="F188" s="121"/>
      <c r="G188" s="121"/>
      <c r="H188" s="121"/>
      <c r="I188" s="1117">
        <f t="shared" si="11"/>
        <v>521338</v>
      </c>
      <c r="J188" s="121"/>
      <c r="K188" s="121"/>
      <c r="L188" s="121"/>
      <c r="M188" s="121">
        <v>521338</v>
      </c>
      <c r="N188" s="121"/>
      <c r="O188" s="121"/>
      <c r="P188" s="121"/>
      <c r="Q188" s="121"/>
      <c r="R188" s="121"/>
      <c r="S188" s="121"/>
      <c r="T188" s="121"/>
      <c r="U188" s="121"/>
      <c r="V188" s="121"/>
      <c r="W188" s="125"/>
    </row>
    <row r="189" spans="1:23">
      <c r="A189" s="1214">
        <v>3.08</v>
      </c>
      <c r="B189" s="261" t="s">
        <v>1217</v>
      </c>
      <c r="C189" s="1215">
        <f t="shared" si="9"/>
        <v>1697461.3299999996</v>
      </c>
      <c r="D189" s="1117">
        <f t="shared" si="10"/>
        <v>372000</v>
      </c>
      <c r="E189" s="121"/>
      <c r="F189" s="121"/>
      <c r="G189" s="121">
        <v>372000</v>
      </c>
      <c r="H189" s="121"/>
      <c r="I189" s="1117">
        <f t="shared" si="11"/>
        <v>0</v>
      </c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5"/>
    </row>
    <row r="190" spans="1:23">
      <c r="A190" s="1214">
        <v>6.08</v>
      </c>
      <c r="B190" s="261" t="s">
        <v>1187</v>
      </c>
      <c r="C190" s="1215">
        <f t="shared" si="9"/>
        <v>1842461.3299999996</v>
      </c>
      <c r="D190" s="1117">
        <f t="shared" si="10"/>
        <v>145000</v>
      </c>
      <c r="E190" s="121">
        <v>145000</v>
      </c>
      <c r="F190" s="121"/>
      <c r="G190" s="121"/>
      <c r="H190" s="121"/>
      <c r="I190" s="1117">
        <f t="shared" si="11"/>
        <v>0</v>
      </c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5"/>
    </row>
    <row r="191" spans="1:23">
      <c r="A191" s="1214">
        <v>7.08</v>
      </c>
      <c r="B191" s="261" t="s">
        <v>1184</v>
      </c>
      <c r="C191" s="1215">
        <f t="shared" si="9"/>
        <v>1412461.3299999996</v>
      </c>
      <c r="D191" s="1117">
        <f t="shared" si="10"/>
        <v>0</v>
      </c>
      <c r="E191" s="121"/>
      <c r="F191" s="121"/>
      <c r="G191" s="121"/>
      <c r="H191" s="121"/>
      <c r="I191" s="1117">
        <f t="shared" si="11"/>
        <v>430000</v>
      </c>
      <c r="J191" s="121"/>
      <c r="K191" s="121"/>
      <c r="L191" s="121"/>
      <c r="M191" s="121"/>
      <c r="N191" s="121"/>
      <c r="O191" s="121"/>
      <c r="P191" s="121"/>
      <c r="Q191" s="121"/>
      <c r="R191" s="121">
        <v>430000</v>
      </c>
      <c r="S191" s="121"/>
      <c r="T191" s="121"/>
      <c r="U191" s="121"/>
      <c r="V191" s="121"/>
      <c r="W191" s="125"/>
    </row>
    <row r="192" spans="1:23">
      <c r="A192" s="1214">
        <v>7.08</v>
      </c>
      <c r="B192" s="261" t="s">
        <v>1187</v>
      </c>
      <c r="C192" s="1215">
        <f t="shared" si="9"/>
        <v>1722461.3299999996</v>
      </c>
      <c r="D192" s="1117">
        <f t="shared" si="10"/>
        <v>310000</v>
      </c>
      <c r="E192" s="121"/>
      <c r="F192" s="121"/>
      <c r="G192" s="121">
        <v>310000</v>
      </c>
      <c r="H192" s="121"/>
      <c r="I192" s="1117">
        <f t="shared" si="11"/>
        <v>0</v>
      </c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5"/>
    </row>
    <row r="193" spans="1:23">
      <c r="A193" s="1214">
        <v>8.08</v>
      </c>
      <c r="B193" s="261" t="s">
        <v>1207</v>
      </c>
      <c r="C193" s="1215">
        <f t="shared" si="9"/>
        <v>1712461.3299999996</v>
      </c>
      <c r="D193" s="1117">
        <f t="shared" si="10"/>
        <v>0</v>
      </c>
      <c r="E193" s="121"/>
      <c r="F193" s="121"/>
      <c r="G193" s="121"/>
      <c r="H193" s="121"/>
      <c r="I193" s="1117">
        <f t="shared" si="11"/>
        <v>10000</v>
      </c>
      <c r="J193" s="121"/>
      <c r="K193" s="121"/>
      <c r="L193" s="121"/>
      <c r="M193" s="121"/>
      <c r="N193" s="121"/>
      <c r="O193" s="121"/>
      <c r="P193" s="121"/>
      <c r="Q193" s="121"/>
      <c r="R193" s="121"/>
      <c r="S193" s="121">
        <v>10000</v>
      </c>
      <c r="T193" s="121"/>
      <c r="U193" s="121"/>
      <c r="V193" s="121"/>
      <c r="W193" s="125"/>
    </row>
    <row r="194" spans="1:23">
      <c r="A194" s="1214">
        <v>8.08</v>
      </c>
      <c r="B194" s="261" t="s">
        <v>1187</v>
      </c>
      <c r="C194" s="1215">
        <f t="shared" si="9"/>
        <v>1792461.3299999996</v>
      </c>
      <c r="D194" s="1117">
        <f t="shared" si="10"/>
        <v>80000</v>
      </c>
      <c r="E194" s="121">
        <v>80000</v>
      </c>
      <c r="F194" s="121"/>
      <c r="G194" s="121"/>
      <c r="H194" s="121"/>
      <c r="I194" s="1117">
        <f t="shared" si="11"/>
        <v>0</v>
      </c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5"/>
    </row>
    <row r="195" spans="1:23">
      <c r="A195" s="1214">
        <v>10.08</v>
      </c>
      <c r="B195" s="261" t="s">
        <v>1207</v>
      </c>
      <c r="C195" s="1215">
        <f t="shared" si="9"/>
        <v>1692461.3299999996</v>
      </c>
      <c r="D195" s="1117">
        <f t="shared" si="10"/>
        <v>0</v>
      </c>
      <c r="E195" s="121"/>
      <c r="F195" s="121"/>
      <c r="G195" s="121"/>
      <c r="H195" s="121"/>
      <c r="I195" s="1117">
        <f t="shared" si="11"/>
        <v>100000</v>
      </c>
      <c r="J195" s="121"/>
      <c r="K195" s="121"/>
      <c r="L195" s="121"/>
      <c r="M195" s="121"/>
      <c r="N195" s="121"/>
      <c r="O195" s="121"/>
      <c r="P195" s="121"/>
      <c r="Q195" s="121"/>
      <c r="R195" s="121"/>
      <c r="S195" s="121">
        <v>100000</v>
      </c>
      <c r="T195" s="121"/>
      <c r="U195" s="121"/>
      <c r="V195" s="121"/>
      <c r="W195" s="125"/>
    </row>
    <row r="196" spans="1:23">
      <c r="A196" s="1214">
        <v>10.08</v>
      </c>
      <c r="B196" s="261" t="s">
        <v>1184</v>
      </c>
      <c r="C196" s="1215">
        <f t="shared" ref="C196:C259" si="12">+C195+D196-I196</f>
        <v>1622461.3299999996</v>
      </c>
      <c r="D196" s="1117">
        <f t="shared" ref="D196:D259" si="13">SUM(E196:H196)</f>
        <v>0</v>
      </c>
      <c r="E196" s="121"/>
      <c r="F196" s="121"/>
      <c r="G196" s="121"/>
      <c r="H196" s="121"/>
      <c r="I196" s="1117">
        <f t="shared" ref="I196:I259" si="14">SUM(J196:W196)</f>
        <v>70000</v>
      </c>
      <c r="J196" s="121"/>
      <c r="K196" s="121"/>
      <c r="L196" s="121"/>
      <c r="M196" s="121"/>
      <c r="N196" s="121"/>
      <c r="O196" s="121"/>
      <c r="P196" s="121"/>
      <c r="Q196" s="121"/>
      <c r="R196" s="121">
        <v>70000</v>
      </c>
      <c r="S196" s="121"/>
      <c r="T196" s="121"/>
      <c r="U196" s="121"/>
      <c r="V196" s="121"/>
      <c r="W196" s="125"/>
    </row>
    <row r="197" spans="1:23">
      <c r="A197" s="1214">
        <v>13.08</v>
      </c>
      <c r="B197" s="261" t="s">
        <v>1207</v>
      </c>
      <c r="C197" s="1215">
        <f t="shared" si="12"/>
        <v>1547461.3299999996</v>
      </c>
      <c r="D197" s="1117">
        <f t="shared" si="13"/>
        <v>0</v>
      </c>
      <c r="E197" s="121"/>
      <c r="F197" s="121"/>
      <c r="G197" s="121"/>
      <c r="H197" s="121"/>
      <c r="I197" s="1117">
        <f t="shared" si="14"/>
        <v>75000</v>
      </c>
      <c r="J197" s="121"/>
      <c r="K197" s="121"/>
      <c r="L197" s="121"/>
      <c r="M197" s="121"/>
      <c r="N197" s="121"/>
      <c r="O197" s="121"/>
      <c r="P197" s="121"/>
      <c r="Q197" s="121"/>
      <c r="R197" s="121"/>
      <c r="S197" s="121">
        <v>75000</v>
      </c>
      <c r="T197" s="121"/>
      <c r="U197" s="121"/>
      <c r="V197" s="121"/>
      <c r="W197" s="125"/>
    </row>
    <row r="198" spans="1:23">
      <c r="A198" s="1214">
        <v>13.08</v>
      </c>
      <c r="B198" s="261" t="s">
        <v>1184</v>
      </c>
      <c r="C198" s="1215">
        <f>+C197+D198-I198</f>
        <v>975461.32999999961</v>
      </c>
      <c r="D198" s="1117">
        <f t="shared" si="13"/>
        <v>0</v>
      </c>
      <c r="E198" s="121"/>
      <c r="F198" s="121"/>
      <c r="G198" s="121"/>
      <c r="H198" s="121"/>
      <c r="I198" s="1117">
        <f t="shared" si="14"/>
        <v>572000</v>
      </c>
      <c r="J198" s="121"/>
      <c r="K198" s="121"/>
      <c r="L198" s="121"/>
      <c r="M198" s="121"/>
      <c r="N198" s="121"/>
      <c r="O198" s="121"/>
      <c r="P198" s="121"/>
      <c r="Q198" s="121"/>
      <c r="R198" s="121">
        <v>572000</v>
      </c>
      <c r="S198" s="121"/>
      <c r="T198" s="121"/>
      <c r="U198" s="121"/>
      <c r="V198" s="121"/>
      <c r="W198" s="125"/>
    </row>
    <row r="199" spans="1:23">
      <c r="A199" s="1214">
        <v>13.08</v>
      </c>
      <c r="B199" s="261" t="s">
        <v>1212</v>
      </c>
      <c r="C199" s="1215">
        <f t="shared" si="12"/>
        <v>923951.32999999961</v>
      </c>
      <c r="D199" s="1117">
        <f t="shared" si="13"/>
        <v>0</v>
      </c>
      <c r="E199" s="121"/>
      <c r="F199" s="121"/>
      <c r="G199" s="121"/>
      <c r="H199" s="121"/>
      <c r="I199" s="1117">
        <f t="shared" si="14"/>
        <v>51510</v>
      </c>
      <c r="J199" s="121"/>
      <c r="K199" s="121"/>
      <c r="L199" s="121"/>
      <c r="M199" s="121"/>
      <c r="N199" s="121"/>
      <c r="O199" s="121">
        <v>51510</v>
      </c>
      <c r="P199" s="121"/>
      <c r="Q199" s="121"/>
      <c r="R199" s="121"/>
      <c r="S199" s="121"/>
      <c r="T199" s="121"/>
      <c r="U199" s="121"/>
      <c r="V199" s="121"/>
      <c r="W199" s="125"/>
    </row>
    <row r="200" spans="1:23">
      <c r="A200" s="1214">
        <v>13.08</v>
      </c>
      <c r="B200" s="261" t="s">
        <v>1201</v>
      </c>
      <c r="C200" s="1215">
        <f t="shared" si="12"/>
        <v>923801.32999999961</v>
      </c>
      <c r="D200" s="1117">
        <f t="shared" si="13"/>
        <v>0</v>
      </c>
      <c r="E200" s="121"/>
      <c r="F200" s="121"/>
      <c r="G200" s="121"/>
      <c r="H200" s="121"/>
      <c r="I200" s="1117">
        <f t="shared" si="14"/>
        <v>150</v>
      </c>
      <c r="J200" s="121">
        <v>150</v>
      </c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5"/>
    </row>
    <row r="201" spans="1:23">
      <c r="A201" s="1214">
        <v>13.08</v>
      </c>
      <c r="B201" s="261" t="s">
        <v>1194</v>
      </c>
      <c r="C201" s="1215">
        <f t="shared" si="12"/>
        <v>743815.32999999961</v>
      </c>
      <c r="D201" s="1117">
        <f t="shared" si="13"/>
        <v>0</v>
      </c>
      <c r="E201" s="121"/>
      <c r="F201" s="121"/>
      <c r="G201" s="121"/>
      <c r="H201" s="121"/>
      <c r="I201" s="1117">
        <f t="shared" si="14"/>
        <v>179986</v>
      </c>
      <c r="J201" s="121"/>
      <c r="K201" s="121"/>
      <c r="L201" s="121"/>
      <c r="M201" s="121"/>
      <c r="N201" s="121">
        <v>179986</v>
      </c>
      <c r="O201" s="121"/>
      <c r="P201" s="121"/>
      <c r="Q201" s="121"/>
      <c r="R201" s="121"/>
      <c r="S201" s="121"/>
      <c r="T201" s="121"/>
      <c r="U201" s="121"/>
      <c r="V201" s="121"/>
      <c r="W201" s="125"/>
    </row>
    <row r="202" spans="1:23">
      <c r="A202" s="1214">
        <v>13.08</v>
      </c>
      <c r="B202" s="261" t="s">
        <v>1201</v>
      </c>
      <c r="C202" s="1215">
        <f t="shared" si="12"/>
        <v>743565.32999999961</v>
      </c>
      <c r="D202" s="1117">
        <f t="shared" si="13"/>
        <v>0</v>
      </c>
      <c r="E202" s="121"/>
      <c r="F202" s="121"/>
      <c r="G202" s="121"/>
      <c r="H202" s="121"/>
      <c r="I202" s="1117">
        <f t="shared" si="14"/>
        <v>250</v>
      </c>
      <c r="J202" s="121">
        <v>250</v>
      </c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5"/>
    </row>
    <row r="203" spans="1:23">
      <c r="A203" s="1214">
        <v>13.08</v>
      </c>
      <c r="B203" s="261" t="s">
        <v>1200</v>
      </c>
      <c r="C203" s="1215">
        <f t="shared" si="12"/>
        <v>723319.32999999961</v>
      </c>
      <c r="D203" s="1117">
        <f t="shared" si="13"/>
        <v>0</v>
      </c>
      <c r="E203" s="121"/>
      <c r="F203" s="121"/>
      <c r="G203" s="121"/>
      <c r="H203" s="121"/>
      <c r="I203" s="1117">
        <f t="shared" si="14"/>
        <v>20246</v>
      </c>
      <c r="J203" s="121"/>
      <c r="K203" s="121"/>
      <c r="L203" s="121"/>
      <c r="M203" s="121"/>
      <c r="N203" s="121"/>
      <c r="O203" s="121"/>
      <c r="P203" s="121">
        <v>20246</v>
      </c>
      <c r="Q203" s="121"/>
      <c r="R203" s="121"/>
      <c r="S203" s="121"/>
      <c r="T203" s="121"/>
      <c r="U203" s="121"/>
      <c r="V203" s="121"/>
      <c r="W203" s="125"/>
    </row>
    <row r="204" spans="1:23">
      <c r="A204" s="1214">
        <v>13.08</v>
      </c>
      <c r="B204" s="261" t="s">
        <v>1201</v>
      </c>
      <c r="C204" s="1215">
        <f t="shared" si="12"/>
        <v>723169.32999999961</v>
      </c>
      <c r="D204" s="1117">
        <f t="shared" si="13"/>
        <v>0</v>
      </c>
      <c r="E204" s="121"/>
      <c r="F204" s="121"/>
      <c r="G204" s="121"/>
      <c r="H204" s="121"/>
      <c r="I204" s="1117">
        <f t="shared" si="14"/>
        <v>150</v>
      </c>
      <c r="J204" s="121">
        <v>150</v>
      </c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5"/>
    </row>
    <row r="205" spans="1:23">
      <c r="A205" s="1214">
        <v>15.08</v>
      </c>
      <c r="B205" s="261" t="s">
        <v>1184</v>
      </c>
      <c r="C205" s="1215">
        <f t="shared" si="12"/>
        <v>169.32999999960884</v>
      </c>
      <c r="D205" s="1117">
        <f t="shared" si="13"/>
        <v>0</v>
      </c>
      <c r="E205" s="121"/>
      <c r="F205" s="121"/>
      <c r="G205" s="121"/>
      <c r="H205" s="121"/>
      <c r="I205" s="1117">
        <f t="shared" si="14"/>
        <v>723000</v>
      </c>
      <c r="J205" s="121"/>
      <c r="K205" s="121"/>
      <c r="L205" s="121"/>
      <c r="M205" s="121"/>
      <c r="N205" s="121"/>
      <c r="O205" s="121"/>
      <c r="P205" s="121"/>
      <c r="Q205" s="121"/>
      <c r="R205" s="121">
        <v>723000</v>
      </c>
      <c r="S205" s="121"/>
      <c r="T205" s="121"/>
      <c r="U205" s="121"/>
      <c r="V205" s="121"/>
      <c r="W205" s="125"/>
    </row>
    <row r="206" spans="1:23">
      <c r="A206" s="1214">
        <v>15.08</v>
      </c>
      <c r="B206" s="261" t="s">
        <v>1187</v>
      </c>
      <c r="C206" s="1215">
        <f t="shared" si="12"/>
        <v>80169.329999999609</v>
      </c>
      <c r="D206" s="1117">
        <f t="shared" si="13"/>
        <v>80000</v>
      </c>
      <c r="E206" s="121">
        <v>80000</v>
      </c>
      <c r="F206" s="121"/>
      <c r="G206" s="121"/>
      <c r="H206" s="121"/>
      <c r="I206" s="1117">
        <f t="shared" si="14"/>
        <v>0</v>
      </c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5"/>
    </row>
    <row r="207" spans="1:23">
      <c r="A207" s="1214">
        <v>16.079999999999998</v>
      </c>
      <c r="B207" s="261" t="s">
        <v>1187</v>
      </c>
      <c r="C207" s="1215">
        <f t="shared" si="12"/>
        <v>1180169.3299999996</v>
      </c>
      <c r="D207" s="1117">
        <f t="shared" si="13"/>
        <v>1100000</v>
      </c>
      <c r="E207" s="121">
        <v>1100000</v>
      </c>
      <c r="F207" s="121"/>
      <c r="G207" s="121"/>
      <c r="H207" s="121"/>
      <c r="I207" s="1117">
        <f t="shared" si="14"/>
        <v>0</v>
      </c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5"/>
    </row>
    <row r="208" spans="1:23">
      <c r="A208" s="1214">
        <v>20.079999999999998</v>
      </c>
      <c r="B208" s="261" t="s">
        <v>1184</v>
      </c>
      <c r="C208" s="1215">
        <f t="shared" si="12"/>
        <v>1118169.3299999996</v>
      </c>
      <c r="D208" s="1117">
        <f t="shared" si="13"/>
        <v>0</v>
      </c>
      <c r="E208" s="121"/>
      <c r="F208" s="121"/>
      <c r="G208" s="121"/>
      <c r="H208" s="121"/>
      <c r="I208" s="1117">
        <f t="shared" si="14"/>
        <v>62000</v>
      </c>
      <c r="J208" s="121"/>
      <c r="K208" s="121"/>
      <c r="L208" s="121"/>
      <c r="M208" s="121"/>
      <c r="N208" s="121"/>
      <c r="O208" s="121"/>
      <c r="P208" s="121"/>
      <c r="Q208" s="121"/>
      <c r="R208" s="121">
        <v>62000</v>
      </c>
      <c r="S208" s="121"/>
      <c r="T208" s="121"/>
      <c r="U208" s="121"/>
      <c r="V208" s="121"/>
      <c r="W208" s="125"/>
    </row>
    <row r="209" spans="1:23">
      <c r="A209" s="1214">
        <v>21.08</v>
      </c>
      <c r="B209" s="261" t="s">
        <v>1187</v>
      </c>
      <c r="C209" s="1215">
        <f t="shared" si="12"/>
        <v>1218169.3299999996</v>
      </c>
      <c r="D209" s="1117">
        <f t="shared" si="13"/>
        <v>100000</v>
      </c>
      <c r="E209" s="121"/>
      <c r="F209" s="121">
        <v>100000</v>
      </c>
      <c r="G209" s="121"/>
      <c r="H209" s="121"/>
      <c r="I209" s="1117">
        <f t="shared" si="14"/>
        <v>0</v>
      </c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5"/>
    </row>
    <row r="210" spans="1:23">
      <c r="A210" s="1214">
        <v>23.08</v>
      </c>
      <c r="B210" s="261" t="s">
        <v>1187</v>
      </c>
      <c r="C210" s="1215">
        <f t="shared" si="12"/>
        <v>1298169.3299999996</v>
      </c>
      <c r="D210" s="1117">
        <f t="shared" si="13"/>
        <v>80000</v>
      </c>
      <c r="E210" s="121"/>
      <c r="F210" s="121">
        <v>80000</v>
      </c>
      <c r="G210" s="121"/>
      <c r="H210" s="121"/>
      <c r="I210" s="1117">
        <f t="shared" si="14"/>
        <v>0</v>
      </c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5"/>
    </row>
    <row r="211" spans="1:23">
      <c r="A211" s="1214">
        <v>24.08</v>
      </c>
      <c r="B211" s="261" t="s">
        <v>1184</v>
      </c>
      <c r="C211" s="1215">
        <f t="shared" si="12"/>
        <v>563169.32999999961</v>
      </c>
      <c r="D211" s="1117">
        <f t="shared" si="13"/>
        <v>0</v>
      </c>
      <c r="E211" s="121"/>
      <c r="F211" s="121"/>
      <c r="G211" s="121"/>
      <c r="H211" s="121"/>
      <c r="I211" s="1117">
        <f t="shared" si="14"/>
        <v>735000</v>
      </c>
      <c r="J211" s="121"/>
      <c r="K211" s="121"/>
      <c r="L211" s="121"/>
      <c r="M211" s="121"/>
      <c r="N211" s="121"/>
      <c r="O211" s="121"/>
      <c r="P211" s="121"/>
      <c r="Q211" s="121"/>
      <c r="R211" s="121">
        <v>735000</v>
      </c>
      <c r="S211" s="121"/>
      <c r="T211" s="121"/>
      <c r="U211" s="121"/>
      <c r="V211" s="121"/>
      <c r="W211" s="125"/>
    </row>
    <row r="212" spans="1:23">
      <c r="A212" s="1214">
        <v>27.08</v>
      </c>
      <c r="B212" s="261" t="s">
        <v>1218</v>
      </c>
      <c r="C212" s="1215">
        <f t="shared" si="12"/>
        <v>381169.32999999961</v>
      </c>
      <c r="D212" s="1117">
        <f t="shared" si="13"/>
        <v>0</v>
      </c>
      <c r="E212" s="121"/>
      <c r="F212" s="121"/>
      <c r="G212" s="121"/>
      <c r="H212" s="121"/>
      <c r="I212" s="1117">
        <f t="shared" si="14"/>
        <v>182000</v>
      </c>
      <c r="J212" s="121"/>
      <c r="K212" s="121"/>
      <c r="L212" s="121"/>
      <c r="M212" s="121"/>
      <c r="N212" s="121"/>
      <c r="O212" s="121"/>
      <c r="P212" s="121"/>
      <c r="Q212" s="121"/>
      <c r="R212" s="121">
        <v>182000</v>
      </c>
      <c r="S212" s="121"/>
      <c r="T212" s="121"/>
      <c r="U212" s="121"/>
      <c r="V212" s="121"/>
      <c r="W212" s="125"/>
    </row>
    <row r="213" spans="1:23">
      <c r="A213" s="1214">
        <v>27.08</v>
      </c>
      <c r="B213" s="261" t="s">
        <v>1187</v>
      </c>
      <c r="C213" s="1215">
        <f t="shared" si="12"/>
        <v>981169.32999999961</v>
      </c>
      <c r="D213" s="1117">
        <f t="shared" si="13"/>
        <v>600000</v>
      </c>
      <c r="E213" s="121"/>
      <c r="F213" s="121">
        <v>600000</v>
      </c>
      <c r="G213" s="121"/>
      <c r="H213" s="121"/>
      <c r="I213" s="1117">
        <f t="shared" si="14"/>
        <v>0</v>
      </c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5"/>
    </row>
    <row r="214" spans="1:23">
      <c r="A214" s="1214">
        <v>30.08</v>
      </c>
      <c r="B214" s="261" t="s">
        <v>1046</v>
      </c>
      <c r="C214" s="1215">
        <f t="shared" si="12"/>
        <v>967572.85999999964</v>
      </c>
      <c r="D214" s="1117">
        <f t="shared" si="13"/>
        <v>0</v>
      </c>
      <c r="E214" s="121"/>
      <c r="F214" s="121"/>
      <c r="G214" s="121"/>
      <c r="H214" s="121"/>
      <c r="I214" s="1117">
        <f t="shared" si="14"/>
        <v>13596.47</v>
      </c>
      <c r="J214" s="121"/>
      <c r="K214" s="121"/>
      <c r="L214" s="121">
        <v>13596.47</v>
      </c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5"/>
    </row>
    <row r="215" spans="1:23">
      <c r="A215" s="1214">
        <v>30.08</v>
      </c>
      <c r="B215" s="261" t="s">
        <v>1187</v>
      </c>
      <c r="C215" s="1215">
        <f t="shared" si="12"/>
        <v>1117572.8599999996</v>
      </c>
      <c r="D215" s="1117">
        <f t="shared" si="13"/>
        <v>150000</v>
      </c>
      <c r="E215" s="121"/>
      <c r="F215" s="121">
        <v>150000</v>
      </c>
      <c r="G215" s="121"/>
      <c r="H215" s="121"/>
      <c r="I215" s="1117">
        <f t="shared" si="14"/>
        <v>0</v>
      </c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5"/>
    </row>
    <row r="216" spans="1:23">
      <c r="A216" s="1214">
        <v>31.08</v>
      </c>
      <c r="B216" s="261" t="s">
        <v>1187</v>
      </c>
      <c r="C216" s="1215">
        <f t="shared" si="12"/>
        <v>1357572.8599999996</v>
      </c>
      <c r="D216" s="1117">
        <f t="shared" si="13"/>
        <v>240000</v>
      </c>
      <c r="E216" s="121"/>
      <c r="F216" s="121">
        <v>240000</v>
      </c>
      <c r="G216" s="121"/>
      <c r="H216" s="121"/>
      <c r="I216" s="1117">
        <f t="shared" si="14"/>
        <v>0</v>
      </c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5"/>
    </row>
    <row r="217" spans="1:23">
      <c r="A217" s="1214">
        <v>31.08</v>
      </c>
      <c r="B217" s="261" t="s">
        <v>1201</v>
      </c>
      <c r="C217" s="1215">
        <f t="shared" si="12"/>
        <v>1357072.8599999996</v>
      </c>
      <c r="D217" s="1117">
        <f t="shared" si="13"/>
        <v>0</v>
      </c>
      <c r="E217" s="121"/>
      <c r="F217" s="121"/>
      <c r="G217" s="121"/>
      <c r="H217" s="121"/>
      <c r="I217" s="1117">
        <f t="shared" si="14"/>
        <v>500</v>
      </c>
      <c r="J217" s="121">
        <v>500</v>
      </c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5"/>
    </row>
    <row r="218" spans="1:23">
      <c r="A218" s="1214">
        <v>3.09</v>
      </c>
      <c r="B218" s="261" t="s">
        <v>657</v>
      </c>
      <c r="C218" s="1215">
        <f t="shared" si="12"/>
        <v>904138.85999999964</v>
      </c>
      <c r="D218" s="1117">
        <f t="shared" si="13"/>
        <v>0</v>
      </c>
      <c r="E218" s="121"/>
      <c r="F218" s="121"/>
      <c r="G218" s="121"/>
      <c r="H218" s="121"/>
      <c r="I218" s="1117">
        <f t="shared" si="14"/>
        <v>452934</v>
      </c>
      <c r="J218" s="121"/>
      <c r="K218" s="121"/>
      <c r="L218" s="121"/>
      <c r="M218" s="121">
        <v>452934</v>
      </c>
      <c r="N218" s="121"/>
      <c r="O218" s="121"/>
      <c r="P218" s="121"/>
      <c r="Q218" s="121"/>
      <c r="R218" s="121"/>
      <c r="S218" s="121"/>
      <c r="T218" s="121"/>
      <c r="U218" s="121"/>
      <c r="V218" s="121"/>
      <c r="W218" s="125"/>
    </row>
    <row r="219" spans="1:23">
      <c r="A219" s="1214">
        <v>5.09</v>
      </c>
      <c r="B219" s="261" t="s">
        <v>1187</v>
      </c>
      <c r="C219" s="1215">
        <f t="shared" si="12"/>
        <v>1154138.8599999996</v>
      </c>
      <c r="D219" s="1117">
        <f t="shared" si="13"/>
        <v>250000</v>
      </c>
      <c r="E219" s="121"/>
      <c r="F219" s="121">
        <v>250000</v>
      </c>
      <c r="G219" s="121"/>
      <c r="H219" s="121"/>
      <c r="I219" s="1117">
        <f t="shared" si="14"/>
        <v>0</v>
      </c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5"/>
    </row>
    <row r="220" spans="1:23">
      <c r="A220" s="1214">
        <v>10.09</v>
      </c>
      <c r="B220" s="261" t="s">
        <v>1207</v>
      </c>
      <c r="C220" s="1215">
        <f t="shared" si="12"/>
        <v>1132205.8599999996</v>
      </c>
      <c r="D220" s="1117">
        <f t="shared" si="13"/>
        <v>0</v>
      </c>
      <c r="E220" s="121"/>
      <c r="F220" s="121"/>
      <c r="G220" s="121"/>
      <c r="H220" s="121"/>
      <c r="I220" s="1117">
        <f t="shared" si="14"/>
        <v>21933</v>
      </c>
      <c r="J220" s="121"/>
      <c r="K220" s="121"/>
      <c r="L220" s="121"/>
      <c r="M220" s="121"/>
      <c r="N220" s="121"/>
      <c r="O220" s="121"/>
      <c r="P220" s="121"/>
      <c r="Q220" s="121"/>
      <c r="R220" s="121"/>
      <c r="S220" s="121">
        <v>21933</v>
      </c>
      <c r="T220" s="121"/>
      <c r="U220" s="121"/>
      <c r="V220" s="121"/>
      <c r="W220" s="125"/>
    </row>
    <row r="221" spans="1:23">
      <c r="A221" s="1214">
        <v>10.09</v>
      </c>
      <c r="B221" s="261" t="s">
        <v>1184</v>
      </c>
      <c r="C221" s="1215">
        <f t="shared" si="12"/>
        <v>1062305.8599999996</v>
      </c>
      <c r="D221" s="1117">
        <f t="shared" si="13"/>
        <v>0</v>
      </c>
      <c r="E221" s="121"/>
      <c r="F221" s="121"/>
      <c r="G221" s="121"/>
      <c r="H221" s="121"/>
      <c r="I221" s="1117">
        <f t="shared" si="14"/>
        <v>69900</v>
      </c>
      <c r="J221" s="121"/>
      <c r="K221" s="121"/>
      <c r="L221" s="121"/>
      <c r="M221" s="121"/>
      <c r="N221" s="121"/>
      <c r="O221" s="121"/>
      <c r="P221" s="121"/>
      <c r="Q221" s="121"/>
      <c r="R221" s="121">
        <v>69900</v>
      </c>
      <c r="S221" s="121"/>
      <c r="T221" s="121"/>
      <c r="U221" s="121"/>
      <c r="V221" s="121"/>
      <c r="W221" s="125"/>
    </row>
    <row r="222" spans="1:23">
      <c r="A222" s="1214">
        <v>11.09</v>
      </c>
      <c r="B222" s="261" t="s">
        <v>1184</v>
      </c>
      <c r="C222" s="1215">
        <f t="shared" si="12"/>
        <v>985335.85999999964</v>
      </c>
      <c r="D222" s="1117">
        <f t="shared" si="13"/>
        <v>0</v>
      </c>
      <c r="E222" s="121"/>
      <c r="F222" s="121"/>
      <c r="G222" s="121"/>
      <c r="H222" s="121"/>
      <c r="I222" s="1117">
        <f t="shared" si="14"/>
        <v>76970</v>
      </c>
      <c r="J222" s="121"/>
      <c r="K222" s="121"/>
      <c r="L222" s="121"/>
      <c r="M222" s="121"/>
      <c r="N222" s="121"/>
      <c r="O222" s="121"/>
      <c r="P222" s="121"/>
      <c r="Q222" s="121"/>
      <c r="R222" s="121">
        <v>76970</v>
      </c>
      <c r="S222" s="121"/>
      <c r="T222" s="121"/>
      <c r="U222" s="121"/>
      <c r="V222" s="121"/>
      <c r="W222" s="125"/>
    </row>
    <row r="223" spans="1:23">
      <c r="A223" s="1214">
        <v>12.09</v>
      </c>
      <c r="B223" s="261" t="s">
        <v>1194</v>
      </c>
      <c r="C223" s="1215">
        <f t="shared" si="12"/>
        <v>823561.85999999964</v>
      </c>
      <c r="D223" s="1117">
        <f t="shared" si="13"/>
        <v>0</v>
      </c>
      <c r="E223" s="121"/>
      <c r="F223" s="121"/>
      <c r="G223" s="121"/>
      <c r="H223" s="121"/>
      <c r="I223" s="1117">
        <f t="shared" si="14"/>
        <v>161774</v>
      </c>
      <c r="J223" s="121"/>
      <c r="K223" s="121"/>
      <c r="L223" s="121"/>
      <c r="M223" s="121"/>
      <c r="N223" s="121">
        <v>161774</v>
      </c>
      <c r="O223" s="121"/>
      <c r="P223" s="121"/>
      <c r="Q223" s="121"/>
      <c r="R223" s="121"/>
      <c r="S223" s="121"/>
      <c r="T223" s="121"/>
      <c r="U223" s="121"/>
      <c r="V223" s="121"/>
      <c r="W223" s="125"/>
    </row>
    <row r="224" spans="1:23">
      <c r="A224" s="1214">
        <v>12.09</v>
      </c>
      <c r="B224" s="261" t="s">
        <v>1201</v>
      </c>
      <c r="C224" s="1215">
        <f t="shared" si="12"/>
        <v>823311.85999999964</v>
      </c>
      <c r="D224" s="1117">
        <f t="shared" si="13"/>
        <v>0</v>
      </c>
      <c r="E224" s="121"/>
      <c r="F224" s="121"/>
      <c r="G224" s="121"/>
      <c r="H224" s="121"/>
      <c r="I224" s="1117">
        <f t="shared" si="14"/>
        <v>250</v>
      </c>
      <c r="J224" s="121">
        <v>250</v>
      </c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5"/>
    </row>
    <row r="225" spans="1:23">
      <c r="A225" s="1214">
        <v>12.09</v>
      </c>
      <c r="B225" s="261" t="s">
        <v>1219</v>
      </c>
      <c r="C225" s="1215">
        <f t="shared" si="12"/>
        <v>776328.85999999964</v>
      </c>
      <c r="D225" s="1117">
        <f t="shared" si="13"/>
        <v>0</v>
      </c>
      <c r="E225" s="121"/>
      <c r="F225" s="121"/>
      <c r="G225" s="121"/>
      <c r="H225" s="121"/>
      <c r="I225" s="1117">
        <f t="shared" si="14"/>
        <v>46983</v>
      </c>
      <c r="J225" s="121"/>
      <c r="K225" s="121"/>
      <c r="L225" s="121"/>
      <c r="M225" s="121"/>
      <c r="N225" s="121"/>
      <c r="O225" s="121">
        <v>46983</v>
      </c>
      <c r="P225" s="121"/>
      <c r="Q225" s="121"/>
      <c r="R225" s="121"/>
      <c r="S225" s="121"/>
      <c r="T225" s="121"/>
      <c r="U225" s="121"/>
      <c r="V225" s="121"/>
      <c r="W225" s="125"/>
    </row>
    <row r="226" spans="1:23">
      <c r="A226" s="1214">
        <v>12.09</v>
      </c>
      <c r="B226" s="261" t="s">
        <v>1201</v>
      </c>
      <c r="C226" s="1215">
        <f t="shared" si="12"/>
        <v>776178.85999999964</v>
      </c>
      <c r="D226" s="1117">
        <f t="shared" si="13"/>
        <v>0</v>
      </c>
      <c r="E226" s="121"/>
      <c r="F226" s="121"/>
      <c r="G226" s="121"/>
      <c r="H226" s="121"/>
      <c r="I226" s="1117">
        <f t="shared" si="14"/>
        <v>150</v>
      </c>
      <c r="J226" s="121">
        <v>150</v>
      </c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5"/>
    </row>
    <row r="227" spans="1:23">
      <c r="A227" s="1214">
        <v>12.09</v>
      </c>
      <c r="B227" s="261" t="s">
        <v>1205</v>
      </c>
      <c r="C227" s="1215">
        <f t="shared" si="12"/>
        <v>755932.85999999964</v>
      </c>
      <c r="D227" s="1117">
        <f t="shared" si="13"/>
        <v>0</v>
      </c>
      <c r="E227" s="121"/>
      <c r="F227" s="121"/>
      <c r="G227" s="121"/>
      <c r="H227" s="121"/>
      <c r="I227" s="1117">
        <f t="shared" si="14"/>
        <v>20246</v>
      </c>
      <c r="J227" s="121"/>
      <c r="K227" s="121"/>
      <c r="L227" s="121"/>
      <c r="M227" s="121"/>
      <c r="N227" s="121"/>
      <c r="O227" s="121"/>
      <c r="P227" s="121">
        <v>20246</v>
      </c>
      <c r="Q227" s="121"/>
      <c r="R227" s="121"/>
      <c r="S227" s="121"/>
      <c r="T227" s="121"/>
      <c r="U227" s="121"/>
      <c r="V227" s="121"/>
      <c r="W227" s="125"/>
    </row>
    <row r="228" spans="1:23">
      <c r="A228" s="1214">
        <v>12.09</v>
      </c>
      <c r="B228" s="261" t="s">
        <v>1201</v>
      </c>
      <c r="C228" s="1215">
        <f t="shared" si="12"/>
        <v>755782.85999999964</v>
      </c>
      <c r="D228" s="1117">
        <f t="shared" si="13"/>
        <v>0</v>
      </c>
      <c r="E228" s="121"/>
      <c r="F228" s="121"/>
      <c r="G228" s="121"/>
      <c r="H228" s="121"/>
      <c r="I228" s="1117">
        <f t="shared" si="14"/>
        <v>150</v>
      </c>
      <c r="J228" s="121">
        <v>150</v>
      </c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5"/>
    </row>
    <row r="229" spans="1:23">
      <c r="A229" s="1214">
        <v>12.09</v>
      </c>
      <c r="B229" s="261" t="s">
        <v>1184</v>
      </c>
      <c r="C229" s="1215">
        <f t="shared" si="12"/>
        <v>615282.85999999964</v>
      </c>
      <c r="D229" s="1117">
        <f t="shared" si="13"/>
        <v>0</v>
      </c>
      <c r="E229" s="121"/>
      <c r="F229" s="121"/>
      <c r="G229" s="121"/>
      <c r="H229" s="121"/>
      <c r="I229" s="1117">
        <f t="shared" si="14"/>
        <v>140500</v>
      </c>
      <c r="J229" s="121"/>
      <c r="K229" s="121"/>
      <c r="L229" s="121"/>
      <c r="M229" s="121"/>
      <c r="N229" s="121"/>
      <c r="O229" s="121"/>
      <c r="P229" s="121"/>
      <c r="Q229" s="121"/>
      <c r="R229" s="121">
        <v>140500</v>
      </c>
      <c r="S229" s="121"/>
      <c r="T229" s="121"/>
      <c r="U229" s="121"/>
      <c r="V229" s="121"/>
      <c r="W229" s="125"/>
    </row>
    <row r="230" spans="1:23">
      <c r="A230" s="1214">
        <v>12.09</v>
      </c>
      <c r="B230" s="261" t="s">
        <v>1207</v>
      </c>
      <c r="C230" s="1215">
        <f t="shared" si="12"/>
        <v>540282.85999999964</v>
      </c>
      <c r="D230" s="1117">
        <f t="shared" si="13"/>
        <v>0</v>
      </c>
      <c r="E230" s="121"/>
      <c r="F230" s="121"/>
      <c r="G230" s="121"/>
      <c r="H230" s="121"/>
      <c r="I230" s="1117">
        <f t="shared" si="14"/>
        <v>75000</v>
      </c>
      <c r="J230" s="121"/>
      <c r="K230" s="121"/>
      <c r="L230" s="121"/>
      <c r="M230" s="121"/>
      <c r="N230" s="121"/>
      <c r="O230" s="121"/>
      <c r="P230" s="121"/>
      <c r="Q230" s="121"/>
      <c r="R230" s="121"/>
      <c r="S230" s="121">
        <v>75000</v>
      </c>
      <c r="T230" s="121"/>
      <c r="U230" s="121"/>
      <c r="V230" s="121"/>
      <c r="W230" s="125"/>
    </row>
    <row r="231" spans="1:23">
      <c r="A231" s="1214">
        <v>14.09</v>
      </c>
      <c r="B231" s="261" t="s">
        <v>1187</v>
      </c>
      <c r="C231" s="1215">
        <f t="shared" si="12"/>
        <v>940282.85999999964</v>
      </c>
      <c r="D231" s="1117">
        <f t="shared" si="13"/>
        <v>400000</v>
      </c>
      <c r="E231" s="121">
        <v>400000</v>
      </c>
      <c r="F231" s="121"/>
      <c r="G231" s="121"/>
      <c r="H231" s="121"/>
      <c r="I231" s="1117">
        <f t="shared" si="14"/>
        <v>0</v>
      </c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5"/>
    </row>
    <row r="232" spans="1:23">
      <c r="A232" s="1214">
        <v>17.09</v>
      </c>
      <c r="B232" s="261" t="s">
        <v>1187</v>
      </c>
      <c r="C232" s="1215">
        <f t="shared" si="12"/>
        <v>990282.85999999964</v>
      </c>
      <c r="D232" s="1117">
        <f t="shared" si="13"/>
        <v>50000</v>
      </c>
      <c r="E232" s="121">
        <v>50000</v>
      </c>
      <c r="F232" s="121"/>
      <c r="G232" s="121"/>
      <c r="H232" s="121"/>
      <c r="I232" s="1117">
        <f t="shared" si="14"/>
        <v>0</v>
      </c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5"/>
    </row>
    <row r="233" spans="1:23">
      <c r="A233" s="1214">
        <v>17.09</v>
      </c>
      <c r="B233" s="261" t="s">
        <v>1184</v>
      </c>
      <c r="C233" s="1215">
        <f t="shared" si="12"/>
        <v>937182.85999999964</v>
      </c>
      <c r="D233" s="1117">
        <f t="shared" si="13"/>
        <v>0</v>
      </c>
      <c r="E233" s="121"/>
      <c r="F233" s="121"/>
      <c r="G233" s="121"/>
      <c r="H233" s="121"/>
      <c r="I233" s="1117">
        <f t="shared" si="14"/>
        <v>53100</v>
      </c>
      <c r="J233" s="121"/>
      <c r="K233" s="121"/>
      <c r="L233" s="121"/>
      <c r="M233" s="121"/>
      <c r="N233" s="121"/>
      <c r="O233" s="121"/>
      <c r="P233" s="121"/>
      <c r="Q233" s="121"/>
      <c r="R233" s="121">
        <v>53100</v>
      </c>
      <c r="S233" s="121"/>
      <c r="T233" s="121"/>
      <c r="U233" s="121"/>
      <c r="V233" s="121"/>
      <c r="W233" s="125"/>
    </row>
    <row r="234" spans="1:23">
      <c r="A234" s="1214">
        <v>17.09</v>
      </c>
      <c r="B234" s="261" t="s">
        <v>1187</v>
      </c>
      <c r="C234" s="1215">
        <f t="shared" si="12"/>
        <v>1187182.8599999996</v>
      </c>
      <c r="D234" s="1117">
        <f t="shared" si="13"/>
        <v>250000</v>
      </c>
      <c r="E234" s="121">
        <v>250000</v>
      </c>
      <c r="F234" s="121"/>
      <c r="G234" s="121"/>
      <c r="H234" s="121"/>
      <c r="I234" s="1117">
        <f t="shared" si="14"/>
        <v>0</v>
      </c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5"/>
    </row>
    <row r="235" spans="1:23">
      <c r="A235" s="1214">
        <v>19.09</v>
      </c>
      <c r="B235" s="261" t="s">
        <v>1187</v>
      </c>
      <c r="C235" s="1215">
        <f t="shared" si="12"/>
        <v>1237182.8599999996</v>
      </c>
      <c r="D235" s="1117">
        <f t="shared" si="13"/>
        <v>50000</v>
      </c>
      <c r="E235" s="121">
        <v>50000</v>
      </c>
      <c r="F235" s="121"/>
      <c r="G235" s="121"/>
      <c r="H235" s="121"/>
      <c r="I235" s="1117">
        <f t="shared" si="14"/>
        <v>0</v>
      </c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5"/>
    </row>
    <row r="236" spans="1:23">
      <c r="A236" s="1214">
        <v>25.09</v>
      </c>
      <c r="B236" s="261" t="s">
        <v>1207</v>
      </c>
      <c r="C236" s="1215">
        <f t="shared" si="12"/>
        <v>1227482.8599999996</v>
      </c>
      <c r="D236" s="1117">
        <f t="shared" si="13"/>
        <v>0</v>
      </c>
      <c r="E236" s="121"/>
      <c r="F236" s="121"/>
      <c r="G236" s="121"/>
      <c r="H236" s="121"/>
      <c r="I236" s="1117">
        <f t="shared" si="14"/>
        <v>9700</v>
      </c>
      <c r="J236" s="121"/>
      <c r="K236" s="121"/>
      <c r="L236" s="121"/>
      <c r="M236" s="121"/>
      <c r="N236" s="121"/>
      <c r="O236" s="121"/>
      <c r="P236" s="121"/>
      <c r="Q236" s="121"/>
      <c r="R236" s="121"/>
      <c r="S236" s="121">
        <v>9700</v>
      </c>
      <c r="T236" s="121"/>
      <c r="U236" s="121"/>
      <c r="V236" s="121"/>
      <c r="W236" s="125"/>
    </row>
    <row r="237" spans="1:23">
      <c r="A237" s="1214">
        <v>25.09</v>
      </c>
      <c r="B237" s="261" t="s">
        <v>1184</v>
      </c>
      <c r="C237" s="1215">
        <f t="shared" si="12"/>
        <v>1217282.8599999996</v>
      </c>
      <c r="D237" s="1117">
        <f t="shared" si="13"/>
        <v>0</v>
      </c>
      <c r="E237" s="121"/>
      <c r="F237" s="121"/>
      <c r="G237" s="121"/>
      <c r="H237" s="121"/>
      <c r="I237" s="1117">
        <f t="shared" si="14"/>
        <v>10200</v>
      </c>
      <c r="J237" s="121"/>
      <c r="K237" s="121"/>
      <c r="L237" s="121"/>
      <c r="M237" s="121"/>
      <c r="N237" s="121"/>
      <c r="O237" s="121"/>
      <c r="P237" s="121"/>
      <c r="Q237" s="121"/>
      <c r="R237" s="121">
        <v>10200</v>
      </c>
      <c r="S237" s="121"/>
      <c r="T237" s="121"/>
      <c r="U237" s="121"/>
      <c r="V237" s="121"/>
      <c r="W237" s="125"/>
    </row>
    <row r="238" spans="1:23">
      <c r="A238" s="1214">
        <v>28.09</v>
      </c>
      <c r="B238" s="261" t="s">
        <v>1187</v>
      </c>
      <c r="C238" s="1215">
        <f t="shared" si="12"/>
        <v>1452282.8599999996</v>
      </c>
      <c r="D238" s="1117">
        <f t="shared" si="13"/>
        <v>235000</v>
      </c>
      <c r="E238" s="121">
        <v>235000</v>
      </c>
      <c r="F238" s="121"/>
      <c r="G238" s="121"/>
      <c r="H238" s="121"/>
      <c r="I238" s="1117">
        <f t="shared" si="14"/>
        <v>0</v>
      </c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5"/>
    </row>
    <row r="239" spans="1:23">
      <c r="A239" s="1214">
        <v>28.09</v>
      </c>
      <c r="B239" s="261" t="s">
        <v>1046</v>
      </c>
      <c r="C239" s="1215">
        <f t="shared" si="12"/>
        <v>1439045.1899999997</v>
      </c>
      <c r="D239" s="1117">
        <f t="shared" si="13"/>
        <v>0</v>
      </c>
      <c r="E239" s="121"/>
      <c r="F239" s="121"/>
      <c r="G239" s="121"/>
      <c r="H239" s="121"/>
      <c r="I239" s="1117">
        <f t="shared" si="14"/>
        <v>13237.67</v>
      </c>
      <c r="J239" s="121"/>
      <c r="K239" s="121"/>
      <c r="L239" s="121">
        <v>13237.67</v>
      </c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5"/>
    </row>
    <row r="240" spans="1:23">
      <c r="A240" s="1214">
        <v>28.09</v>
      </c>
      <c r="B240" s="261" t="s">
        <v>1220</v>
      </c>
      <c r="C240" s="1215">
        <f t="shared" si="12"/>
        <v>1436045.1899999997</v>
      </c>
      <c r="D240" s="1117">
        <f t="shared" si="13"/>
        <v>0</v>
      </c>
      <c r="E240" s="121"/>
      <c r="F240" s="121"/>
      <c r="G240" s="121"/>
      <c r="H240" s="121"/>
      <c r="I240" s="1117">
        <f t="shared" si="14"/>
        <v>3000</v>
      </c>
      <c r="J240" s="121"/>
      <c r="K240" s="121"/>
      <c r="L240" s="121"/>
      <c r="M240" s="121"/>
      <c r="N240" s="121"/>
      <c r="O240" s="121"/>
      <c r="P240" s="121"/>
      <c r="Q240" s="121"/>
      <c r="R240" s="121">
        <v>3000</v>
      </c>
      <c r="S240" s="121"/>
      <c r="T240" s="121"/>
      <c r="U240" s="121"/>
      <c r="V240" s="121"/>
      <c r="W240" s="125"/>
    </row>
    <row r="241" spans="1:23">
      <c r="A241" s="1214">
        <v>28.09</v>
      </c>
      <c r="B241" s="261" t="s">
        <v>1201</v>
      </c>
      <c r="C241" s="1215">
        <f>+C240+D241-I241</f>
        <v>1435545.1899999997</v>
      </c>
      <c r="D241" s="1117">
        <f t="shared" si="13"/>
        <v>0</v>
      </c>
      <c r="E241" s="121"/>
      <c r="F241" s="121"/>
      <c r="G241" s="121"/>
      <c r="H241" s="121"/>
      <c r="I241" s="1117">
        <f t="shared" si="14"/>
        <v>500</v>
      </c>
      <c r="J241" s="121">
        <v>500</v>
      </c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5"/>
    </row>
    <row r="242" spans="1:23">
      <c r="A242" s="1214">
        <v>1.1000000000000001</v>
      </c>
      <c r="B242" s="261" t="s">
        <v>1193</v>
      </c>
      <c r="C242" s="1215">
        <f t="shared" si="12"/>
        <v>982611.18999999971</v>
      </c>
      <c r="D242" s="1117">
        <f t="shared" si="13"/>
        <v>0</v>
      </c>
      <c r="E242" s="121"/>
      <c r="F242" s="121"/>
      <c r="G242" s="121"/>
      <c r="H242" s="121"/>
      <c r="I242" s="1117">
        <f t="shared" si="14"/>
        <v>452934</v>
      </c>
      <c r="J242" s="121"/>
      <c r="K242" s="121"/>
      <c r="L242" s="121"/>
      <c r="M242" s="121">
        <v>452934</v>
      </c>
      <c r="N242" s="121"/>
      <c r="O242" s="121"/>
      <c r="P242" s="121"/>
      <c r="Q242" s="121"/>
      <c r="R242" s="121"/>
      <c r="S242" s="121"/>
      <c r="T242" s="121"/>
      <c r="U242" s="121"/>
      <c r="V242" s="121"/>
      <c r="W242" s="125"/>
    </row>
    <row r="243" spans="1:23">
      <c r="A243" s="1214">
        <v>1.1000000000000001</v>
      </c>
      <c r="B243" s="261" t="s">
        <v>1184</v>
      </c>
      <c r="C243" s="1215">
        <f t="shared" si="12"/>
        <v>560781.18999999971</v>
      </c>
      <c r="D243" s="1117">
        <f t="shared" si="13"/>
        <v>0</v>
      </c>
      <c r="E243" s="121"/>
      <c r="F243" s="121"/>
      <c r="G243" s="121"/>
      <c r="H243" s="121"/>
      <c r="I243" s="1117">
        <f t="shared" si="14"/>
        <v>421830</v>
      </c>
      <c r="J243" s="121"/>
      <c r="K243" s="121"/>
      <c r="L243" s="121"/>
      <c r="M243" s="121"/>
      <c r="N243" s="121"/>
      <c r="O243" s="121"/>
      <c r="P243" s="121"/>
      <c r="Q243" s="121"/>
      <c r="R243" s="121">
        <v>421830</v>
      </c>
      <c r="S243" s="121"/>
      <c r="T243" s="121"/>
      <c r="U243" s="121"/>
      <c r="V243" s="121"/>
      <c r="W243" s="125"/>
    </row>
    <row r="244" spans="1:23">
      <c r="A244" s="1214">
        <v>3.1</v>
      </c>
      <c r="B244" s="261" t="s">
        <v>1221</v>
      </c>
      <c r="C244" s="1215">
        <f t="shared" si="12"/>
        <v>625781.18999999971</v>
      </c>
      <c r="D244" s="1117">
        <f t="shared" si="13"/>
        <v>65000</v>
      </c>
      <c r="E244" s="121">
        <v>65000</v>
      </c>
      <c r="F244" s="121"/>
      <c r="G244" s="121"/>
      <c r="H244" s="121"/>
      <c r="I244" s="1117">
        <f t="shared" si="14"/>
        <v>0</v>
      </c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5"/>
    </row>
    <row r="245" spans="1:23">
      <c r="A245" s="1214">
        <v>10.1</v>
      </c>
      <c r="B245" s="261" t="s">
        <v>1184</v>
      </c>
      <c r="C245" s="1215">
        <f t="shared" si="12"/>
        <v>610781.18999999971</v>
      </c>
      <c r="D245" s="1117">
        <f t="shared" si="13"/>
        <v>0</v>
      </c>
      <c r="E245" s="121"/>
      <c r="F245" s="121"/>
      <c r="G245" s="121"/>
      <c r="H245" s="121"/>
      <c r="I245" s="1117">
        <f t="shared" si="14"/>
        <v>15000</v>
      </c>
      <c r="J245" s="121"/>
      <c r="K245" s="121"/>
      <c r="L245" s="121"/>
      <c r="M245" s="121"/>
      <c r="N245" s="121"/>
      <c r="O245" s="121"/>
      <c r="P245" s="121"/>
      <c r="Q245" s="121"/>
      <c r="R245" s="121">
        <v>15000</v>
      </c>
      <c r="S245" s="121"/>
      <c r="T245" s="121"/>
      <c r="U245" s="121"/>
      <c r="V245" s="121"/>
      <c r="W245" s="125"/>
    </row>
    <row r="246" spans="1:23">
      <c r="A246" s="1214">
        <v>11.1</v>
      </c>
      <c r="B246" s="261" t="s">
        <v>1204</v>
      </c>
      <c r="C246" s="1215">
        <f t="shared" si="12"/>
        <v>452963.18999999971</v>
      </c>
      <c r="D246" s="1117">
        <f t="shared" si="13"/>
        <v>0</v>
      </c>
      <c r="E246" s="121"/>
      <c r="F246" s="121"/>
      <c r="G246" s="121"/>
      <c r="H246" s="121"/>
      <c r="I246" s="1117">
        <f t="shared" si="14"/>
        <v>157818</v>
      </c>
      <c r="J246" s="121"/>
      <c r="K246" s="121"/>
      <c r="L246" s="121"/>
      <c r="M246" s="121"/>
      <c r="N246" s="121">
        <v>157818</v>
      </c>
      <c r="O246" s="121"/>
      <c r="P246" s="121"/>
      <c r="Q246" s="121"/>
      <c r="R246" s="121"/>
      <c r="S246" s="121"/>
      <c r="T246" s="121"/>
      <c r="U246" s="121"/>
      <c r="V246" s="121"/>
      <c r="W246" s="125"/>
    </row>
    <row r="247" spans="1:23">
      <c r="A247" s="1214">
        <v>11.1</v>
      </c>
      <c r="B247" s="261" t="s">
        <v>1201</v>
      </c>
      <c r="C247" s="1215">
        <f t="shared" si="12"/>
        <v>452813.18999999971</v>
      </c>
      <c r="D247" s="1117">
        <f t="shared" si="13"/>
        <v>0</v>
      </c>
      <c r="E247" s="121"/>
      <c r="F247" s="121"/>
      <c r="G247" s="121"/>
      <c r="H247" s="121"/>
      <c r="I247" s="1117">
        <f t="shared" si="14"/>
        <v>150</v>
      </c>
      <c r="J247" s="121">
        <v>150</v>
      </c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5"/>
    </row>
    <row r="248" spans="1:23">
      <c r="A248" s="1214">
        <v>11.1</v>
      </c>
      <c r="B248" s="261" t="s">
        <v>1191</v>
      </c>
      <c r="C248" s="1215">
        <f t="shared" si="12"/>
        <v>406603.18999999971</v>
      </c>
      <c r="D248" s="1117">
        <f t="shared" si="13"/>
        <v>0</v>
      </c>
      <c r="E248" s="121"/>
      <c r="F248" s="121"/>
      <c r="G248" s="121"/>
      <c r="H248" s="121"/>
      <c r="I248" s="1117">
        <f t="shared" si="14"/>
        <v>46210</v>
      </c>
      <c r="J248" s="121"/>
      <c r="K248" s="121"/>
      <c r="L248" s="121"/>
      <c r="M248" s="121"/>
      <c r="N248" s="121"/>
      <c r="O248" s="121">
        <v>46210</v>
      </c>
      <c r="P248" s="121"/>
      <c r="Q248" s="121"/>
      <c r="R248" s="121"/>
      <c r="S248" s="121"/>
      <c r="T248" s="121"/>
      <c r="U248" s="121"/>
      <c r="V248" s="121"/>
      <c r="W248" s="125"/>
    </row>
    <row r="249" spans="1:23">
      <c r="A249" s="1214">
        <v>11.1</v>
      </c>
      <c r="B249" s="261" t="s">
        <v>1201</v>
      </c>
      <c r="C249" s="1215">
        <f t="shared" si="12"/>
        <v>406353.18999999971</v>
      </c>
      <c r="D249" s="1117">
        <f t="shared" si="13"/>
        <v>0</v>
      </c>
      <c r="E249" s="121"/>
      <c r="F249" s="121"/>
      <c r="G249" s="121"/>
      <c r="H249" s="121"/>
      <c r="I249" s="1117">
        <f t="shared" si="14"/>
        <v>250</v>
      </c>
      <c r="J249" s="121">
        <v>250</v>
      </c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5"/>
    </row>
    <row r="250" spans="1:23">
      <c r="A250" s="1214">
        <v>11.1</v>
      </c>
      <c r="B250" s="261" t="s">
        <v>1200</v>
      </c>
      <c r="C250" s="1215">
        <f t="shared" si="12"/>
        <v>386107.18999999971</v>
      </c>
      <c r="D250" s="1117">
        <f t="shared" si="13"/>
        <v>0</v>
      </c>
      <c r="E250" s="121"/>
      <c r="F250" s="121"/>
      <c r="G250" s="121"/>
      <c r="H250" s="121"/>
      <c r="I250" s="1117">
        <f t="shared" si="14"/>
        <v>20246</v>
      </c>
      <c r="J250" s="121"/>
      <c r="K250" s="121"/>
      <c r="L250" s="121"/>
      <c r="M250" s="121"/>
      <c r="N250" s="121"/>
      <c r="O250" s="121"/>
      <c r="P250" s="121">
        <v>20246</v>
      </c>
      <c r="Q250" s="121"/>
      <c r="R250" s="121"/>
      <c r="S250" s="121"/>
      <c r="T250" s="121"/>
      <c r="U250" s="121"/>
      <c r="V250" s="121"/>
      <c r="W250" s="125"/>
    </row>
    <row r="251" spans="1:23">
      <c r="A251" s="1214">
        <v>11.1</v>
      </c>
      <c r="B251" s="261" t="s">
        <v>1201</v>
      </c>
      <c r="C251" s="1215">
        <f t="shared" si="12"/>
        <v>385957.18999999971</v>
      </c>
      <c r="D251" s="1117">
        <f t="shared" si="13"/>
        <v>0</v>
      </c>
      <c r="E251" s="121"/>
      <c r="F251" s="121"/>
      <c r="G251" s="121"/>
      <c r="H251" s="121"/>
      <c r="I251" s="1117">
        <f t="shared" si="14"/>
        <v>150</v>
      </c>
      <c r="J251" s="121">
        <v>150</v>
      </c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5"/>
    </row>
    <row r="252" spans="1:23">
      <c r="A252" s="1214">
        <v>11.1</v>
      </c>
      <c r="B252" s="261" t="s">
        <v>1187</v>
      </c>
      <c r="C252" s="1215">
        <f t="shared" si="12"/>
        <v>485957.18999999971</v>
      </c>
      <c r="D252" s="1117">
        <f t="shared" si="13"/>
        <v>100000</v>
      </c>
      <c r="E252" s="121"/>
      <c r="F252" s="121">
        <v>100000</v>
      </c>
      <c r="G252" s="121"/>
      <c r="H252" s="121"/>
      <c r="I252" s="1117">
        <f t="shared" si="14"/>
        <v>0</v>
      </c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5"/>
    </row>
    <row r="253" spans="1:23">
      <c r="A253" s="1214">
        <v>11.1</v>
      </c>
      <c r="B253" s="261" t="s">
        <v>1184</v>
      </c>
      <c r="C253" s="1215">
        <f t="shared" si="12"/>
        <v>287957.18999999971</v>
      </c>
      <c r="D253" s="1117">
        <f t="shared" si="13"/>
        <v>0</v>
      </c>
      <c r="E253" s="121"/>
      <c r="F253" s="121"/>
      <c r="G253" s="121"/>
      <c r="H253" s="121"/>
      <c r="I253" s="1117">
        <f t="shared" si="14"/>
        <v>198000</v>
      </c>
      <c r="J253" s="121"/>
      <c r="K253" s="121"/>
      <c r="L253" s="121"/>
      <c r="M253" s="121"/>
      <c r="N253" s="121"/>
      <c r="O253" s="121"/>
      <c r="P253" s="121"/>
      <c r="Q253" s="121"/>
      <c r="R253" s="121">
        <v>198000</v>
      </c>
      <c r="S253" s="121"/>
      <c r="T253" s="121"/>
      <c r="U253" s="121"/>
      <c r="V253" s="121"/>
      <c r="W253" s="125"/>
    </row>
    <row r="254" spans="1:23">
      <c r="A254" s="1214">
        <v>11.1</v>
      </c>
      <c r="B254" s="261" t="s">
        <v>1184</v>
      </c>
      <c r="C254" s="1215">
        <f t="shared" si="12"/>
        <v>207957.18999999971</v>
      </c>
      <c r="D254" s="1117">
        <f t="shared" si="13"/>
        <v>0</v>
      </c>
      <c r="E254" s="121"/>
      <c r="F254" s="121"/>
      <c r="G254" s="121"/>
      <c r="H254" s="121"/>
      <c r="I254" s="1117">
        <f t="shared" si="14"/>
        <v>80000</v>
      </c>
      <c r="J254" s="121"/>
      <c r="K254" s="121"/>
      <c r="L254" s="121"/>
      <c r="M254" s="121"/>
      <c r="N254" s="121"/>
      <c r="O254" s="121"/>
      <c r="P254" s="121"/>
      <c r="Q254" s="121"/>
      <c r="R254" s="121">
        <v>80000</v>
      </c>
      <c r="S254" s="121"/>
      <c r="T254" s="121"/>
      <c r="U254" s="121"/>
      <c r="V254" s="121"/>
      <c r="W254" s="125"/>
    </row>
    <row r="255" spans="1:23">
      <c r="A255" s="1214">
        <v>11.1</v>
      </c>
      <c r="B255" s="261" t="s">
        <v>1207</v>
      </c>
      <c r="C255" s="1215">
        <f t="shared" si="12"/>
        <v>102957.18999999971</v>
      </c>
      <c r="D255" s="1117">
        <f t="shared" si="13"/>
        <v>0</v>
      </c>
      <c r="E255" s="121"/>
      <c r="F255" s="121"/>
      <c r="G255" s="121"/>
      <c r="H255" s="121"/>
      <c r="I255" s="1117">
        <f t="shared" si="14"/>
        <v>105000</v>
      </c>
      <c r="J255" s="121"/>
      <c r="K255" s="121"/>
      <c r="L255" s="121"/>
      <c r="M255" s="121"/>
      <c r="N255" s="121"/>
      <c r="O255" s="121"/>
      <c r="P255" s="121"/>
      <c r="Q255" s="121"/>
      <c r="R255" s="121"/>
      <c r="S255" s="121">
        <v>105000</v>
      </c>
      <c r="T255" s="121"/>
      <c r="U255" s="121"/>
      <c r="V255" s="121"/>
      <c r="W255" s="125"/>
    </row>
    <row r="256" spans="1:23">
      <c r="A256" s="1214">
        <v>11.1</v>
      </c>
      <c r="B256" s="261" t="s">
        <v>1207</v>
      </c>
      <c r="C256" s="1215">
        <f t="shared" si="12"/>
        <v>27957.189999999711</v>
      </c>
      <c r="D256" s="1117">
        <f t="shared" si="13"/>
        <v>0</v>
      </c>
      <c r="E256" s="121"/>
      <c r="F256" s="121"/>
      <c r="G256" s="121"/>
      <c r="H256" s="121"/>
      <c r="I256" s="1117">
        <f t="shared" si="14"/>
        <v>75000</v>
      </c>
      <c r="J256" s="121"/>
      <c r="K256" s="121"/>
      <c r="L256" s="121"/>
      <c r="M256" s="121"/>
      <c r="N256" s="121"/>
      <c r="O256" s="121"/>
      <c r="P256" s="121"/>
      <c r="Q256" s="121"/>
      <c r="R256" s="121"/>
      <c r="S256" s="121">
        <v>75000</v>
      </c>
      <c r="T256" s="121"/>
      <c r="U256" s="121"/>
      <c r="V256" s="121"/>
      <c r="W256" s="125"/>
    </row>
    <row r="257" spans="1:23">
      <c r="A257" s="1214">
        <v>12.1</v>
      </c>
      <c r="B257" s="261" t="s">
        <v>1187</v>
      </c>
      <c r="C257" s="1215">
        <f t="shared" si="12"/>
        <v>177957.18999999971</v>
      </c>
      <c r="D257" s="1117">
        <f t="shared" si="13"/>
        <v>150000</v>
      </c>
      <c r="E257" s="121"/>
      <c r="F257" s="121">
        <v>150000</v>
      </c>
      <c r="G257" s="121"/>
      <c r="H257" s="121"/>
      <c r="I257" s="1117">
        <f t="shared" si="14"/>
        <v>0</v>
      </c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5"/>
    </row>
    <row r="258" spans="1:23">
      <c r="A258" s="1214">
        <v>16.100000000000001</v>
      </c>
      <c r="B258" s="261" t="s">
        <v>1187</v>
      </c>
      <c r="C258" s="1215">
        <f t="shared" si="12"/>
        <v>267957.18999999971</v>
      </c>
      <c r="D258" s="1117">
        <f t="shared" si="13"/>
        <v>90000</v>
      </c>
      <c r="E258" s="121"/>
      <c r="F258" s="121">
        <v>90000</v>
      </c>
      <c r="G258" s="121"/>
      <c r="H258" s="121"/>
      <c r="I258" s="1117">
        <f t="shared" si="14"/>
        <v>0</v>
      </c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5"/>
    </row>
    <row r="259" spans="1:23">
      <c r="A259" s="1214">
        <v>17.100000000000001</v>
      </c>
      <c r="B259" s="261" t="s">
        <v>1207</v>
      </c>
      <c r="C259" s="1215">
        <f t="shared" si="12"/>
        <v>257957.18999999971</v>
      </c>
      <c r="D259" s="1117">
        <f t="shared" si="13"/>
        <v>0</v>
      </c>
      <c r="E259" s="121"/>
      <c r="F259" s="121"/>
      <c r="G259" s="121"/>
      <c r="H259" s="121"/>
      <c r="I259" s="1117">
        <f t="shared" si="14"/>
        <v>10000</v>
      </c>
      <c r="J259" s="121"/>
      <c r="K259" s="121"/>
      <c r="L259" s="121"/>
      <c r="M259" s="121"/>
      <c r="N259" s="121"/>
      <c r="O259" s="121"/>
      <c r="P259" s="121"/>
      <c r="Q259" s="121"/>
      <c r="R259" s="121"/>
      <c r="S259" s="121">
        <v>10000</v>
      </c>
      <c r="T259" s="121"/>
      <c r="U259" s="121"/>
      <c r="V259" s="121"/>
      <c r="W259" s="125"/>
    </row>
    <row r="260" spans="1:23">
      <c r="A260" s="1214">
        <v>17.100000000000001</v>
      </c>
      <c r="B260" s="261" t="s">
        <v>1184</v>
      </c>
      <c r="C260" s="1215">
        <f t="shared" ref="C260:C299" si="15">+C259+D260-I260</f>
        <v>247657.18999999971</v>
      </c>
      <c r="D260" s="1117">
        <f t="shared" ref="D260:D299" si="16">SUM(E260:H260)</f>
        <v>0</v>
      </c>
      <c r="E260" s="121"/>
      <c r="F260" s="121"/>
      <c r="G260" s="121"/>
      <c r="H260" s="121"/>
      <c r="I260" s="1117">
        <f t="shared" ref="I260:I299" si="17">SUM(J260:W260)</f>
        <v>10300</v>
      </c>
      <c r="J260" s="121"/>
      <c r="K260" s="121"/>
      <c r="L260" s="121"/>
      <c r="M260" s="121"/>
      <c r="N260" s="121"/>
      <c r="O260" s="121"/>
      <c r="P260" s="121"/>
      <c r="Q260" s="121"/>
      <c r="R260" s="121">
        <v>10300</v>
      </c>
      <c r="S260" s="121"/>
      <c r="T260" s="121"/>
      <c r="U260" s="121"/>
      <c r="V260" s="121"/>
      <c r="W260" s="125"/>
    </row>
    <row r="261" spans="1:23">
      <c r="A261" s="1214">
        <v>18.100000000000001</v>
      </c>
      <c r="B261" s="261" t="s">
        <v>1187</v>
      </c>
      <c r="C261" s="1215">
        <f t="shared" si="15"/>
        <v>642657.18999999971</v>
      </c>
      <c r="D261" s="1117">
        <f t="shared" si="16"/>
        <v>395000</v>
      </c>
      <c r="E261" s="121"/>
      <c r="F261" s="121">
        <v>395000</v>
      </c>
      <c r="G261" s="121"/>
      <c r="H261" s="121"/>
      <c r="I261" s="1117">
        <f t="shared" si="17"/>
        <v>0</v>
      </c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5"/>
    </row>
    <row r="262" spans="1:23">
      <c r="A262" s="1214">
        <v>22.1</v>
      </c>
      <c r="B262" s="261" t="s">
        <v>1184</v>
      </c>
      <c r="C262" s="1215">
        <f t="shared" si="15"/>
        <v>603357.18999999971</v>
      </c>
      <c r="D262" s="1117">
        <f t="shared" si="16"/>
        <v>0</v>
      </c>
      <c r="E262" s="121"/>
      <c r="F262" s="121"/>
      <c r="G262" s="121"/>
      <c r="H262" s="121"/>
      <c r="I262" s="1117">
        <f t="shared" si="17"/>
        <v>39300</v>
      </c>
      <c r="J262" s="121"/>
      <c r="K262" s="121"/>
      <c r="L262" s="121"/>
      <c r="M262" s="121"/>
      <c r="N262" s="121"/>
      <c r="O262" s="121"/>
      <c r="P262" s="121"/>
      <c r="Q262" s="121"/>
      <c r="R262" s="121">
        <v>39300</v>
      </c>
      <c r="S262" s="121"/>
      <c r="T262" s="121"/>
      <c r="U262" s="121"/>
      <c r="V262" s="121"/>
      <c r="W262" s="125"/>
    </row>
    <row r="263" spans="1:23">
      <c r="A263" s="1214">
        <v>22.1</v>
      </c>
      <c r="B263" s="261" t="s">
        <v>1184</v>
      </c>
      <c r="C263" s="1215">
        <f t="shared" si="15"/>
        <v>600957.18999999971</v>
      </c>
      <c r="D263" s="1117">
        <f t="shared" si="16"/>
        <v>0</v>
      </c>
      <c r="E263" s="121"/>
      <c r="F263" s="121"/>
      <c r="G263" s="121"/>
      <c r="H263" s="121"/>
      <c r="I263" s="1117">
        <f t="shared" si="17"/>
        <v>2400</v>
      </c>
      <c r="J263" s="121"/>
      <c r="K263" s="121"/>
      <c r="L263" s="121"/>
      <c r="M263" s="121"/>
      <c r="N263" s="121"/>
      <c r="O263" s="121"/>
      <c r="P263" s="121"/>
      <c r="Q263" s="121"/>
      <c r="R263" s="121">
        <v>2400</v>
      </c>
      <c r="S263" s="121"/>
      <c r="T263" s="121"/>
      <c r="U263" s="121"/>
      <c r="V263" s="121"/>
      <c r="W263" s="125"/>
    </row>
    <row r="264" spans="1:23">
      <c r="A264" s="1214">
        <v>22.1</v>
      </c>
      <c r="B264" s="261" t="s">
        <v>1046</v>
      </c>
      <c r="C264" s="1215">
        <f t="shared" si="15"/>
        <v>587516.81999999972</v>
      </c>
      <c r="D264" s="1117">
        <f t="shared" si="16"/>
        <v>0</v>
      </c>
      <c r="E264" s="121"/>
      <c r="F264" s="121"/>
      <c r="G264" s="121"/>
      <c r="H264" s="121"/>
      <c r="I264" s="1117">
        <f t="shared" si="17"/>
        <v>13440.37</v>
      </c>
      <c r="J264" s="121"/>
      <c r="K264" s="121"/>
      <c r="L264" s="121">
        <v>13440.37</v>
      </c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5"/>
    </row>
    <row r="265" spans="1:23">
      <c r="A265" s="1214">
        <v>31.1</v>
      </c>
      <c r="B265" s="261" t="s">
        <v>1187</v>
      </c>
      <c r="C265" s="1215">
        <f t="shared" si="15"/>
        <v>637516.81999999972</v>
      </c>
      <c r="D265" s="1117">
        <f t="shared" si="16"/>
        <v>50000</v>
      </c>
      <c r="E265" s="121"/>
      <c r="F265" s="121">
        <v>50000</v>
      </c>
      <c r="G265" s="121"/>
      <c r="H265" s="121"/>
      <c r="I265" s="1117">
        <f t="shared" si="17"/>
        <v>0</v>
      </c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5"/>
    </row>
    <row r="266" spans="1:23">
      <c r="A266" s="1214">
        <v>31.1</v>
      </c>
      <c r="B266" s="261" t="s">
        <v>1201</v>
      </c>
      <c r="C266" s="1215">
        <f t="shared" si="15"/>
        <v>637016.81999999972</v>
      </c>
      <c r="D266" s="1117">
        <f t="shared" si="16"/>
        <v>0</v>
      </c>
      <c r="E266" s="121"/>
      <c r="F266" s="121"/>
      <c r="G266" s="121"/>
      <c r="H266" s="121"/>
      <c r="I266" s="1117">
        <f t="shared" si="17"/>
        <v>500</v>
      </c>
      <c r="J266" s="121">
        <v>500</v>
      </c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5"/>
    </row>
    <row r="267" spans="1:23">
      <c r="A267" s="1214">
        <v>1.1100000000000001</v>
      </c>
      <c r="B267" s="261" t="s">
        <v>1193</v>
      </c>
      <c r="C267" s="1215">
        <f t="shared" si="15"/>
        <v>162044.81999999972</v>
      </c>
      <c r="D267" s="1117">
        <f t="shared" si="16"/>
        <v>0</v>
      </c>
      <c r="E267" s="121"/>
      <c r="F267" s="121"/>
      <c r="G267" s="121"/>
      <c r="H267" s="121"/>
      <c r="I267" s="1117">
        <f t="shared" si="17"/>
        <v>474972</v>
      </c>
      <c r="J267" s="121"/>
      <c r="K267" s="121"/>
      <c r="L267" s="121"/>
      <c r="M267" s="121">
        <v>474972</v>
      </c>
      <c r="N267" s="121"/>
      <c r="O267" s="121"/>
      <c r="P267" s="121"/>
      <c r="Q267" s="121"/>
      <c r="R267" s="121"/>
      <c r="S267" s="121"/>
      <c r="T267" s="121"/>
      <c r="U267" s="121"/>
      <c r="V267" s="121"/>
      <c r="W267" s="125"/>
    </row>
    <row r="268" spans="1:23">
      <c r="A268" s="1214">
        <v>2.11</v>
      </c>
      <c r="B268" s="261" t="s">
        <v>1187</v>
      </c>
      <c r="C268" s="1215">
        <f t="shared" si="15"/>
        <v>212044.81999999972</v>
      </c>
      <c r="D268" s="1117">
        <f t="shared" si="16"/>
        <v>50000</v>
      </c>
      <c r="E268" s="121"/>
      <c r="F268" s="121">
        <v>50000</v>
      </c>
      <c r="G268" s="121"/>
      <c r="H268" s="121"/>
      <c r="I268" s="1117">
        <f t="shared" si="17"/>
        <v>0</v>
      </c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5"/>
    </row>
    <row r="269" spans="1:23">
      <c r="A269" s="1214">
        <v>6.11</v>
      </c>
      <c r="B269" s="261" t="s">
        <v>1187</v>
      </c>
      <c r="C269" s="1215">
        <f t="shared" si="15"/>
        <v>342044.81999999972</v>
      </c>
      <c r="D269" s="1117">
        <f t="shared" si="16"/>
        <v>130000</v>
      </c>
      <c r="E269" s="121"/>
      <c r="F269" s="121">
        <v>130000</v>
      </c>
      <c r="G269" s="121"/>
      <c r="H269" s="121"/>
      <c r="I269" s="1117">
        <f t="shared" si="17"/>
        <v>0</v>
      </c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5"/>
    </row>
    <row r="270" spans="1:23">
      <c r="A270" s="1214">
        <v>9.11</v>
      </c>
      <c r="B270" s="261" t="s">
        <v>1184</v>
      </c>
      <c r="C270" s="1215">
        <f t="shared" si="15"/>
        <v>272144.81999999972</v>
      </c>
      <c r="D270" s="1117">
        <f t="shared" si="16"/>
        <v>0</v>
      </c>
      <c r="E270" s="121"/>
      <c r="F270" s="121"/>
      <c r="G270" s="121"/>
      <c r="H270" s="121"/>
      <c r="I270" s="1117">
        <f t="shared" si="17"/>
        <v>69900</v>
      </c>
      <c r="J270" s="121"/>
      <c r="K270" s="121"/>
      <c r="L270" s="121"/>
      <c r="M270" s="121"/>
      <c r="N270" s="121"/>
      <c r="O270" s="121"/>
      <c r="P270" s="121"/>
      <c r="Q270" s="121"/>
      <c r="R270" s="121">
        <v>69900</v>
      </c>
      <c r="S270" s="121"/>
      <c r="T270" s="121"/>
      <c r="U270" s="121"/>
      <c r="V270" s="121"/>
      <c r="W270" s="125"/>
    </row>
    <row r="271" spans="1:23">
      <c r="A271" s="1214">
        <v>9.11</v>
      </c>
      <c r="B271" s="261" t="s">
        <v>1207</v>
      </c>
      <c r="C271" s="1215">
        <f t="shared" si="15"/>
        <v>250211.81999999972</v>
      </c>
      <c r="D271" s="1117">
        <f t="shared" si="16"/>
        <v>0</v>
      </c>
      <c r="E271" s="121"/>
      <c r="F271" s="121"/>
      <c r="G271" s="121"/>
      <c r="H271" s="121"/>
      <c r="I271" s="1117">
        <f t="shared" si="17"/>
        <v>21933</v>
      </c>
      <c r="J271" s="121"/>
      <c r="K271" s="121"/>
      <c r="L271" s="121"/>
      <c r="M271" s="121"/>
      <c r="N271" s="121"/>
      <c r="O271" s="121"/>
      <c r="P271" s="121"/>
      <c r="Q271" s="121"/>
      <c r="R271" s="121"/>
      <c r="S271" s="121">
        <v>21933</v>
      </c>
      <c r="T271" s="121"/>
      <c r="U271" s="121"/>
      <c r="V271" s="121"/>
      <c r="W271" s="125"/>
    </row>
    <row r="272" spans="1:23">
      <c r="A272" s="1214">
        <v>9.11</v>
      </c>
      <c r="B272" s="261" t="s">
        <v>1207</v>
      </c>
      <c r="C272" s="1215">
        <f t="shared" si="15"/>
        <v>244815.81999999972</v>
      </c>
      <c r="D272" s="1117">
        <f t="shared" si="16"/>
        <v>0</v>
      </c>
      <c r="E272" s="121"/>
      <c r="F272" s="121"/>
      <c r="G272" s="121"/>
      <c r="H272" s="121"/>
      <c r="I272" s="1117">
        <f t="shared" si="17"/>
        <v>5396</v>
      </c>
      <c r="J272" s="121"/>
      <c r="K272" s="121"/>
      <c r="L272" s="121"/>
      <c r="M272" s="121"/>
      <c r="N272" s="121"/>
      <c r="O272" s="121"/>
      <c r="P272" s="121"/>
      <c r="Q272" s="121"/>
      <c r="R272" s="121"/>
      <c r="S272" s="121">
        <v>5396</v>
      </c>
      <c r="T272" s="121"/>
      <c r="U272" s="121"/>
      <c r="V272" s="121"/>
      <c r="W272" s="125"/>
    </row>
    <row r="273" spans="1:23">
      <c r="A273" s="1214">
        <v>9.11</v>
      </c>
      <c r="B273" s="261" t="s">
        <v>1046</v>
      </c>
      <c r="C273" s="1215">
        <f t="shared" si="15"/>
        <v>231432.25999999972</v>
      </c>
      <c r="D273" s="1117">
        <f t="shared" si="16"/>
        <v>0</v>
      </c>
      <c r="E273" s="121"/>
      <c r="F273" s="121"/>
      <c r="G273" s="121"/>
      <c r="H273" s="121"/>
      <c r="I273" s="1117">
        <f t="shared" si="17"/>
        <v>13383.56</v>
      </c>
      <c r="J273" s="121"/>
      <c r="K273" s="121"/>
      <c r="L273" s="121">
        <v>13383.56</v>
      </c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5"/>
    </row>
    <row r="274" spans="1:23">
      <c r="A274" s="1214">
        <v>14.11</v>
      </c>
      <c r="B274" s="261" t="s">
        <v>1200</v>
      </c>
      <c r="C274" s="1215">
        <f t="shared" si="15"/>
        <v>186432.25999999972</v>
      </c>
      <c r="D274" s="1117">
        <f t="shared" si="16"/>
        <v>0</v>
      </c>
      <c r="E274" s="121"/>
      <c r="F274" s="121"/>
      <c r="G274" s="121"/>
      <c r="H274" s="121"/>
      <c r="I274" s="1117">
        <f t="shared" si="17"/>
        <v>45000</v>
      </c>
      <c r="J274" s="121"/>
      <c r="K274" s="121"/>
      <c r="L274" s="121"/>
      <c r="M274" s="121"/>
      <c r="N274" s="121"/>
      <c r="O274" s="121"/>
      <c r="P274" s="121">
        <v>45000</v>
      </c>
      <c r="Q274" s="121"/>
      <c r="R274" s="121"/>
      <c r="S274" s="121"/>
      <c r="T274" s="121"/>
      <c r="U274" s="121"/>
      <c r="V274" s="121"/>
      <c r="W274" s="125"/>
    </row>
    <row r="275" spans="1:23">
      <c r="A275" s="1214">
        <v>14.11</v>
      </c>
      <c r="B275" s="1216" t="s">
        <v>1201</v>
      </c>
      <c r="C275" s="1215">
        <f t="shared" si="15"/>
        <v>186282.25999999972</v>
      </c>
      <c r="D275" s="1117">
        <f t="shared" si="16"/>
        <v>0</v>
      </c>
      <c r="E275" s="121"/>
      <c r="F275" s="121"/>
      <c r="G275" s="121"/>
      <c r="H275" s="121"/>
      <c r="I275" s="1117">
        <f t="shared" si="17"/>
        <v>150</v>
      </c>
      <c r="J275" s="121">
        <v>150</v>
      </c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5"/>
    </row>
    <row r="276" spans="1:23">
      <c r="A276" s="1214">
        <v>14.11</v>
      </c>
      <c r="B276" s="261" t="s">
        <v>1189</v>
      </c>
      <c r="C276" s="1215">
        <f t="shared" si="15"/>
        <v>22532.259999999718</v>
      </c>
      <c r="D276" s="1117">
        <f t="shared" si="16"/>
        <v>0</v>
      </c>
      <c r="E276" s="121"/>
      <c r="F276" s="121"/>
      <c r="G276" s="121"/>
      <c r="H276" s="121"/>
      <c r="I276" s="1117">
        <f t="shared" si="17"/>
        <v>163750</v>
      </c>
      <c r="J276" s="121"/>
      <c r="K276" s="121"/>
      <c r="L276" s="121"/>
      <c r="M276" s="121"/>
      <c r="N276" s="121">
        <v>163750</v>
      </c>
      <c r="O276" s="121"/>
      <c r="P276" s="121"/>
      <c r="Q276" s="121"/>
      <c r="R276" s="121"/>
      <c r="S276" s="121"/>
      <c r="T276" s="121"/>
      <c r="U276" s="121"/>
      <c r="V276" s="121"/>
      <c r="W276" s="125"/>
    </row>
    <row r="277" spans="1:23">
      <c r="A277" s="1214">
        <v>14.11</v>
      </c>
      <c r="B277" s="261" t="s">
        <v>1201</v>
      </c>
      <c r="C277" s="1215">
        <f t="shared" si="15"/>
        <v>22282.259999999718</v>
      </c>
      <c r="D277" s="1117">
        <f t="shared" si="16"/>
        <v>0</v>
      </c>
      <c r="E277" s="121"/>
      <c r="F277" s="121"/>
      <c r="G277" s="121"/>
      <c r="H277" s="121"/>
      <c r="I277" s="1117">
        <f t="shared" si="17"/>
        <v>250</v>
      </c>
      <c r="J277" s="121">
        <v>250</v>
      </c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5"/>
    </row>
    <row r="278" spans="1:23">
      <c r="A278" s="1214">
        <v>15.11</v>
      </c>
      <c r="B278" s="261" t="s">
        <v>1184</v>
      </c>
      <c r="C278" s="1215">
        <f t="shared" si="15"/>
        <v>2282.2599999997183</v>
      </c>
      <c r="D278" s="1117">
        <f t="shared" si="16"/>
        <v>0</v>
      </c>
      <c r="E278" s="121"/>
      <c r="F278" s="121"/>
      <c r="G278" s="121"/>
      <c r="H278" s="121"/>
      <c r="I278" s="1117">
        <f t="shared" si="17"/>
        <v>20000</v>
      </c>
      <c r="J278" s="121"/>
      <c r="K278" s="121"/>
      <c r="L278" s="121"/>
      <c r="M278" s="121"/>
      <c r="N278" s="121"/>
      <c r="O278" s="121"/>
      <c r="P278" s="121"/>
      <c r="Q278" s="121"/>
      <c r="R278" s="121">
        <v>20000</v>
      </c>
      <c r="S278" s="121"/>
      <c r="T278" s="121"/>
      <c r="U278" s="121"/>
      <c r="V278" s="121"/>
      <c r="W278" s="125"/>
    </row>
    <row r="279" spans="1:23">
      <c r="A279" s="1214">
        <v>19.11</v>
      </c>
      <c r="B279" s="261" t="s">
        <v>1187</v>
      </c>
      <c r="C279" s="1215">
        <f t="shared" si="15"/>
        <v>50918.259999999718</v>
      </c>
      <c r="D279" s="1117">
        <f t="shared" si="16"/>
        <v>48636</v>
      </c>
      <c r="E279" s="121"/>
      <c r="F279" s="121">
        <v>48636</v>
      </c>
      <c r="G279" s="121"/>
      <c r="H279" s="121"/>
      <c r="I279" s="1117">
        <f t="shared" si="17"/>
        <v>0</v>
      </c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5"/>
    </row>
    <row r="280" spans="1:23">
      <c r="A280" s="1214">
        <v>19.11</v>
      </c>
      <c r="B280" s="261" t="s">
        <v>1191</v>
      </c>
      <c r="C280" s="1215">
        <f t="shared" si="15"/>
        <v>4708.2599999997183</v>
      </c>
      <c r="D280" s="1117">
        <f t="shared" si="16"/>
        <v>0</v>
      </c>
      <c r="E280" s="121"/>
      <c r="F280" s="121"/>
      <c r="G280" s="121"/>
      <c r="H280" s="121"/>
      <c r="I280" s="1117">
        <f t="shared" si="17"/>
        <v>46210</v>
      </c>
      <c r="J280" s="121"/>
      <c r="K280" s="121"/>
      <c r="L280" s="121"/>
      <c r="M280" s="121"/>
      <c r="N280" s="121"/>
      <c r="O280" s="121">
        <v>46210</v>
      </c>
      <c r="P280" s="121"/>
      <c r="Q280" s="121"/>
      <c r="R280" s="121"/>
      <c r="S280" s="121"/>
      <c r="T280" s="121"/>
      <c r="U280" s="121"/>
      <c r="V280" s="121"/>
      <c r="W280" s="125"/>
    </row>
    <row r="281" spans="1:23">
      <c r="A281" s="1214">
        <v>19.11</v>
      </c>
      <c r="B281" s="261" t="s">
        <v>1201</v>
      </c>
      <c r="C281" s="1215">
        <f t="shared" si="15"/>
        <v>4558.2599999997183</v>
      </c>
      <c r="D281" s="1117">
        <f t="shared" si="16"/>
        <v>0</v>
      </c>
      <c r="E281" s="121"/>
      <c r="F281" s="121"/>
      <c r="G281" s="121"/>
      <c r="H281" s="121"/>
      <c r="I281" s="1117">
        <f t="shared" si="17"/>
        <v>150</v>
      </c>
      <c r="J281" s="121">
        <v>150</v>
      </c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5"/>
    </row>
    <row r="282" spans="1:23">
      <c r="A282" s="1214">
        <v>19.11</v>
      </c>
      <c r="B282" s="261" t="s">
        <v>1201</v>
      </c>
      <c r="C282" s="1215">
        <f t="shared" si="15"/>
        <v>4058.2599999997183</v>
      </c>
      <c r="D282" s="1117">
        <f t="shared" si="16"/>
        <v>0</v>
      </c>
      <c r="E282" s="121"/>
      <c r="F282" s="121"/>
      <c r="G282" s="121"/>
      <c r="H282" s="121"/>
      <c r="I282" s="1117">
        <f t="shared" si="17"/>
        <v>500</v>
      </c>
      <c r="J282" s="121">
        <v>500</v>
      </c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5"/>
    </row>
    <row r="283" spans="1:23">
      <c r="A283" s="1214">
        <v>5.12</v>
      </c>
      <c r="B283" s="261" t="s">
        <v>1187</v>
      </c>
      <c r="C283" s="1215">
        <f t="shared" si="15"/>
        <v>519058.25999999972</v>
      </c>
      <c r="D283" s="1117">
        <f t="shared" si="16"/>
        <v>515000</v>
      </c>
      <c r="E283" s="121"/>
      <c r="F283" s="121">
        <v>515000</v>
      </c>
      <c r="G283" s="121"/>
      <c r="H283" s="121"/>
      <c r="I283" s="1117">
        <f t="shared" si="17"/>
        <v>0</v>
      </c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5"/>
    </row>
    <row r="284" spans="1:23">
      <c r="A284" s="1214">
        <v>6.12</v>
      </c>
      <c r="B284" s="261" t="s">
        <v>657</v>
      </c>
      <c r="C284" s="1215">
        <f t="shared" si="15"/>
        <v>5600.2599999997183</v>
      </c>
      <c r="D284" s="1117">
        <f t="shared" si="16"/>
        <v>0</v>
      </c>
      <c r="E284" s="121"/>
      <c r="F284" s="121"/>
      <c r="G284" s="121"/>
      <c r="H284" s="121"/>
      <c r="I284" s="1117">
        <f t="shared" si="17"/>
        <v>513458</v>
      </c>
      <c r="J284" s="121"/>
      <c r="K284" s="121"/>
      <c r="L284" s="121"/>
      <c r="M284" s="121">
        <v>513458</v>
      </c>
      <c r="N284" s="121"/>
      <c r="O284" s="121"/>
      <c r="P284" s="121"/>
      <c r="Q284" s="121"/>
      <c r="R284" s="121"/>
      <c r="S284" s="121"/>
      <c r="T284" s="121"/>
      <c r="U284" s="121"/>
      <c r="V284" s="121"/>
      <c r="W284" s="125"/>
    </row>
    <row r="285" spans="1:23">
      <c r="A285" s="1214">
        <v>12.12</v>
      </c>
      <c r="B285" s="261" t="s">
        <v>1187</v>
      </c>
      <c r="C285" s="1215">
        <f t="shared" si="15"/>
        <v>35600.259999999718</v>
      </c>
      <c r="D285" s="1117">
        <f t="shared" si="16"/>
        <v>30000</v>
      </c>
      <c r="E285" s="121"/>
      <c r="F285" s="121">
        <v>30000</v>
      </c>
      <c r="G285" s="121"/>
      <c r="H285" s="121"/>
      <c r="I285" s="1117">
        <f t="shared" si="17"/>
        <v>0</v>
      </c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5"/>
    </row>
    <row r="286" spans="1:23">
      <c r="A286" s="1214">
        <v>13.12</v>
      </c>
      <c r="B286" s="261" t="s">
        <v>1187</v>
      </c>
      <c r="C286" s="1215">
        <f t="shared" si="15"/>
        <v>535600.25999999978</v>
      </c>
      <c r="D286" s="1117">
        <f t="shared" si="16"/>
        <v>500000</v>
      </c>
      <c r="E286" s="121"/>
      <c r="F286" s="121">
        <v>500000</v>
      </c>
      <c r="G286" s="121"/>
      <c r="H286" s="121"/>
      <c r="I286" s="1117">
        <f t="shared" si="17"/>
        <v>0</v>
      </c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5"/>
    </row>
    <row r="287" spans="1:23">
      <c r="A287" s="1214">
        <v>14.12</v>
      </c>
      <c r="B287" s="261" t="s">
        <v>1222</v>
      </c>
      <c r="C287" s="1215">
        <f t="shared" si="15"/>
        <v>351600.25999999978</v>
      </c>
      <c r="D287" s="1117">
        <f t="shared" si="16"/>
        <v>0</v>
      </c>
      <c r="E287" s="121"/>
      <c r="F287" s="121"/>
      <c r="G287" s="121"/>
      <c r="H287" s="121"/>
      <c r="I287" s="1117">
        <f t="shared" si="17"/>
        <v>184000</v>
      </c>
      <c r="J287" s="121"/>
      <c r="K287" s="121">
        <v>184000</v>
      </c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5"/>
    </row>
    <row r="288" spans="1:23">
      <c r="A288" s="1214">
        <v>14.12</v>
      </c>
      <c r="B288" s="261" t="s">
        <v>1194</v>
      </c>
      <c r="C288" s="1215">
        <f t="shared" si="15"/>
        <v>174405.25999999978</v>
      </c>
      <c r="D288" s="1117">
        <f t="shared" si="16"/>
        <v>0</v>
      </c>
      <c r="E288" s="121"/>
      <c r="F288" s="121"/>
      <c r="G288" s="121"/>
      <c r="H288" s="121"/>
      <c r="I288" s="1117">
        <f t="shared" si="17"/>
        <v>177195</v>
      </c>
      <c r="J288" s="121"/>
      <c r="K288" s="121"/>
      <c r="L288" s="121"/>
      <c r="M288" s="121"/>
      <c r="N288" s="121">
        <v>177195</v>
      </c>
      <c r="O288" s="121"/>
      <c r="P288" s="121"/>
      <c r="Q288" s="121"/>
      <c r="R288" s="121"/>
      <c r="S288" s="121"/>
      <c r="T288" s="121"/>
      <c r="U288" s="121"/>
      <c r="V288" s="121"/>
      <c r="W288" s="125"/>
    </row>
    <row r="289" spans="1:23">
      <c r="A289" s="1214">
        <v>14.12</v>
      </c>
      <c r="B289" s="261" t="s">
        <v>1201</v>
      </c>
      <c r="C289" s="1215">
        <f t="shared" si="15"/>
        <v>174255.25999999978</v>
      </c>
      <c r="D289" s="1117">
        <f t="shared" si="16"/>
        <v>0</v>
      </c>
      <c r="E289" s="121"/>
      <c r="F289" s="121"/>
      <c r="G289" s="121"/>
      <c r="H289" s="121"/>
      <c r="I289" s="1117">
        <f t="shared" si="17"/>
        <v>150</v>
      </c>
      <c r="J289" s="121">
        <v>150</v>
      </c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5"/>
    </row>
    <row r="290" spans="1:23">
      <c r="A290" s="1214">
        <v>14.12</v>
      </c>
      <c r="B290" s="261" t="s">
        <v>1191</v>
      </c>
      <c r="C290" s="1215">
        <f t="shared" si="15"/>
        <v>123745.25999999978</v>
      </c>
      <c r="D290" s="1117">
        <f t="shared" si="16"/>
        <v>0</v>
      </c>
      <c r="E290" s="121"/>
      <c r="F290" s="121"/>
      <c r="G290" s="121"/>
      <c r="H290" s="121"/>
      <c r="I290" s="1117">
        <f t="shared" si="17"/>
        <v>50510</v>
      </c>
      <c r="J290" s="121"/>
      <c r="K290" s="121"/>
      <c r="L290" s="121"/>
      <c r="M290" s="121"/>
      <c r="N290" s="121"/>
      <c r="O290" s="121">
        <v>50510</v>
      </c>
      <c r="P290" s="121"/>
      <c r="Q290" s="121"/>
      <c r="R290" s="121"/>
      <c r="S290" s="121"/>
      <c r="T290" s="121"/>
      <c r="U290" s="121"/>
      <c r="V290" s="121"/>
      <c r="W290" s="125"/>
    </row>
    <row r="291" spans="1:23">
      <c r="A291" s="1214">
        <v>14.12</v>
      </c>
      <c r="B291" s="261" t="s">
        <v>1201</v>
      </c>
      <c r="C291" s="1215">
        <f t="shared" si="15"/>
        <v>123595.25999999978</v>
      </c>
      <c r="D291" s="1117">
        <f t="shared" si="16"/>
        <v>0</v>
      </c>
      <c r="E291" s="121"/>
      <c r="F291" s="121"/>
      <c r="G291" s="121"/>
      <c r="H291" s="121"/>
      <c r="I291" s="1117">
        <f t="shared" si="17"/>
        <v>150</v>
      </c>
      <c r="J291" s="121">
        <v>150</v>
      </c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5"/>
    </row>
    <row r="292" spans="1:23">
      <c r="A292" s="1214">
        <v>14.12</v>
      </c>
      <c r="B292" s="261" t="s">
        <v>1200</v>
      </c>
      <c r="C292" s="1215">
        <f t="shared" si="15"/>
        <v>78595.259999999776</v>
      </c>
      <c r="D292" s="1117">
        <f t="shared" si="16"/>
        <v>0</v>
      </c>
      <c r="E292" s="121"/>
      <c r="F292" s="121"/>
      <c r="G292" s="121"/>
      <c r="H292" s="121"/>
      <c r="I292" s="1117">
        <f t="shared" si="17"/>
        <v>45000</v>
      </c>
      <c r="J292" s="121"/>
      <c r="K292" s="121"/>
      <c r="L292" s="121"/>
      <c r="M292" s="121"/>
      <c r="N292" s="121"/>
      <c r="O292" s="121"/>
      <c r="P292" s="121">
        <v>45000</v>
      </c>
      <c r="Q292" s="121"/>
      <c r="R292" s="121"/>
      <c r="S292" s="121"/>
      <c r="T292" s="121"/>
      <c r="U292" s="121"/>
      <c r="V292" s="121"/>
      <c r="W292" s="125"/>
    </row>
    <row r="293" spans="1:23">
      <c r="A293" s="1214">
        <v>14.12</v>
      </c>
      <c r="B293" s="261" t="s">
        <v>1201</v>
      </c>
      <c r="C293" s="1215">
        <f t="shared" si="15"/>
        <v>78345.259999999776</v>
      </c>
      <c r="D293" s="1117">
        <f t="shared" si="16"/>
        <v>0</v>
      </c>
      <c r="E293" s="121"/>
      <c r="F293" s="121"/>
      <c r="G293" s="121"/>
      <c r="H293" s="121"/>
      <c r="I293" s="1117">
        <f t="shared" si="17"/>
        <v>250</v>
      </c>
      <c r="J293" s="121">
        <v>250</v>
      </c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5"/>
    </row>
    <row r="294" spans="1:23">
      <c r="A294" s="1214">
        <v>31.12</v>
      </c>
      <c r="B294" s="261" t="s">
        <v>1207</v>
      </c>
      <c r="C294" s="1215">
        <f t="shared" si="15"/>
        <v>69345.259999999776</v>
      </c>
      <c r="D294" s="1117">
        <f t="shared" si="16"/>
        <v>0</v>
      </c>
      <c r="E294" s="121"/>
      <c r="F294" s="121"/>
      <c r="G294" s="121"/>
      <c r="H294" s="121"/>
      <c r="I294" s="1117">
        <f t="shared" si="17"/>
        <v>9000</v>
      </c>
      <c r="J294" s="121"/>
      <c r="K294" s="121"/>
      <c r="L294" s="121"/>
      <c r="M294" s="121"/>
      <c r="N294" s="121"/>
      <c r="O294" s="121"/>
      <c r="P294" s="121"/>
      <c r="Q294" s="121"/>
      <c r="R294" s="121"/>
      <c r="S294" s="121">
        <v>9000</v>
      </c>
      <c r="T294" s="121"/>
      <c r="U294" s="121"/>
      <c r="V294" s="121"/>
      <c r="W294" s="125"/>
    </row>
    <row r="295" spans="1:23">
      <c r="A295" s="1214">
        <v>31.12</v>
      </c>
      <c r="B295" s="261" t="s">
        <v>1046</v>
      </c>
      <c r="C295" s="1215">
        <f t="shared" si="15"/>
        <v>55429.489999999772</v>
      </c>
      <c r="D295" s="1117">
        <f t="shared" si="16"/>
        <v>0</v>
      </c>
      <c r="E295" s="121"/>
      <c r="F295" s="121"/>
      <c r="G295" s="121"/>
      <c r="H295" s="121"/>
      <c r="I295" s="1117">
        <f t="shared" si="17"/>
        <v>13915.77</v>
      </c>
      <c r="J295" s="121"/>
      <c r="K295" s="121"/>
      <c r="L295" s="121">
        <v>13915.77</v>
      </c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5"/>
    </row>
    <row r="296" spans="1:23">
      <c r="A296" s="1214">
        <v>31.12</v>
      </c>
      <c r="B296" s="261" t="s">
        <v>1184</v>
      </c>
      <c r="C296" s="1215">
        <f t="shared" si="15"/>
        <v>24429.489999999772</v>
      </c>
      <c r="D296" s="1117">
        <f t="shared" si="16"/>
        <v>0</v>
      </c>
      <c r="E296" s="121"/>
      <c r="F296" s="121"/>
      <c r="G296" s="121"/>
      <c r="H296" s="121"/>
      <c r="I296" s="1117">
        <f t="shared" si="17"/>
        <v>31000</v>
      </c>
      <c r="J296" s="121"/>
      <c r="K296" s="121"/>
      <c r="L296" s="121"/>
      <c r="M296" s="121"/>
      <c r="N296" s="121"/>
      <c r="O296" s="121"/>
      <c r="P296" s="121"/>
      <c r="Q296" s="121"/>
      <c r="R296" s="121">
        <v>31000</v>
      </c>
      <c r="S296" s="121"/>
      <c r="T296" s="121"/>
      <c r="U296" s="121"/>
      <c r="V296" s="121"/>
      <c r="W296" s="125"/>
    </row>
    <row r="297" spans="1:23">
      <c r="A297" s="1214">
        <v>31.12</v>
      </c>
      <c r="B297" s="261" t="s">
        <v>1201</v>
      </c>
      <c r="C297" s="1215">
        <f t="shared" si="15"/>
        <v>23929.489999999772</v>
      </c>
      <c r="D297" s="1117">
        <f t="shared" si="16"/>
        <v>0</v>
      </c>
      <c r="E297" s="121"/>
      <c r="F297" s="121"/>
      <c r="G297" s="121"/>
      <c r="H297" s="121"/>
      <c r="I297" s="1117">
        <f t="shared" si="17"/>
        <v>500</v>
      </c>
      <c r="J297" s="121">
        <v>500</v>
      </c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5"/>
    </row>
    <row r="298" spans="1:23">
      <c r="A298" s="1214"/>
      <c r="B298" s="261"/>
      <c r="C298" s="1215">
        <f t="shared" si="15"/>
        <v>23929.489999999772</v>
      </c>
      <c r="D298" s="1117">
        <f t="shared" si="16"/>
        <v>0</v>
      </c>
      <c r="E298" s="121"/>
      <c r="F298" s="121"/>
      <c r="G298" s="121"/>
      <c r="H298" s="121"/>
      <c r="I298" s="1117">
        <f t="shared" si="17"/>
        <v>0</v>
      </c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5"/>
    </row>
    <row r="299" spans="1:23">
      <c r="A299" s="1214"/>
      <c r="B299" s="261"/>
      <c r="C299" s="1215">
        <f t="shared" si="15"/>
        <v>23929.489999999772</v>
      </c>
      <c r="D299" s="1117">
        <f t="shared" si="16"/>
        <v>0</v>
      </c>
      <c r="E299" s="121"/>
      <c r="F299" s="121"/>
      <c r="G299" s="121"/>
      <c r="H299" s="121"/>
      <c r="I299" s="1117">
        <f t="shared" si="17"/>
        <v>0</v>
      </c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5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W84"/>
  <sheetViews>
    <sheetView topLeftCell="C55" workbookViewId="0">
      <selection activeCell="O88" sqref="O88"/>
    </sheetView>
  </sheetViews>
  <sheetFormatPr defaultRowHeight="12.75"/>
  <cols>
    <col min="1" max="1" width="8.7109375" customWidth="1"/>
    <col min="2" max="2" width="17.140625" customWidth="1"/>
  </cols>
  <sheetData>
    <row r="1" spans="1:23">
      <c r="A1" s="735"/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735"/>
      <c r="W1" s="735"/>
    </row>
    <row r="2" spans="1:23">
      <c r="A2" s="1207"/>
      <c r="B2" s="735"/>
      <c r="C2" s="120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</row>
    <row r="3" spans="1:23">
      <c r="A3" s="1207"/>
      <c r="B3" s="735"/>
      <c r="C3" s="120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</row>
    <row r="4" spans="1:23">
      <c r="A4" s="1207"/>
      <c r="B4" s="735"/>
      <c r="C4" s="120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</row>
    <row r="5" spans="1:23" ht="13.5" thickBot="1">
      <c r="A5" s="1207"/>
      <c r="B5" s="735"/>
      <c r="C5" s="120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</row>
    <row r="6" spans="1:23" ht="13.5" thickBot="1">
      <c r="A6" s="1208" t="s">
        <v>1179</v>
      </c>
      <c r="B6" s="1209" t="s">
        <v>1180</v>
      </c>
      <c r="C6" s="1209" t="s">
        <v>1181</v>
      </c>
      <c r="D6" s="1209" t="s">
        <v>1182</v>
      </c>
      <c r="E6" s="1209">
        <v>411</v>
      </c>
      <c r="F6" s="1209">
        <v>581</v>
      </c>
      <c r="G6" s="1209">
        <v>7</v>
      </c>
      <c r="H6" s="1209">
        <v>7</v>
      </c>
      <c r="I6" s="1209" t="s">
        <v>1183</v>
      </c>
      <c r="J6" s="1209">
        <v>628</v>
      </c>
      <c r="K6" s="1209">
        <v>581</v>
      </c>
      <c r="L6" s="1209">
        <v>401</v>
      </c>
      <c r="M6" s="1209">
        <v>421</v>
      </c>
      <c r="N6" s="1209">
        <v>431</v>
      </c>
      <c r="O6" s="1209">
        <v>442</v>
      </c>
      <c r="P6" s="1209">
        <v>444</v>
      </c>
      <c r="Q6" s="1209">
        <v>634</v>
      </c>
      <c r="R6" s="1209" t="s">
        <v>1184</v>
      </c>
      <c r="S6" s="1209" t="s">
        <v>840</v>
      </c>
      <c r="T6" s="1209">
        <v>66</v>
      </c>
      <c r="U6" s="1209"/>
      <c r="V6" s="1209"/>
      <c r="W6" s="1210"/>
    </row>
    <row r="7" spans="1:23">
      <c r="A7" s="1211" t="s">
        <v>1185</v>
      </c>
      <c r="B7" s="741" t="s">
        <v>1186</v>
      </c>
      <c r="C7" s="1212">
        <v>0</v>
      </c>
      <c r="D7" s="1213"/>
      <c r="E7" s="559"/>
      <c r="F7" s="559"/>
      <c r="G7" s="559"/>
      <c r="H7" s="559"/>
      <c r="I7" s="1213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743"/>
    </row>
    <row r="8" spans="1:23">
      <c r="A8" s="1214">
        <v>8.0299999999999994</v>
      </c>
      <c r="B8" s="261" t="s">
        <v>1184</v>
      </c>
      <c r="C8" s="1215">
        <f>+C7+D8-I8</f>
        <v>5329</v>
      </c>
      <c r="D8" s="1117">
        <f>SUM(E8:H8)</f>
        <v>5329</v>
      </c>
      <c r="E8" s="121"/>
      <c r="F8" s="121"/>
      <c r="G8" s="121">
        <v>5329</v>
      </c>
      <c r="H8" s="121"/>
      <c r="I8" s="1117">
        <f>SUM(J8:W8)</f>
        <v>0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5"/>
    </row>
    <row r="9" spans="1:23">
      <c r="A9" s="1214">
        <v>27.03</v>
      </c>
      <c r="B9" s="261" t="s">
        <v>1223</v>
      </c>
      <c r="C9" s="1215">
        <f t="shared" ref="C9:C71" si="0">+C8+D9-I9</f>
        <v>15329</v>
      </c>
      <c r="D9" s="1117">
        <f t="shared" ref="D9:D71" si="1">SUM(E9:H9)</f>
        <v>10000</v>
      </c>
      <c r="E9" s="121">
        <v>10000</v>
      </c>
      <c r="F9" s="121"/>
      <c r="G9" s="121"/>
      <c r="H9" s="121"/>
      <c r="I9" s="1117">
        <f t="shared" ref="I9:I72" si="2">SUM(J9:W9)</f>
        <v>0</v>
      </c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5"/>
    </row>
    <row r="10" spans="1:23">
      <c r="A10" s="1214">
        <v>2.04</v>
      </c>
      <c r="B10" s="261" t="s">
        <v>1224</v>
      </c>
      <c r="C10" s="1215">
        <f t="shared" si="0"/>
        <v>329</v>
      </c>
      <c r="D10" s="1117">
        <f t="shared" si="1"/>
        <v>0</v>
      </c>
      <c r="E10" s="121"/>
      <c r="F10" s="121"/>
      <c r="G10" s="121"/>
      <c r="H10" s="121"/>
      <c r="I10" s="1117">
        <f t="shared" si="2"/>
        <v>15000</v>
      </c>
      <c r="J10" s="121"/>
      <c r="K10" s="121"/>
      <c r="L10" s="121"/>
      <c r="M10" s="121"/>
      <c r="N10" s="121"/>
      <c r="O10" s="121"/>
      <c r="P10" s="121"/>
      <c r="Q10" s="121"/>
      <c r="R10" s="121">
        <v>15000</v>
      </c>
      <c r="S10" s="121"/>
      <c r="T10" s="121"/>
      <c r="U10" s="121"/>
      <c r="V10" s="121"/>
      <c r="W10" s="125"/>
    </row>
    <row r="11" spans="1:23">
      <c r="A11" s="1214">
        <v>10.039999999999999</v>
      </c>
      <c r="B11" s="261" t="s">
        <v>1223</v>
      </c>
      <c r="C11" s="1215">
        <f t="shared" si="0"/>
        <v>5329</v>
      </c>
      <c r="D11" s="1117">
        <f t="shared" si="1"/>
        <v>5000</v>
      </c>
      <c r="E11" s="121">
        <v>5000</v>
      </c>
      <c r="F11" s="121"/>
      <c r="G11" s="121"/>
      <c r="H11" s="121"/>
      <c r="I11" s="1117">
        <f t="shared" si="2"/>
        <v>0</v>
      </c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5"/>
    </row>
    <row r="12" spans="1:23">
      <c r="A12" s="1214">
        <v>30.04</v>
      </c>
      <c r="B12" s="261" t="s">
        <v>1223</v>
      </c>
      <c r="C12" s="1215">
        <f t="shared" si="0"/>
        <v>13329</v>
      </c>
      <c r="D12" s="1117">
        <f t="shared" si="1"/>
        <v>8000</v>
      </c>
      <c r="E12" s="121">
        <v>8000</v>
      </c>
      <c r="F12" s="121"/>
      <c r="G12" s="121"/>
      <c r="H12" s="121"/>
      <c r="I12" s="1117">
        <f t="shared" si="2"/>
        <v>0</v>
      </c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5"/>
    </row>
    <row r="13" spans="1:23">
      <c r="A13" s="1214">
        <v>30.04</v>
      </c>
      <c r="B13" s="261" t="s">
        <v>1201</v>
      </c>
      <c r="C13" s="1215">
        <f t="shared" si="0"/>
        <v>13324</v>
      </c>
      <c r="D13" s="1117">
        <f t="shared" si="1"/>
        <v>0</v>
      </c>
      <c r="E13" s="121"/>
      <c r="F13" s="121"/>
      <c r="G13" s="121"/>
      <c r="H13" s="121"/>
      <c r="I13" s="1117">
        <f t="shared" si="2"/>
        <v>5</v>
      </c>
      <c r="J13" s="121">
        <v>5</v>
      </c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5"/>
    </row>
    <row r="14" spans="1:23">
      <c r="A14" s="1214">
        <v>3.05</v>
      </c>
      <c r="B14" s="261" t="s">
        <v>1184</v>
      </c>
      <c r="C14" s="1215">
        <f t="shared" si="0"/>
        <v>24</v>
      </c>
      <c r="D14" s="1117">
        <f t="shared" si="1"/>
        <v>0</v>
      </c>
      <c r="E14" s="121"/>
      <c r="F14" s="121"/>
      <c r="G14" s="121"/>
      <c r="H14" s="121"/>
      <c r="I14" s="1117">
        <f t="shared" si="2"/>
        <v>13300</v>
      </c>
      <c r="J14" s="121"/>
      <c r="K14" s="121"/>
      <c r="L14" s="121"/>
      <c r="M14" s="121"/>
      <c r="N14" s="121"/>
      <c r="O14" s="121"/>
      <c r="P14" s="121"/>
      <c r="Q14" s="121"/>
      <c r="R14" s="121">
        <v>13300</v>
      </c>
      <c r="S14" s="121"/>
      <c r="T14" s="121"/>
      <c r="U14" s="121"/>
      <c r="V14" s="121"/>
      <c r="W14" s="125"/>
    </row>
    <row r="15" spans="1:23">
      <c r="A15" s="1214">
        <v>30.05</v>
      </c>
      <c r="B15" s="261" t="s">
        <v>1223</v>
      </c>
      <c r="C15" s="1215">
        <f t="shared" si="0"/>
        <v>20024</v>
      </c>
      <c r="D15" s="1117">
        <f t="shared" si="1"/>
        <v>20000</v>
      </c>
      <c r="E15" s="121">
        <v>20000</v>
      </c>
      <c r="F15" s="121"/>
      <c r="G15" s="121"/>
      <c r="H15" s="121"/>
      <c r="I15" s="1117">
        <f t="shared" si="2"/>
        <v>0</v>
      </c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5"/>
    </row>
    <row r="16" spans="1:23">
      <c r="A16" s="1214">
        <v>31.05</v>
      </c>
      <c r="B16" s="261" t="s">
        <v>1201</v>
      </c>
      <c r="C16" s="1215">
        <f t="shared" si="0"/>
        <v>20019</v>
      </c>
      <c r="D16" s="1117">
        <f t="shared" si="1"/>
        <v>0</v>
      </c>
      <c r="E16" s="121"/>
      <c r="F16" s="121"/>
      <c r="G16" s="121"/>
      <c r="H16" s="121"/>
      <c r="I16" s="1117">
        <f t="shared" si="2"/>
        <v>5</v>
      </c>
      <c r="J16" s="121">
        <v>5</v>
      </c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5"/>
    </row>
    <row r="17" spans="1:23">
      <c r="A17" s="1214">
        <v>8.06</v>
      </c>
      <c r="B17" s="261" t="s">
        <v>1184</v>
      </c>
      <c r="C17" s="1215">
        <f t="shared" si="0"/>
        <v>19</v>
      </c>
      <c r="D17" s="1117">
        <f t="shared" si="1"/>
        <v>0</v>
      </c>
      <c r="E17" s="121"/>
      <c r="F17" s="121"/>
      <c r="G17" s="121"/>
      <c r="H17" s="121"/>
      <c r="I17" s="1117">
        <f t="shared" si="2"/>
        <v>20000</v>
      </c>
      <c r="J17" s="121"/>
      <c r="K17" s="121"/>
      <c r="L17" s="121"/>
      <c r="M17" s="121"/>
      <c r="N17" s="121"/>
      <c r="O17" s="121"/>
      <c r="P17" s="121"/>
      <c r="Q17" s="121"/>
      <c r="R17" s="121">
        <v>20000</v>
      </c>
      <c r="S17" s="121"/>
      <c r="T17" s="121"/>
      <c r="U17" s="121"/>
      <c r="V17" s="121"/>
      <c r="W17" s="125"/>
    </row>
    <row r="18" spans="1:23">
      <c r="A18" s="1214">
        <v>13.06</v>
      </c>
      <c r="B18" s="261" t="s">
        <v>1223</v>
      </c>
      <c r="C18" s="1215">
        <f t="shared" si="0"/>
        <v>119</v>
      </c>
      <c r="D18" s="1117">
        <f t="shared" si="1"/>
        <v>100</v>
      </c>
      <c r="E18" s="121">
        <v>100</v>
      </c>
      <c r="F18" s="121"/>
      <c r="G18" s="121"/>
      <c r="H18" s="121"/>
      <c r="I18" s="1117">
        <f t="shared" si="2"/>
        <v>0</v>
      </c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5"/>
    </row>
    <row r="19" spans="1:23">
      <c r="A19" s="1214">
        <v>14.06</v>
      </c>
      <c r="B19" s="261" t="s">
        <v>1225</v>
      </c>
      <c r="C19" s="1215">
        <f t="shared" si="0"/>
        <v>1319</v>
      </c>
      <c r="D19" s="1117">
        <f t="shared" si="1"/>
        <v>1200</v>
      </c>
      <c r="E19" s="121">
        <v>1200</v>
      </c>
      <c r="F19" s="121"/>
      <c r="G19" s="121"/>
      <c r="H19" s="121"/>
      <c r="I19" s="1117">
        <f t="shared" si="2"/>
        <v>0</v>
      </c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5"/>
    </row>
    <row r="20" spans="1:23">
      <c r="A20" s="1214">
        <v>29.06</v>
      </c>
      <c r="B20" s="261" t="s">
        <v>1226</v>
      </c>
      <c r="C20" s="1215">
        <f t="shared" si="0"/>
        <v>21319</v>
      </c>
      <c r="D20" s="1117">
        <f t="shared" si="1"/>
        <v>20000</v>
      </c>
      <c r="E20" s="121">
        <v>20000</v>
      </c>
      <c r="F20" s="121"/>
      <c r="G20" s="121"/>
      <c r="H20" s="121"/>
      <c r="I20" s="1117">
        <f t="shared" si="2"/>
        <v>0</v>
      </c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5"/>
    </row>
    <row r="21" spans="1:23">
      <c r="A21" s="1214">
        <v>29.06</v>
      </c>
      <c r="B21" s="261" t="s">
        <v>1201</v>
      </c>
      <c r="C21" s="1215">
        <f t="shared" si="0"/>
        <v>21314</v>
      </c>
      <c r="D21" s="1117">
        <f t="shared" si="1"/>
        <v>0</v>
      </c>
      <c r="E21" s="121"/>
      <c r="F21" s="121"/>
      <c r="G21" s="121"/>
      <c r="H21" s="121"/>
      <c r="I21" s="1117">
        <f t="shared" si="2"/>
        <v>5</v>
      </c>
      <c r="J21" s="121">
        <v>5</v>
      </c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5"/>
    </row>
    <row r="22" spans="1:23">
      <c r="A22" s="1214">
        <v>2.0699999999999998</v>
      </c>
      <c r="B22" s="261" t="s">
        <v>1184</v>
      </c>
      <c r="C22" s="1215">
        <f t="shared" si="0"/>
        <v>314</v>
      </c>
      <c r="D22" s="1117">
        <f t="shared" si="1"/>
        <v>0</v>
      </c>
      <c r="E22" s="121"/>
      <c r="F22" s="121"/>
      <c r="G22" s="121"/>
      <c r="H22" s="121"/>
      <c r="I22" s="1117">
        <f t="shared" si="2"/>
        <v>21000</v>
      </c>
      <c r="J22" s="121"/>
      <c r="K22" s="121"/>
      <c r="L22" s="121"/>
      <c r="M22" s="121"/>
      <c r="N22" s="121"/>
      <c r="O22" s="121"/>
      <c r="P22" s="121"/>
      <c r="Q22" s="121"/>
      <c r="R22" s="121">
        <v>21000</v>
      </c>
      <c r="S22" s="121"/>
      <c r="T22" s="121"/>
      <c r="U22" s="121"/>
      <c r="V22" s="121"/>
      <c r="W22" s="125"/>
    </row>
    <row r="23" spans="1:23">
      <c r="A23" s="1214">
        <v>6.07</v>
      </c>
      <c r="B23" s="261" t="s">
        <v>1223</v>
      </c>
      <c r="C23" s="1215">
        <f t="shared" si="0"/>
        <v>2314</v>
      </c>
      <c r="D23" s="1117">
        <f t="shared" si="1"/>
        <v>2000</v>
      </c>
      <c r="E23" s="121">
        <v>2000</v>
      </c>
      <c r="F23" s="121"/>
      <c r="G23" s="121"/>
      <c r="H23" s="121"/>
      <c r="I23" s="1117">
        <f t="shared" si="2"/>
        <v>0</v>
      </c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5"/>
    </row>
    <row r="24" spans="1:23">
      <c r="A24" s="1214">
        <v>17.07</v>
      </c>
      <c r="B24" s="261" t="s">
        <v>1227</v>
      </c>
      <c r="C24" s="1215">
        <f t="shared" si="0"/>
        <v>54314</v>
      </c>
      <c r="D24" s="1117">
        <f t="shared" si="1"/>
        <v>52000</v>
      </c>
      <c r="E24" s="121"/>
      <c r="F24" s="121"/>
      <c r="G24" s="121">
        <v>52000</v>
      </c>
      <c r="H24" s="121"/>
      <c r="I24" s="1117">
        <f t="shared" si="2"/>
        <v>0</v>
      </c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5"/>
    </row>
    <row r="25" spans="1:23">
      <c r="A25" s="1214">
        <v>17.07</v>
      </c>
      <c r="B25" s="261" t="s">
        <v>1184</v>
      </c>
      <c r="C25" s="1215">
        <f t="shared" si="0"/>
        <v>12314</v>
      </c>
      <c r="D25" s="1117">
        <f t="shared" si="1"/>
        <v>0</v>
      </c>
      <c r="E25" s="121"/>
      <c r="F25" s="121"/>
      <c r="G25" s="121"/>
      <c r="H25" s="121"/>
      <c r="I25" s="1117">
        <f t="shared" si="2"/>
        <v>42000</v>
      </c>
      <c r="J25" s="121"/>
      <c r="K25" s="121"/>
      <c r="L25" s="121"/>
      <c r="M25" s="121"/>
      <c r="N25" s="121"/>
      <c r="O25" s="121"/>
      <c r="P25" s="121"/>
      <c r="Q25" s="121"/>
      <c r="R25" s="121">
        <v>42000</v>
      </c>
      <c r="S25" s="121"/>
      <c r="T25" s="121"/>
      <c r="U25" s="121"/>
      <c r="V25" s="121"/>
      <c r="W25" s="125"/>
    </row>
    <row r="26" spans="1:23">
      <c r="A26" s="1214">
        <v>24.07</v>
      </c>
      <c r="B26" s="261" t="s">
        <v>1207</v>
      </c>
      <c r="C26" s="1215">
        <f t="shared" si="0"/>
        <v>7264</v>
      </c>
      <c r="D26" s="1117">
        <f t="shared" si="1"/>
        <v>0</v>
      </c>
      <c r="E26" s="121"/>
      <c r="F26" s="121"/>
      <c r="G26" s="121"/>
      <c r="H26" s="121"/>
      <c r="I26" s="1117">
        <f t="shared" si="2"/>
        <v>5050</v>
      </c>
      <c r="J26" s="121"/>
      <c r="K26" s="121"/>
      <c r="L26" s="121"/>
      <c r="M26" s="121"/>
      <c r="N26" s="121"/>
      <c r="O26" s="121"/>
      <c r="P26" s="121"/>
      <c r="Q26" s="121"/>
      <c r="R26" s="121"/>
      <c r="S26" s="121">
        <v>5050</v>
      </c>
      <c r="T26" s="121"/>
      <c r="U26" s="121"/>
      <c r="V26" s="121"/>
      <c r="W26" s="125"/>
    </row>
    <row r="27" spans="1:23">
      <c r="A27" s="1214">
        <v>26.07</v>
      </c>
      <c r="B27" s="261" t="s">
        <v>1229</v>
      </c>
      <c r="C27" s="1215">
        <f t="shared" si="0"/>
        <v>12264</v>
      </c>
      <c r="D27" s="1117">
        <f t="shared" si="1"/>
        <v>5000</v>
      </c>
      <c r="E27" s="121"/>
      <c r="F27" s="121"/>
      <c r="G27" s="121">
        <v>5000</v>
      </c>
      <c r="H27" s="121"/>
      <c r="I27" s="1117">
        <f t="shared" si="2"/>
        <v>0</v>
      </c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5"/>
    </row>
    <row r="28" spans="1:23">
      <c r="A28" s="1214">
        <v>27.07</v>
      </c>
      <c r="B28" s="261" t="s">
        <v>1228</v>
      </c>
      <c r="C28" s="1215">
        <f t="shared" si="0"/>
        <v>27264</v>
      </c>
      <c r="D28" s="1117">
        <f t="shared" si="1"/>
        <v>15000</v>
      </c>
      <c r="E28" s="121"/>
      <c r="F28" s="121"/>
      <c r="G28" s="121">
        <v>15000</v>
      </c>
      <c r="H28" s="121"/>
      <c r="I28" s="1117">
        <f t="shared" si="2"/>
        <v>0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5"/>
    </row>
    <row r="29" spans="1:23">
      <c r="A29" s="1214">
        <v>31.07</v>
      </c>
      <c r="B29" s="261" t="s">
        <v>1230</v>
      </c>
      <c r="C29" s="1215">
        <f t="shared" si="0"/>
        <v>19764</v>
      </c>
      <c r="D29" s="1117">
        <f t="shared" si="1"/>
        <v>0</v>
      </c>
      <c r="E29" s="121"/>
      <c r="F29" s="121"/>
      <c r="G29" s="121"/>
      <c r="H29" s="121"/>
      <c r="I29" s="1117">
        <f t="shared" si="2"/>
        <v>7500</v>
      </c>
      <c r="J29" s="121"/>
      <c r="K29" s="121"/>
      <c r="L29" s="121"/>
      <c r="M29" s="121"/>
      <c r="N29" s="121"/>
      <c r="O29" s="121"/>
      <c r="P29" s="121"/>
      <c r="Q29" s="121"/>
      <c r="R29" s="121"/>
      <c r="S29" s="121">
        <v>7500</v>
      </c>
      <c r="T29" s="121"/>
      <c r="U29" s="121"/>
      <c r="V29" s="121"/>
      <c r="W29" s="125"/>
    </row>
    <row r="30" spans="1:23">
      <c r="A30" s="1214">
        <v>31.07</v>
      </c>
      <c r="B30" s="261" t="s">
        <v>1230</v>
      </c>
      <c r="C30" s="1215">
        <f t="shared" si="0"/>
        <v>4764</v>
      </c>
      <c r="D30" s="1117">
        <f t="shared" si="1"/>
        <v>0</v>
      </c>
      <c r="E30" s="121"/>
      <c r="F30" s="121"/>
      <c r="G30" s="121"/>
      <c r="H30" s="121"/>
      <c r="I30" s="1117">
        <f t="shared" si="2"/>
        <v>15000</v>
      </c>
      <c r="J30" s="121"/>
      <c r="K30" s="121"/>
      <c r="L30" s="121"/>
      <c r="M30" s="121"/>
      <c r="N30" s="121"/>
      <c r="O30" s="121"/>
      <c r="P30" s="121"/>
      <c r="Q30" s="121"/>
      <c r="R30" s="121"/>
      <c r="S30" s="121">
        <v>15000</v>
      </c>
      <c r="T30" s="121"/>
      <c r="U30" s="121"/>
      <c r="V30" s="121"/>
      <c r="W30" s="125"/>
    </row>
    <row r="31" spans="1:23">
      <c r="A31" s="1214">
        <v>31.07</v>
      </c>
      <c r="B31" s="261" t="s">
        <v>1201</v>
      </c>
      <c r="C31" s="1215">
        <f t="shared" si="0"/>
        <v>4759</v>
      </c>
      <c r="D31" s="1117">
        <f t="shared" si="1"/>
        <v>0</v>
      </c>
      <c r="E31" s="121"/>
      <c r="F31" s="121"/>
      <c r="G31" s="121"/>
      <c r="H31" s="121"/>
      <c r="I31" s="1117">
        <f t="shared" si="2"/>
        <v>5</v>
      </c>
      <c r="J31" s="121">
        <v>5</v>
      </c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5"/>
    </row>
    <row r="32" spans="1:23">
      <c r="A32" s="1214">
        <v>6.08</v>
      </c>
      <c r="B32" s="261" t="s">
        <v>1231</v>
      </c>
      <c r="C32" s="1215">
        <f t="shared" si="0"/>
        <v>59</v>
      </c>
      <c r="D32" s="1117">
        <f t="shared" si="1"/>
        <v>0</v>
      </c>
      <c r="E32" s="121"/>
      <c r="F32" s="121"/>
      <c r="G32" s="121"/>
      <c r="H32" s="121"/>
      <c r="I32" s="1117">
        <f t="shared" si="2"/>
        <v>4700</v>
      </c>
      <c r="J32" s="121"/>
      <c r="K32" s="121"/>
      <c r="L32" s="121"/>
      <c r="M32" s="121"/>
      <c r="N32" s="121"/>
      <c r="O32" s="121"/>
      <c r="P32" s="121"/>
      <c r="Q32" s="121"/>
      <c r="R32" s="121">
        <v>4700</v>
      </c>
      <c r="S32" s="121"/>
      <c r="T32" s="121"/>
      <c r="U32" s="121"/>
      <c r="V32" s="121"/>
      <c r="W32" s="125"/>
    </row>
    <row r="33" spans="1:23">
      <c r="A33" s="1214">
        <v>6.08</v>
      </c>
      <c r="B33" s="261" t="s">
        <v>1223</v>
      </c>
      <c r="C33" s="1215">
        <f t="shared" si="0"/>
        <v>16789</v>
      </c>
      <c r="D33" s="1117">
        <f t="shared" si="1"/>
        <v>16730</v>
      </c>
      <c r="E33" s="121">
        <f>4550+1140+10170+870</f>
        <v>16730</v>
      </c>
      <c r="F33" s="121"/>
      <c r="G33" s="121"/>
      <c r="H33" s="121"/>
      <c r="I33" s="1117">
        <f t="shared" si="2"/>
        <v>0</v>
      </c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5"/>
    </row>
    <row r="34" spans="1:23">
      <c r="A34" s="1214">
        <v>16.079999999999998</v>
      </c>
      <c r="B34" s="261" t="s">
        <v>1201</v>
      </c>
      <c r="C34" s="1215">
        <f t="shared" si="0"/>
        <v>16778.650000000001</v>
      </c>
      <c r="D34" s="1117">
        <f t="shared" si="1"/>
        <v>0</v>
      </c>
      <c r="E34" s="121"/>
      <c r="F34" s="121"/>
      <c r="G34" s="121"/>
      <c r="H34" s="121"/>
      <c r="I34" s="1117">
        <f t="shared" si="2"/>
        <v>10.35</v>
      </c>
      <c r="J34" s="121">
        <v>10.35</v>
      </c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5"/>
    </row>
    <row r="35" spans="1:23">
      <c r="A35" s="1214">
        <v>16.079999999999998</v>
      </c>
      <c r="B35" s="261" t="s">
        <v>1232</v>
      </c>
      <c r="C35" s="1215">
        <f t="shared" si="0"/>
        <v>23678.65</v>
      </c>
      <c r="D35" s="1117">
        <f t="shared" si="1"/>
        <v>6900</v>
      </c>
      <c r="E35" s="121">
        <v>6900</v>
      </c>
      <c r="F35" s="121"/>
      <c r="G35" s="121"/>
      <c r="H35" s="121"/>
      <c r="I35" s="1117">
        <f t="shared" si="2"/>
        <v>0</v>
      </c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5"/>
    </row>
    <row r="36" spans="1:23">
      <c r="A36" s="1214">
        <v>16.079999999999998</v>
      </c>
      <c r="B36" s="261" t="s">
        <v>1201</v>
      </c>
      <c r="C36" s="1215">
        <f t="shared" si="0"/>
        <v>23668.65</v>
      </c>
      <c r="D36" s="1117">
        <f t="shared" si="1"/>
        <v>0</v>
      </c>
      <c r="E36" s="121"/>
      <c r="F36" s="121"/>
      <c r="G36" s="121"/>
      <c r="H36" s="121"/>
      <c r="I36" s="1117">
        <f t="shared" si="2"/>
        <v>10</v>
      </c>
      <c r="J36" s="121">
        <v>10</v>
      </c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5"/>
    </row>
    <row r="37" spans="1:23">
      <c r="A37" s="1214">
        <v>17.079999999999998</v>
      </c>
      <c r="B37" s="261" t="s">
        <v>1223</v>
      </c>
      <c r="C37" s="1215">
        <f t="shared" si="0"/>
        <v>31518.65</v>
      </c>
      <c r="D37" s="1117">
        <f t="shared" si="1"/>
        <v>7850</v>
      </c>
      <c r="E37" s="121">
        <v>7850</v>
      </c>
      <c r="F37" s="121"/>
      <c r="G37" s="121"/>
      <c r="H37" s="121"/>
      <c r="I37" s="1117">
        <f t="shared" si="2"/>
        <v>0</v>
      </c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5"/>
    </row>
    <row r="38" spans="1:23">
      <c r="A38" s="1214">
        <v>21.08</v>
      </c>
      <c r="B38" s="261" t="s">
        <v>1223</v>
      </c>
      <c r="C38" s="1215">
        <f t="shared" si="0"/>
        <v>35388.65</v>
      </c>
      <c r="D38" s="1117">
        <f t="shared" si="1"/>
        <v>3870</v>
      </c>
      <c r="E38" s="121">
        <v>3870</v>
      </c>
      <c r="F38" s="121"/>
      <c r="G38" s="121"/>
      <c r="H38" s="121"/>
      <c r="I38" s="1117">
        <f t="shared" si="2"/>
        <v>0</v>
      </c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5"/>
    </row>
    <row r="39" spans="1:23">
      <c r="A39" s="1214">
        <v>22.08</v>
      </c>
      <c r="B39" s="261" t="s">
        <v>1196</v>
      </c>
      <c r="C39" s="1215">
        <f t="shared" si="0"/>
        <v>15388.650000000001</v>
      </c>
      <c r="D39" s="1117">
        <f t="shared" si="1"/>
        <v>0</v>
      </c>
      <c r="E39" s="121"/>
      <c r="F39" s="121"/>
      <c r="G39" s="121"/>
      <c r="H39" s="121"/>
      <c r="I39" s="1117">
        <f t="shared" si="2"/>
        <v>20000</v>
      </c>
      <c r="J39" s="121"/>
      <c r="K39" s="121">
        <v>20000</v>
      </c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5"/>
    </row>
    <row r="40" spans="1:23">
      <c r="A40" s="1214">
        <v>22.08</v>
      </c>
      <c r="B40" s="261" t="s">
        <v>1201</v>
      </c>
      <c r="C40" s="1215">
        <f t="shared" si="0"/>
        <v>15387.550000000001</v>
      </c>
      <c r="D40" s="1117">
        <f t="shared" si="1"/>
        <v>0</v>
      </c>
      <c r="E40" s="121"/>
      <c r="F40" s="121"/>
      <c r="G40" s="121"/>
      <c r="H40" s="121"/>
      <c r="I40" s="1117">
        <f t="shared" si="2"/>
        <v>1.1000000000000001</v>
      </c>
      <c r="J40" s="121">
        <v>1.1000000000000001</v>
      </c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5"/>
    </row>
    <row r="41" spans="1:23">
      <c r="A41" s="1214">
        <v>23.08</v>
      </c>
      <c r="B41" s="261" t="s">
        <v>1223</v>
      </c>
      <c r="C41" s="1215">
        <f t="shared" si="0"/>
        <v>18087.550000000003</v>
      </c>
      <c r="D41" s="1117">
        <f t="shared" si="1"/>
        <v>2700</v>
      </c>
      <c r="E41" s="121">
        <v>2700</v>
      </c>
      <c r="F41" s="121"/>
      <c r="G41" s="121"/>
      <c r="H41" s="121"/>
      <c r="I41" s="1117">
        <f t="shared" si="2"/>
        <v>0</v>
      </c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5"/>
    </row>
    <row r="42" spans="1:23">
      <c r="A42" s="1214">
        <v>24.08</v>
      </c>
      <c r="B42" s="261" t="s">
        <v>1233</v>
      </c>
      <c r="C42" s="1215">
        <f t="shared" si="0"/>
        <v>36087.550000000003</v>
      </c>
      <c r="D42" s="1117">
        <f t="shared" si="1"/>
        <v>18000</v>
      </c>
      <c r="E42" s="121">
        <v>18000</v>
      </c>
      <c r="F42" s="121"/>
      <c r="G42" s="121"/>
      <c r="H42" s="121"/>
      <c r="I42" s="1117">
        <f t="shared" si="2"/>
        <v>0</v>
      </c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5"/>
    </row>
    <row r="43" spans="1:23">
      <c r="A43" s="1214">
        <v>27.08</v>
      </c>
      <c r="B43" s="261" t="s">
        <v>1190</v>
      </c>
      <c r="C43" s="1215">
        <f t="shared" si="0"/>
        <v>35377.550000000003</v>
      </c>
      <c r="D43" s="1117">
        <f t="shared" si="1"/>
        <v>0</v>
      </c>
      <c r="E43" s="121"/>
      <c r="F43" s="121"/>
      <c r="G43" s="121"/>
      <c r="H43" s="121"/>
      <c r="I43" s="1117">
        <f t="shared" si="2"/>
        <v>710</v>
      </c>
      <c r="J43" s="121"/>
      <c r="K43" s="121"/>
      <c r="L43" s="121"/>
      <c r="M43" s="121"/>
      <c r="N43" s="121"/>
      <c r="O43" s="121"/>
      <c r="P43" s="121"/>
      <c r="Q43" s="121"/>
      <c r="R43" s="121">
        <v>710</v>
      </c>
      <c r="S43" s="121"/>
      <c r="T43" s="121"/>
      <c r="U43" s="121"/>
      <c r="V43" s="121"/>
      <c r="W43" s="125"/>
    </row>
    <row r="44" spans="1:23">
      <c r="A44" s="1214">
        <v>27.08</v>
      </c>
      <c r="B44" s="261" t="s">
        <v>1187</v>
      </c>
      <c r="C44" s="1215">
        <f t="shared" si="0"/>
        <v>36867.550000000003</v>
      </c>
      <c r="D44" s="1117">
        <f t="shared" si="1"/>
        <v>1490</v>
      </c>
      <c r="E44" s="121">
        <v>1490</v>
      </c>
      <c r="F44" s="121"/>
      <c r="G44" s="121"/>
      <c r="H44" s="121"/>
      <c r="I44" s="1117">
        <f t="shared" si="2"/>
        <v>0</v>
      </c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5"/>
    </row>
    <row r="45" spans="1:23">
      <c r="A45" s="1214">
        <v>29.08</v>
      </c>
      <c r="B45" s="261" t="s">
        <v>1187</v>
      </c>
      <c r="C45" s="1215">
        <f t="shared" si="0"/>
        <v>39872.550000000003</v>
      </c>
      <c r="D45" s="1117">
        <f t="shared" si="1"/>
        <v>3005</v>
      </c>
      <c r="E45" s="121">
        <v>3005</v>
      </c>
      <c r="F45" s="121"/>
      <c r="G45" s="121"/>
      <c r="H45" s="121"/>
      <c r="I45" s="1117">
        <f t="shared" si="2"/>
        <v>0</v>
      </c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5"/>
    </row>
    <row r="46" spans="1:23">
      <c r="A46" s="1214">
        <v>30.08</v>
      </c>
      <c r="B46" s="261" t="s">
        <v>1234</v>
      </c>
      <c r="C46" s="1215">
        <f t="shared" si="0"/>
        <v>39287.550000000003</v>
      </c>
      <c r="D46" s="1117">
        <f t="shared" si="1"/>
        <v>0</v>
      </c>
      <c r="E46" s="121"/>
      <c r="F46" s="121"/>
      <c r="G46" s="121"/>
      <c r="H46" s="121"/>
      <c r="I46" s="1117">
        <f t="shared" si="2"/>
        <v>585</v>
      </c>
      <c r="J46" s="121"/>
      <c r="K46" s="121"/>
      <c r="L46" s="121"/>
      <c r="M46" s="121"/>
      <c r="N46" s="121"/>
      <c r="O46" s="121"/>
      <c r="P46" s="121"/>
      <c r="Q46" s="121"/>
      <c r="R46" s="121">
        <v>585</v>
      </c>
      <c r="S46" s="121"/>
      <c r="T46" s="121"/>
      <c r="U46" s="121"/>
      <c r="V46" s="121"/>
      <c r="W46" s="125"/>
    </row>
    <row r="47" spans="1:23">
      <c r="A47" s="1214">
        <v>30.08</v>
      </c>
      <c r="B47" s="261" t="s">
        <v>1190</v>
      </c>
      <c r="C47" s="1215">
        <f t="shared" si="0"/>
        <v>34287.550000000003</v>
      </c>
      <c r="D47" s="1117">
        <f t="shared" si="1"/>
        <v>0</v>
      </c>
      <c r="E47" s="121"/>
      <c r="F47" s="121"/>
      <c r="G47" s="121"/>
      <c r="H47" s="121"/>
      <c r="I47" s="1117">
        <f t="shared" si="2"/>
        <v>5000</v>
      </c>
      <c r="J47" s="121"/>
      <c r="K47" s="121"/>
      <c r="L47" s="121"/>
      <c r="M47" s="121"/>
      <c r="N47" s="121"/>
      <c r="O47" s="121"/>
      <c r="P47" s="121"/>
      <c r="Q47" s="121"/>
      <c r="R47" s="121">
        <v>5000</v>
      </c>
      <c r="S47" s="121"/>
      <c r="T47" s="121"/>
      <c r="U47" s="121"/>
      <c r="V47" s="121"/>
      <c r="W47" s="125"/>
    </row>
    <row r="48" spans="1:23">
      <c r="A48" s="1214">
        <v>30.08</v>
      </c>
      <c r="B48" s="261" t="s">
        <v>1187</v>
      </c>
      <c r="C48" s="1215">
        <f t="shared" si="0"/>
        <v>35787.550000000003</v>
      </c>
      <c r="D48" s="1117">
        <f t="shared" si="1"/>
        <v>1500</v>
      </c>
      <c r="E48" s="121">
        <v>1500</v>
      </c>
      <c r="F48" s="121"/>
      <c r="G48" s="121"/>
      <c r="H48" s="121"/>
      <c r="I48" s="1117">
        <f t="shared" si="2"/>
        <v>0</v>
      </c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5"/>
    </row>
    <row r="49" spans="1:23">
      <c r="A49" s="1214">
        <v>31.08</v>
      </c>
      <c r="B49" s="261" t="s">
        <v>1235</v>
      </c>
      <c r="C49" s="1215">
        <f t="shared" si="0"/>
        <v>35887.550000000003</v>
      </c>
      <c r="D49" s="1117">
        <f t="shared" si="1"/>
        <v>100</v>
      </c>
      <c r="E49" s="121">
        <v>100</v>
      </c>
      <c r="F49" s="121"/>
      <c r="G49" s="121"/>
      <c r="H49" s="121"/>
      <c r="I49" s="1117">
        <f t="shared" si="2"/>
        <v>0</v>
      </c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5"/>
    </row>
    <row r="50" spans="1:23">
      <c r="A50" s="1214">
        <v>31.08</v>
      </c>
      <c r="B50" s="261" t="s">
        <v>1201</v>
      </c>
      <c r="C50" s="1215">
        <f t="shared" si="0"/>
        <v>35882.550000000003</v>
      </c>
      <c r="D50" s="1117">
        <f t="shared" si="1"/>
        <v>0</v>
      </c>
      <c r="E50" s="121"/>
      <c r="F50" s="121"/>
      <c r="G50" s="121"/>
      <c r="H50" s="121"/>
      <c r="I50" s="1117">
        <f t="shared" si="2"/>
        <v>5</v>
      </c>
      <c r="J50" s="121">
        <v>5</v>
      </c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5"/>
    </row>
    <row r="51" spans="1:23">
      <c r="A51" s="1214">
        <v>3.09</v>
      </c>
      <c r="B51" s="261" t="s">
        <v>1187</v>
      </c>
      <c r="C51" s="1215">
        <f t="shared" si="0"/>
        <v>40882.550000000003</v>
      </c>
      <c r="D51" s="1117">
        <f t="shared" si="1"/>
        <v>5000</v>
      </c>
      <c r="E51" s="121">
        <v>5000</v>
      </c>
      <c r="F51" s="121"/>
      <c r="G51" s="121"/>
      <c r="H51" s="121"/>
      <c r="I51" s="1117">
        <f t="shared" si="2"/>
        <v>0</v>
      </c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5"/>
    </row>
    <row r="52" spans="1:23">
      <c r="A52" s="1214">
        <v>4.09</v>
      </c>
      <c r="B52" s="261" t="s">
        <v>1236</v>
      </c>
      <c r="C52" s="1215">
        <f t="shared" si="0"/>
        <v>21882.550000000003</v>
      </c>
      <c r="D52" s="1117">
        <f t="shared" si="1"/>
        <v>0</v>
      </c>
      <c r="E52" s="121"/>
      <c r="F52" s="121"/>
      <c r="G52" s="121"/>
      <c r="H52" s="121"/>
      <c r="I52" s="1117">
        <f t="shared" si="2"/>
        <v>19000</v>
      </c>
      <c r="J52" s="121"/>
      <c r="K52" s="121"/>
      <c r="L52" s="121"/>
      <c r="M52" s="121"/>
      <c r="N52" s="121"/>
      <c r="O52" s="121"/>
      <c r="P52" s="121"/>
      <c r="Q52" s="121"/>
      <c r="R52" s="121">
        <v>19000</v>
      </c>
      <c r="S52" s="121"/>
      <c r="T52" s="121"/>
      <c r="U52" s="121"/>
      <c r="V52" s="121"/>
      <c r="W52" s="125"/>
    </row>
    <row r="53" spans="1:23">
      <c r="A53" s="1214">
        <v>4.09</v>
      </c>
      <c r="B53" s="261" t="s">
        <v>1237</v>
      </c>
      <c r="C53" s="1215">
        <f t="shared" si="0"/>
        <v>15082.550000000003</v>
      </c>
      <c r="D53" s="1117">
        <f t="shared" si="1"/>
        <v>0</v>
      </c>
      <c r="E53" s="121"/>
      <c r="F53" s="121"/>
      <c r="G53" s="121"/>
      <c r="H53" s="121"/>
      <c r="I53" s="1117">
        <f t="shared" si="2"/>
        <v>6800</v>
      </c>
      <c r="J53" s="121"/>
      <c r="K53" s="121"/>
      <c r="L53" s="121"/>
      <c r="M53" s="121"/>
      <c r="N53" s="121"/>
      <c r="O53" s="121"/>
      <c r="P53" s="121"/>
      <c r="Q53" s="121"/>
      <c r="R53" s="121">
        <v>6800</v>
      </c>
      <c r="S53" s="121"/>
      <c r="T53" s="121"/>
      <c r="U53" s="121"/>
      <c r="V53" s="121"/>
      <c r="W53" s="125"/>
    </row>
    <row r="54" spans="1:23">
      <c r="A54" s="1214">
        <v>7.09</v>
      </c>
      <c r="B54" s="261" t="s">
        <v>1187</v>
      </c>
      <c r="C54" s="1215">
        <f t="shared" si="0"/>
        <v>20967.550000000003</v>
      </c>
      <c r="D54" s="1117">
        <f t="shared" si="1"/>
        <v>5885</v>
      </c>
      <c r="E54" s="121">
        <v>5885</v>
      </c>
      <c r="F54" s="121"/>
      <c r="G54" s="121"/>
      <c r="H54" s="121"/>
      <c r="I54" s="1117">
        <f t="shared" si="2"/>
        <v>0</v>
      </c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5"/>
    </row>
    <row r="55" spans="1:23">
      <c r="A55" s="1214">
        <v>14.09</v>
      </c>
      <c r="B55" s="261" t="s">
        <v>1184</v>
      </c>
      <c r="C55" s="1215">
        <f t="shared" si="0"/>
        <v>18717.550000000003</v>
      </c>
      <c r="D55" s="1117">
        <f t="shared" si="1"/>
        <v>0</v>
      </c>
      <c r="E55" s="121"/>
      <c r="F55" s="121"/>
      <c r="G55" s="121"/>
      <c r="H55" s="121"/>
      <c r="I55" s="1117">
        <f t="shared" si="2"/>
        <v>2250</v>
      </c>
      <c r="J55" s="121"/>
      <c r="K55" s="121"/>
      <c r="L55" s="121"/>
      <c r="M55" s="121"/>
      <c r="N55" s="121"/>
      <c r="O55" s="121"/>
      <c r="P55" s="121"/>
      <c r="Q55" s="121"/>
      <c r="R55" s="121">
        <v>2250</v>
      </c>
      <c r="S55" s="121"/>
      <c r="T55" s="121"/>
      <c r="U55" s="121"/>
      <c r="V55" s="121"/>
      <c r="W55" s="125"/>
    </row>
    <row r="56" spans="1:23">
      <c r="A56" s="1214">
        <v>14.09</v>
      </c>
      <c r="B56" s="261" t="s">
        <v>1207</v>
      </c>
      <c r="C56" s="1215">
        <f t="shared" si="0"/>
        <v>17717.550000000003</v>
      </c>
      <c r="D56" s="1117">
        <f t="shared" si="1"/>
        <v>0</v>
      </c>
      <c r="E56" s="121"/>
      <c r="F56" s="121"/>
      <c r="G56" s="121"/>
      <c r="H56" s="121"/>
      <c r="I56" s="1117">
        <f t="shared" si="2"/>
        <v>1000</v>
      </c>
      <c r="J56" s="121"/>
      <c r="K56" s="121"/>
      <c r="L56" s="121"/>
      <c r="M56" s="121"/>
      <c r="N56" s="121"/>
      <c r="O56" s="121"/>
      <c r="P56" s="121"/>
      <c r="Q56" s="121"/>
      <c r="R56" s="121"/>
      <c r="S56" s="121">
        <v>1000</v>
      </c>
      <c r="T56" s="121"/>
      <c r="U56" s="121"/>
      <c r="V56" s="121"/>
      <c r="W56" s="125"/>
    </row>
    <row r="57" spans="1:23">
      <c r="A57" s="1214">
        <v>17.09</v>
      </c>
      <c r="B57" s="261" t="s">
        <v>1238</v>
      </c>
      <c r="C57" s="1215">
        <f t="shared" si="0"/>
        <v>23677.550000000003</v>
      </c>
      <c r="D57" s="1117">
        <f t="shared" si="1"/>
        <v>5960</v>
      </c>
      <c r="E57" s="121">
        <v>5960</v>
      </c>
      <c r="F57" s="121"/>
      <c r="G57" s="121"/>
      <c r="H57" s="121"/>
      <c r="I57" s="1117">
        <f t="shared" si="2"/>
        <v>0</v>
      </c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5"/>
    </row>
    <row r="58" spans="1:23">
      <c r="A58" s="1214">
        <v>17.09</v>
      </c>
      <c r="B58" s="261" t="s">
        <v>1196</v>
      </c>
      <c r="C58" s="1215">
        <f t="shared" si="0"/>
        <v>18677.550000000003</v>
      </c>
      <c r="D58" s="1117">
        <f t="shared" si="1"/>
        <v>0</v>
      </c>
      <c r="E58" s="121"/>
      <c r="F58" s="121"/>
      <c r="G58" s="121"/>
      <c r="H58" s="121"/>
      <c r="I58" s="1117">
        <f t="shared" si="2"/>
        <v>5000</v>
      </c>
      <c r="J58" s="121"/>
      <c r="K58" s="121">
        <v>5000</v>
      </c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5"/>
    </row>
    <row r="59" spans="1:23">
      <c r="A59" s="1214">
        <v>17.09</v>
      </c>
      <c r="B59" s="261" t="s">
        <v>1201</v>
      </c>
      <c r="C59" s="1215">
        <f t="shared" si="0"/>
        <v>18676.47</v>
      </c>
      <c r="D59" s="1117">
        <f t="shared" si="1"/>
        <v>0</v>
      </c>
      <c r="E59" s="121"/>
      <c r="F59" s="121"/>
      <c r="G59" s="121"/>
      <c r="H59" s="121"/>
      <c r="I59" s="1117">
        <f t="shared" si="2"/>
        <v>1.08</v>
      </c>
      <c r="J59" s="121">
        <v>1.08</v>
      </c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5"/>
    </row>
    <row r="60" spans="1:23">
      <c r="A60" s="1214">
        <v>18.09</v>
      </c>
      <c r="B60" s="261" t="s">
        <v>1187</v>
      </c>
      <c r="C60" s="1215">
        <f t="shared" si="0"/>
        <v>20676.47</v>
      </c>
      <c r="D60" s="1117">
        <f t="shared" si="1"/>
        <v>2000</v>
      </c>
      <c r="E60" s="121">
        <v>2000</v>
      </c>
      <c r="F60" s="121"/>
      <c r="G60" s="121"/>
      <c r="H60" s="121"/>
      <c r="I60" s="1117">
        <f t="shared" si="2"/>
        <v>0</v>
      </c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5"/>
    </row>
    <row r="61" spans="1:23">
      <c r="A61" s="1214">
        <v>19.09</v>
      </c>
      <c r="B61" s="261" t="s">
        <v>1238</v>
      </c>
      <c r="C61" s="1215">
        <f t="shared" si="0"/>
        <v>26676.47</v>
      </c>
      <c r="D61" s="1117">
        <f t="shared" si="1"/>
        <v>6000</v>
      </c>
      <c r="E61" s="121">
        <v>6000</v>
      </c>
      <c r="F61" s="121"/>
      <c r="G61" s="121"/>
      <c r="H61" s="121"/>
      <c r="I61" s="1117">
        <f t="shared" si="2"/>
        <v>0</v>
      </c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5"/>
    </row>
    <row r="62" spans="1:23">
      <c r="A62" s="1214">
        <v>21.09</v>
      </c>
      <c r="B62" s="1216" t="s">
        <v>1201</v>
      </c>
      <c r="C62" s="1215">
        <f t="shared" si="0"/>
        <v>26646.47</v>
      </c>
      <c r="D62" s="1117">
        <f t="shared" si="1"/>
        <v>0</v>
      </c>
      <c r="E62" s="121"/>
      <c r="F62" s="121"/>
      <c r="G62" s="121"/>
      <c r="H62" s="121"/>
      <c r="I62" s="1117">
        <f t="shared" si="2"/>
        <v>30</v>
      </c>
      <c r="J62" s="121">
        <f>20+10</f>
        <v>30</v>
      </c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5"/>
    </row>
    <row r="63" spans="1:23">
      <c r="A63" s="1214">
        <v>21.09</v>
      </c>
      <c r="B63" s="261" t="s">
        <v>1239</v>
      </c>
      <c r="C63" s="1215">
        <f t="shared" si="0"/>
        <v>19746.47</v>
      </c>
      <c r="D63" s="1117">
        <f t="shared" si="1"/>
        <v>0</v>
      </c>
      <c r="E63" s="121"/>
      <c r="F63" s="121"/>
      <c r="G63" s="121"/>
      <c r="H63" s="121"/>
      <c r="I63" s="1117">
        <f t="shared" si="2"/>
        <v>6900</v>
      </c>
      <c r="J63" s="121"/>
      <c r="K63" s="121"/>
      <c r="L63" s="121"/>
      <c r="M63" s="121"/>
      <c r="N63" s="121"/>
      <c r="O63" s="121"/>
      <c r="P63" s="121"/>
      <c r="Q63" s="121"/>
      <c r="R63" s="121">
        <v>6900</v>
      </c>
      <c r="S63" s="121"/>
      <c r="T63" s="121"/>
      <c r="U63" s="121"/>
      <c r="V63" s="121"/>
      <c r="W63" s="125"/>
    </row>
    <row r="64" spans="1:23">
      <c r="A64" s="1214">
        <v>28.09</v>
      </c>
      <c r="B64" s="261" t="s">
        <v>1235</v>
      </c>
      <c r="C64" s="1215">
        <f t="shared" si="0"/>
        <v>23496.47</v>
      </c>
      <c r="D64" s="1117">
        <f t="shared" si="1"/>
        <v>3750</v>
      </c>
      <c r="E64" s="121">
        <v>3750</v>
      </c>
      <c r="F64" s="121"/>
      <c r="G64" s="121"/>
      <c r="H64" s="121"/>
      <c r="I64" s="1117">
        <f t="shared" si="2"/>
        <v>0</v>
      </c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5"/>
    </row>
    <row r="65" spans="1:23">
      <c r="A65" s="1214">
        <v>28.09</v>
      </c>
      <c r="B65" s="261" t="s">
        <v>1201</v>
      </c>
      <c r="C65" s="1215">
        <f t="shared" si="0"/>
        <v>23491.47</v>
      </c>
      <c r="D65" s="1117">
        <f t="shared" si="1"/>
        <v>0</v>
      </c>
      <c r="E65" s="121"/>
      <c r="F65" s="121"/>
      <c r="G65" s="121"/>
      <c r="H65" s="121"/>
      <c r="I65" s="1117">
        <f t="shared" si="2"/>
        <v>5</v>
      </c>
      <c r="J65" s="121">
        <v>5</v>
      </c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5"/>
    </row>
    <row r="66" spans="1:23">
      <c r="A66" s="1214">
        <v>1.1000000000000001</v>
      </c>
      <c r="B66" s="261" t="s">
        <v>1236</v>
      </c>
      <c r="C66" s="1215">
        <f t="shared" si="0"/>
        <v>6841.4700000000012</v>
      </c>
      <c r="D66" s="1117">
        <f t="shared" si="1"/>
        <v>0</v>
      </c>
      <c r="E66" s="121"/>
      <c r="F66" s="121"/>
      <c r="G66" s="121"/>
      <c r="H66" s="121"/>
      <c r="I66" s="1117">
        <f t="shared" si="2"/>
        <v>16650</v>
      </c>
      <c r="J66" s="121"/>
      <c r="K66" s="121"/>
      <c r="L66" s="121"/>
      <c r="M66" s="121"/>
      <c r="N66" s="121"/>
      <c r="O66" s="121"/>
      <c r="P66" s="121"/>
      <c r="Q66" s="121"/>
      <c r="R66" s="121">
        <v>16650</v>
      </c>
      <c r="S66" s="121"/>
      <c r="T66" s="121"/>
      <c r="U66" s="121"/>
      <c r="V66" s="121"/>
      <c r="W66" s="125"/>
    </row>
    <row r="67" spans="1:23">
      <c r="A67" s="1214">
        <v>1.1000000000000001</v>
      </c>
      <c r="B67" s="261" t="s">
        <v>1184</v>
      </c>
      <c r="C67" s="1215">
        <f t="shared" si="0"/>
        <v>341.47000000000116</v>
      </c>
      <c r="D67" s="1117">
        <f t="shared" si="1"/>
        <v>0</v>
      </c>
      <c r="E67" s="121"/>
      <c r="F67" s="121"/>
      <c r="G67" s="121"/>
      <c r="H67" s="121"/>
      <c r="I67" s="1117">
        <f t="shared" si="2"/>
        <v>6500</v>
      </c>
      <c r="J67" s="121"/>
      <c r="K67" s="121"/>
      <c r="L67" s="121"/>
      <c r="M67" s="121"/>
      <c r="N67" s="121"/>
      <c r="O67" s="121"/>
      <c r="P67" s="121"/>
      <c r="Q67" s="121"/>
      <c r="R67" s="121">
        <v>6500</v>
      </c>
      <c r="S67" s="121"/>
      <c r="T67" s="121"/>
      <c r="U67" s="121"/>
      <c r="V67" s="121"/>
      <c r="W67" s="125"/>
    </row>
    <row r="68" spans="1:23">
      <c r="A68" s="1214">
        <v>3.1</v>
      </c>
      <c r="B68" s="261" t="s">
        <v>1187</v>
      </c>
      <c r="C68" s="1215">
        <f t="shared" si="0"/>
        <v>841.47000000000116</v>
      </c>
      <c r="D68" s="1117">
        <f t="shared" si="1"/>
        <v>500</v>
      </c>
      <c r="E68" s="121">
        <v>500</v>
      </c>
      <c r="F68" s="121"/>
      <c r="G68" s="121"/>
      <c r="H68" s="121"/>
      <c r="I68" s="1117">
        <f t="shared" si="2"/>
        <v>0</v>
      </c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5"/>
    </row>
    <row r="69" spans="1:23">
      <c r="A69" s="1214">
        <v>5.0999999999999996</v>
      </c>
      <c r="B69" s="261" t="s">
        <v>1201</v>
      </c>
      <c r="C69" s="1215">
        <f t="shared" si="0"/>
        <v>834.47000000000116</v>
      </c>
      <c r="D69" s="1117">
        <f t="shared" si="1"/>
        <v>0</v>
      </c>
      <c r="E69" s="121"/>
      <c r="F69" s="121"/>
      <c r="G69" s="121"/>
      <c r="H69" s="121"/>
      <c r="I69" s="1117">
        <f t="shared" si="2"/>
        <v>7</v>
      </c>
      <c r="J69" s="121">
        <v>7</v>
      </c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5"/>
    </row>
    <row r="70" spans="1:23">
      <c r="A70" s="1214">
        <v>5.0999999999999996</v>
      </c>
      <c r="B70" s="261" t="s">
        <v>1240</v>
      </c>
      <c r="C70" s="1215">
        <f t="shared" si="0"/>
        <v>1821.4700000000012</v>
      </c>
      <c r="D70" s="1117">
        <f t="shared" si="1"/>
        <v>987</v>
      </c>
      <c r="E70" s="121"/>
      <c r="F70" s="121">
        <v>987</v>
      </c>
      <c r="G70" s="121"/>
      <c r="H70" s="121"/>
      <c r="I70" s="1117">
        <f t="shared" si="2"/>
        <v>0</v>
      </c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5"/>
    </row>
    <row r="71" spans="1:23">
      <c r="A71" s="1214">
        <v>10.1</v>
      </c>
      <c r="B71" s="261" t="s">
        <v>1051</v>
      </c>
      <c r="C71" s="1215">
        <f t="shared" si="0"/>
        <v>1204.4700000000012</v>
      </c>
      <c r="D71" s="1117">
        <f t="shared" si="1"/>
        <v>0</v>
      </c>
      <c r="E71" s="121"/>
      <c r="F71" s="121"/>
      <c r="G71" s="121"/>
      <c r="H71" s="121"/>
      <c r="I71" s="1117">
        <f t="shared" si="2"/>
        <v>617</v>
      </c>
      <c r="J71" s="121"/>
      <c r="K71" s="121"/>
      <c r="L71" s="121">
        <v>617</v>
      </c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5"/>
    </row>
    <row r="72" spans="1:23">
      <c r="A72" s="1214">
        <v>11.1</v>
      </c>
      <c r="B72" s="261" t="s">
        <v>1187</v>
      </c>
      <c r="C72" s="1215">
        <f t="shared" ref="C72:C78" si="3">+C71+D72-I72</f>
        <v>11704.470000000001</v>
      </c>
      <c r="D72" s="1117">
        <f t="shared" ref="D72:D78" si="4">SUM(E72:H72)</f>
        <v>10500</v>
      </c>
      <c r="E72" s="121">
        <f>3700+1900+3500+1400</f>
        <v>10500</v>
      </c>
      <c r="F72" s="121"/>
      <c r="G72" s="121"/>
      <c r="H72" s="121"/>
      <c r="I72" s="1117">
        <f t="shared" si="2"/>
        <v>0</v>
      </c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5"/>
    </row>
    <row r="73" spans="1:23">
      <c r="A73" s="1214">
        <v>29.1</v>
      </c>
      <c r="B73" s="261" t="s">
        <v>1184</v>
      </c>
      <c r="C73" s="1215">
        <f t="shared" si="3"/>
        <v>8704.4700000000012</v>
      </c>
      <c r="D73" s="1117">
        <f t="shared" si="4"/>
        <v>0</v>
      </c>
      <c r="E73" s="121"/>
      <c r="F73" s="121"/>
      <c r="G73" s="121"/>
      <c r="H73" s="121"/>
      <c r="I73" s="1117">
        <f t="shared" ref="I73:I84" si="5">SUM(J73:W73)</f>
        <v>3000</v>
      </c>
      <c r="J73" s="121"/>
      <c r="K73" s="121"/>
      <c r="L73" s="121"/>
      <c r="M73" s="121"/>
      <c r="N73" s="121"/>
      <c r="O73" s="121"/>
      <c r="P73" s="121"/>
      <c r="Q73" s="121"/>
      <c r="R73" s="121">
        <v>3000</v>
      </c>
      <c r="S73" s="121"/>
      <c r="T73" s="121"/>
      <c r="U73" s="121"/>
      <c r="V73" s="121"/>
      <c r="W73" s="125"/>
    </row>
    <row r="74" spans="1:23">
      <c r="A74" s="1214">
        <v>30.1</v>
      </c>
      <c r="B74" s="261" t="s">
        <v>1207</v>
      </c>
      <c r="C74" s="1215">
        <f t="shared" si="3"/>
        <v>7854.4700000000012</v>
      </c>
      <c r="D74" s="1117">
        <f t="shared" si="4"/>
        <v>0</v>
      </c>
      <c r="E74" s="121"/>
      <c r="F74" s="121"/>
      <c r="G74" s="121"/>
      <c r="H74" s="121"/>
      <c r="I74" s="1117">
        <f t="shared" si="5"/>
        <v>850</v>
      </c>
      <c r="J74" s="121"/>
      <c r="K74" s="121"/>
      <c r="L74" s="121"/>
      <c r="M74" s="121"/>
      <c r="N74" s="121"/>
      <c r="O74" s="121"/>
      <c r="P74" s="121"/>
      <c r="Q74" s="121"/>
      <c r="R74" s="121"/>
      <c r="S74" s="121">
        <v>850</v>
      </c>
      <c r="T74" s="121"/>
      <c r="U74" s="121"/>
      <c r="V74" s="121"/>
      <c r="W74" s="125"/>
    </row>
    <row r="75" spans="1:23">
      <c r="A75" s="1214">
        <v>30.1</v>
      </c>
      <c r="B75" s="261" t="s">
        <v>1201</v>
      </c>
      <c r="C75" s="1215">
        <f t="shared" si="3"/>
        <v>7849.4700000000012</v>
      </c>
      <c r="D75" s="1117">
        <f t="shared" si="4"/>
        <v>0</v>
      </c>
      <c r="E75" s="121"/>
      <c r="F75" s="121"/>
      <c r="G75" s="121"/>
      <c r="H75" s="121"/>
      <c r="I75" s="1117">
        <f t="shared" si="5"/>
        <v>5</v>
      </c>
      <c r="J75" s="121">
        <v>5</v>
      </c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5"/>
    </row>
    <row r="76" spans="1:23">
      <c r="A76" s="1214">
        <v>2.11</v>
      </c>
      <c r="B76" s="261" t="s">
        <v>1184</v>
      </c>
      <c r="C76" s="1215">
        <f t="shared" si="3"/>
        <v>49.470000000001164</v>
      </c>
      <c r="D76" s="1117">
        <f t="shared" si="4"/>
        <v>0</v>
      </c>
      <c r="E76" s="121"/>
      <c r="F76" s="121"/>
      <c r="G76" s="121"/>
      <c r="H76" s="121"/>
      <c r="I76" s="1117">
        <f t="shared" si="5"/>
        <v>7800</v>
      </c>
      <c r="J76" s="121"/>
      <c r="K76" s="121"/>
      <c r="L76" s="121"/>
      <c r="M76" s="121"/>
      <c r="N76" s="121"/>
      <c r="O76" s="121"/>
      <c r="P76" s="121"/>
      <c r="Q76" s="121"/>
      <c r="R76" s="121">
        <v>7800</v>
      </c>
      <c r="S76" s="121"/>
      <c r="T76" s="121"/>
      <c r="U76" s="121"/>
      <c r="V76" s="121"/>
      <c r="W76" s="125"/>
    </row>
    <row r="77" spans="1:23">
      <c r="A77" s="1214">
        <v>9.11</v>
      </c>
      <c r="B77" s="261" t="s">
        <v>1207</v>
      </c>
      <c r="C77" s="1215">
        <f t="shared" si="3"/>
        <v>449.47000000000116</v>
      </c>
      <c r="D77" s="1117">
        <f t="shared" si="4"/>
        <v>400</v>
      </c>
      <c r="E77" s="121"/>
      <c r="F77" s="121"/>
      <c r="G77" s="121">
        <v>400</v>
      </c>
      <c r="H77" s="121"/>
      <c r="I77" s="1117">
        <f t="shared" si="5"/>
        <v>0</v>
      </c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5"/>
    </row>
    <row r="78" spans="1:23">
      <c r="A78" s="1214">
        <v>9.11</v>
      </c>
      <c r="B78" s="261" t="s">
        <v>1051</v>
      </c>
      <c r="C78" s="1215">
        <f t="shared" si="3"/>
        <v>49.470000000001164</v>
      </c>
      <c r="D78" s="1117">
        <f t="shared" si="4"/>
        <v>0</v>
      </c>
      <c r="E78" s="121"/>
      <c r="F78" s="121"/>
      <c r="G78" s="121"/>
      <c r="H78" s="121"/>
      <c r="I78" s="1117">
        <f t="shared" si="5"/>
        <v>400</v>
      </c>
      <c r="J78" s="121"/>
      <c r="K78" s="121"/>
      <c r="L78" s="121">
        <v>400</v>
      </c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5"/>
    </row>
    <row r="79" spans="1:23">
      <c r="A79" s="1214">
        <v>14.11</v>
      </c>
      <c r="B79" s="261" t="s">
        <v>1241</v>
      </c>
      <c r="C79" s="1215">
        <f t="shared" ref="C79:C84" si="6">+C78+D79-I79</f>
        <v>249.47000000000116</v>
      </c>
      <c r="D79" s="1117">
        <f t="shared" ref="D79:D84" si="7">SUM(E79:H79)</f>
        <v>200</v>
      </c>
      <c r="E79" s="121"/>
      <c r="F79" s="121"/>
      <c r="G79" s="121">
        <v>200</v>
      </c>
      <c r="H79" s="121"/>
      <c r="I79" s="1117">
        <f t="shared" si="5"/>
        <v>0</v>
      </c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5"/>
    </row>
    <row r="80" spans="1:23">
      <c r="A80" s="1214">
        <v>16.11</v>
      </c>
      <c r="B80" s="261" t="s">
        <v>1242</v>
      </c>
      <c r="C80" s="1215">
        <f t="shared" si="6"/>
        <v>49.470000000001164</v>
      </c>
      <c r="D80" s="1117">
        <f t="shared" si="7"/>
        <v>0</v>
      </c>
      <c r="E80" s="121"/>
      <c r="F80" s="121"/>
      <c r="G80" s="121"/>
      <c r="H80" s="121"/>
      <c r="I80" s="1117">
        <f t="shared" si="5"/>
        <v>200</v>
      </c>
      <c r="J80" s="121"/>
      <c r="K80" s="121"/>
      <c r="L80" s="121">
        <v>200</v>
      </c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5"/>
    </row>
    <row r="81" spans="1:23">
      <c r="A81" s="1214">
        <v>22.11</v>
      </c>
      <c r="B81" s="261" t="s">
        <v>1207</v>
      </c>
      <c r="C81" s="1215">
        <f t="shared" si="6"/>
        <v>299.47000000000116</v>
      </c>
      <c r="D81" s="1117">
        <f t="shared" si="7"/>
        <v>250</v>
      </c>
      <c r="E81" s="121"/>
      <c r="F81" s="121"/>
      <c r="G81" s="121">
        <v>250</v>
      </c>
      <c r="H81" s="121"/>
      <c r="I81" s="1117">
        <f t="shared" si="5"/>
        <v>0</v>
      </c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5"/>
    </row>
    <row r="82" spans="1:23">
      <c r="A82" s="1214">
        <v>22.11</v>
      </c>
      <c r="B82" s="261" t="s">
        <v>1051</v>
      </c>
      <c r="C82" s="1215">
        <f t="shared" si="6"/>
        <v>49.470000000001164</v>
      </c>
      <c r="D82" s="1117">
        <f t="shared" si="7"/>
        <v>0</v>
      </c>
      <c r="E82" s="121"/>
      <c r="F82" s="121"/>
      <c r="G82" s="121"/>
      <c r="H82" s="121"/>
      <c r="I82" s="1117">
        <f t="shared" si="5"/>
        <v>250</v>
      </c>
      <c r="J82" s="121"/>
      <c r="K82" s="121"/>
      <c r="L82" s="121">
        <v>250</v>
      </c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5"/>
    </row>
    <row r="83" spans="1:23">
      <c r="A83" s="1214">
        <v>31.12</v>
      </c>
      <c r="B83" s="261" t="s">
        <v>1201</v>
      </c>
      <c r="C83" s="1215">
        <f t="shared" si="6"/>
        <v>39.470000000001164</v>
      </c>
      <c r="D83" s="1117">
        <f t="shared" si="7"/>
        <v>0</v>
      </c>
      <c r="E83" s="121"/>
      <c r="F83" s="121"/>
      <c r="G83" s="121"/>
      <c r="H83" s="121"/>
      <c r="I83" s="1117">
        <f t="shared" si="5"/>
        <v>10</v>
      </c>
      <c r="J83" s="121">
        <v>10</v>
      </c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5"/>
    </row>
    <row r="84" spans="1:23">
      <c r="A84" s="1214"/>
      <c r="B84" s="261"/>
      <c r="C84" s="1215">
        <f t="shared" si="6"/>
        <v>39.470000000001164</v>
      </c>
      <c r="D84" s="1117">
        <f t="shared" si="7"/>
        <v>0</v>
      </c>
      <c r="E84" s="121"/>
      <c r="F84" s="121"/>
      <c r="G84" s="121"/>
      <c r="H84" s="121"/>
      <c r="I84" s="1117">
        <f t="shared" si="5"/>
        <v>0</v>
      </c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5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2:W19"/>
  <sheetViews>
    <sheetView workbookViewId="0">
      <selection activeCell="J10" sqref="J10"/>
    </sheetView>
  </sheetViews>
  <sheetFormatPr defaultRowHeight="12.75"/>
  <cols>
    <col min="1" max="1" width="12" bestFit="1" customWidth="1"/>
  </cols>
  <sheetData>
    <row r="2" spans="1:23">
      <c r="A2" s="1207"/>
      <c r="B2" s="735"/>
      <c r="C2" s="120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</row>
    <row r="3" spans="1:23">
      <c r="A3" s="1207"/>
      <c r="B3" s="735"/>
      <c r="C3" s="120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</row>
    <row r="4" spans="1:23">
      <c r="A4" s="1207"/>
      <c r="B4" s="735"/>
      <c r="C4" s="120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</row>
    <row r="5" spans="1:23" ht="13.5" thickBot="1">
      <c r="A5" s="1207"/>
      <c r="B5" s="735"/>
      <c r="C5" s="120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</row>
    <row r="6" spans="1:23" ht="13.5" thickBot="1">
      <c r="A6" s="1208" t="s">
        <v>1179</v>
      </c>
      <c r="B6" s="1209" t="s">
        <v>1180</v>
      </c>
      <c r="C6" s="1209" t="s">
        <v>1181</v>
      </c>
      <c r="D6" s="1209" t="s">
        <v>1182</v>
      </c>
      <c r="E6" s="1209">
        <v>411</v>
      </c>
      <c r="F6" s="1209">
        <v>581</v>
      </c>
      <c r="G6" s="1209">
        <v>7</v>
      </c>
      <c r="H6" s="1209">
        <v>7</v>
      </c>
      <c r="I6" s="1209" t="s">
        <v>1183</v>
      </c>
      <c r="J6" s="1209">
        <v>628</v>
      </c>
      <c r="K6" s="1209">
        <v>581</v>
      </c>
      <c r="L6" s="1209">
        <v>401</v>
      </c>
      <c r="M6" s="1209">
        <v>421</v>
      </c>
      <c r="N6" s="1209">
        <v>431</v>
      </c>
      <c r="O6" s="1209">
        <v>442</v>
      </c>
      <c r="P6" s="1209">
        <v>444</v>
      </c>
      <c r="Q6" s="1209">
        <v>634</v>
      </c>
      <c r="R6" s="1209" t="s">
        <v>1184</v>
      </c>
      <c r="S6" s="1209" t="s">
        <v>840</v>
      </c>
      <c r="T6" s="1209">
        <v>66</v>
      </c>
      <c r="U6" s="1209"/>
      <c r="V6" s="1209"/>
      <c r="W6" s="1210"/>
    </row>
    <row r="7" spans="1:23">
      <c r="A7" s="1211" t="s">
        <v>1185</v>
      </c>
      <c r="B7" s="741" t="s">
        <v>1186</v>
      </c>
      <c r="C7" s="1212">
        <v>0</v>
      </c>
      <c r="D7" s="1213"/>
      <c r="E7" s="559"/>
      <c r="F7" s="559"/>
      <c r="G7" s="559"/>
      <c r="H7" s="559"/>
      <c r="I7" s="1213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743"/>
    </row>
    <row r="8" spans="1:23">
      <c r="A8" s="1214">
        <v>8.0299999999999994</v>
      </c>
      <c r="B8" s="261" t="s">
        <v>1220</v>
      </c>
      <c r="C8" s="1215">
        <f>+C7+D8-I8</f>
        <v>15541</v>
      </c>
      <c r="D8" s="1117">
        <f>SUM(E8:H8)</f>
        <v>15541</v>
      </c>
      <c r="E8" s="121"/>
      <c r="F8" s="121"/>
      <c r="G8" s="121">
        <v>15541</v>
      </c>
      <c r="H8" s="121"/>
      <c r="I8" s="1117">
        <f>SUM(J8:W8)</f>
        <v>0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5"/>
    </row>
    <row r="9" spans="1:23">
      <c r="A9" s="1214">
        <v>6.11</v>
      </c>
      <c r="B9" s="261" t="s">
        <v>1220</v>
      </c>
      <c r="C9" s="1215">
        <f t="shared" ref="C9:C16" si="0">+C8+D9-I9</f>
        <v>35</v>
      </c>
      <c r="D9" s="1117">
        <f t="shared" ref="D9:D16" si="1">SUM(E9:H9)</f>
        <v>0</v>
      </c>
      <c r="E9" s="121"/>
      <c r="F9" s="121"/>
      <c r="G9" s="121"/>
      <c r="H9" s="121"/>
      <c r="I9" s="1117">
        <f t="shared" ref="I9:I16" si="2">SUM(J9:W9)</f>
        <v>15506</v>
      </c>
      <c r="J9" s="121"/>
      <c r="K9" s="121"/>
      <c r="L9" s="121"/>
      <c r="M9" s="121"/>
      <c r="N9" s="121"/>
      <c r="O9" s="121"/>
      <c r="P9" s="121"/>
      <c r="Q9" s="121"/>
      <c r="R9" s="121">
        <v>15506</v>
      </c>
      <c r="S9" s="121"/>
      <c r="T9" s="121"/>
      <c r="U9" s="121"/>
      <c r="V9" s="121"/>
      <c r="W9" s="125"/>
    </row>
    <row r="10" spans="1:23">
      <c r="A10" s="1214">
        <v>31.12</v>
      </c>
      <c r="B10" s="261" t="s">
        <v>1243</v>
      </c>
      <c r="C10" s="1215">
        <f t="shared" si="0"/>
        <v>-10.079999999999998</v>
      </c>
      <c r="D10" s="1117">
        <f t="shared" si="1"/>
        <v>0</v>
      </c>
      <c r="E10" s="121"/>
      <c r="F10" s="121"/>
      <c r="G10" s="121"/>
      <c r="H10" s="121"/>
      <c r="I10" s="1117">
        <f t="shared" si="2"/>
        <v>45.08</v>
      </c>
      <c r="J10" s="121">
        <f>5*9+0.08</f>
        <v>45.08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5"/>
    </row>
    <row r="11" spans="1:23">
      <c r="A11" s="1214"/>
      <c r="B11" s="261"/>
      <c r="C11" s="1215">
        <f t="shared" si="0"/>
        <v>-10.079999999999998</v>
      </c>
      <c r="D11" s="1117">
        <f t="shared" si="1"/>
        <v>0</v>
      </c>
      <c r="E11" s="121"/>
      <c r="F11" s="121"/>
      <c r="G11" s="121"/>
      <c r="H11" s="121"/>
      <c r="I11" s="1117">
        <f t="shared" si="2"/>
        <v>0</v>
      </c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5"/>
    </row>
    <row r="12" spans="1:23">
      <c r="A12" s="1214"/>
      <c r="B12" s="261"/>
      <c r="C12" s="1215">
        <f t="shared" si="0"/>
        <v>-10.079999999999998</v>
      </c>
      <c r="D12" s="1117">
        <f t="shared" si="1"/>
        <v>0</v>
      </c>
      <c r="E12" s="121"/>
      <c r="F12" s="121"/>
      <c r="G12" s="121"/>
      <c r="H12" s="121"/>
      <c r="I12" s="1117">
        <f t="shared" si="2"/>
        <v>0</v>
      </c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5"/>
    </row>
    <row r="13" spans="1:23">
      <c r="A13" s="1214"/>
      <c r="B13" s="261"/>
      <c r="C13" s="1215">
        <f t="shared" si="0"/>
        <v>-10.079999999999998</v>
      </c>
      <c r="D13" s="1117">
        <f t="shared" si="1"/>
        <v>0</v>
      </c>
      <c r="E13" s="121"/>
      <c r="F13" s="121"/>
      <c r="G13" s="121"/>
      <c r="H13" s="121"/>
      <c r="I13" s="1117">
        <f t="shared" si="2"/>
        <v>0</v>
      </c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5"/>
    </row>
    <row r="14" spans="1:23">
      <c r="A14" s="1214"/>
      <c r="B14" s="261"/>
      <c r="C14" s="1215">
        <f t="shared" si="0"/>
        <v>-10.079999999999998</v>
      </c>
      <c r="D14" s="1117">
        <f t="shared" si="1"/>
        <v>0</v>
      </c>
      <c r="E14" s="121"/>
      <c r="F14" s="121"/>
      <c r="G14" s="121"/>
      <c r="H14" s="121"/>
      <c r="I14" s="1117">
        <f t="shared" si="2"/>
        <v>0</v>
      </c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5"/>
    </row>
    <row r="15" spans="1:23">
      <c r="A15" s="1214"/>
      <c r="B15" s="261"/>
      <c r="C15" s="1215">
        <f t="shared" si="0"/>
        <v>-10.079999999999998</v>
      </c>
      <c r="D15" s="1117">
        <f t="shared" si="1"/>
        <v>0</v>
      </c>
      <c r="E15" s="121"/>
      <c r="F15" s="121"/>
      <c r="G15" s="121"/>
      <c r="H15" s="121"/>
      <c r="I15" s="1117">
        <f t="shared" si="2"/>
        <v>0</v>
      </c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5"/>
    </row>
    <row r="16" spans="1:23">
      <c r="A16" s="1214"/>
      <c r="B16" s="261"/>
      <c r="C16" s="1215">
        <f t="shared" si="0"/>
        <v>-10.079999999999998</v>
      </c>
      <c r="D16" s="1117">
        <f t="shared" si="1"/>
        <v>0</v>
      </c>
      <c r="E16" s="121"/>
      <c r="F16" s="121"/>
      <c r="G16" s="121"/>
      <c r="H16" s="121"/>
      <c r="I16" s="1117">
        <f t="shared" si="2"/>
        <v>0</v>
      </c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5"/>
    </row>
    <row r="17" spans="1:23">
      <c r="A17" s="735"/>
      <c r="B17" s="735"/>
      <c r="C17" s="735"/>
      <c r="D17" s="735"/>
      <c r="E17" s="735"/>
      <c r="F17" s="735"/>
      <c r="G17" s="735"/>
      <c r="H17" s="735"/>
      <c r="I17" s="735"/>
      <c r="J17" s="735"/>
      <c r="K17" s="735"/>
      <c r="L17" s="735"/>
      <c r="M17" s="735"/>
      <c r="N17" s="735"/>
      <c r="O17" s="735"/>
      <c r="P17" s="735"/>
      <c r="Q17" s="735"/>
      <c r="R17" s="735"/>
      <c r="S17" s="735"/>
      <c r="T17" s="735"/>
      <c r="U17" s="735"/>
      <c r="V17" s="735"/>
      <c r="W17" s="735"/>
    </row>
    <row r="18" spans="1:23">
      <c r="A18" s="1207"/>
      <c r="B18" s="735"/>
      <c r="C18" s="1207"/>
      <c r="D18" s="547"/>
      <c r="E18" s="547"/>
      <c r="F18" s="547"/>
      <c r="G18" s="547"/>
      <c r="H18" s="547"/>
      <c r="I18" s="547"/>
      <c r="J18" s="547"/>
      <c r="K18" s="547"/>
      <c r="L18" s="547"/>
      <c r="M18" s="547"/>
      <c r="N18" s="547"/>
      <c r="O18" s="547"/>
      <c r="P18" s="547"/>
      <c r="Q18" s="547"/>
      <c r="R18" s="547"/>
      <c r="S18" s="547"/>
      <c r="T18" s="547"/>
      <c r="U18" s="547"/>
      <c r="V18" s="547"/>
      <c r="W18" s="547"/>
    </row>
    <row r="19" spans="1:23">
      <c r="A19" s="1207"/>
      <c r="B19" s="735"/>
      <c r="C19" s="1207"/>
      <c r="D19" s="547"/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7"/>
      <c r="W19" s="547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B3:M156"/>
  <sheetViews>
    <sheetView topLeftCell="A124" workbookViewId="0">
      <selection activeCell="O164" sqref="O164"/>
    </sheetView>
  </sheetViews>
  <sheetFormatPr defaultRowHeight="12.75"/>
  <cols>
    <col min="2" max="2" width="9.28515625" bestFit="1" customWidth="1"/>
    <col min="4" max="4" width="12.85546875" bestFit="1" customWidth="1"/>
    <col min="7" max="7" width="29.42578125" customWidth="1"/>
  </cols>
  <sheetData>
    <row r="3" spans="2:9">
      <c r="B3" s="1219" t="s">
        <v>1244</v>
      </c>
      <c r="C3" s="1220"/>
      <c r="D3" s="1220"/>
      <c r="F3" s="1234" t="s">
        <v>1247</v>
      </c>
      <c r="G3" s="1134"/>
      <c r="H3" s="1134"/>
      <c r="I3" s="1134"/>
    </row>
    <row r="4" spans="2:9">
      <c r="B4" s="1271" t="s">
        <v>1207</v>
      </c>
      <c r="C4" s="1271">
        <v>5396</v>
      </c>
      <c r="D4" s="1271"/>
      <c r="F4" s="1265">
        <v>7.04</v>
      </c>
      <c r="G4" s="1266" t="s">
        <v>1197</v>
      </c>
      <c r="H4" s="1267">
        <v>800000</v>
      </c>
      <c r="I4" s="1134"/>
    </row>
    <row r="5" spans="2:9">
      <c r="B5" s="1271" t="s">
        <v>1207</v>
      </c>
      <c r="C5" s="1271">
        <v>9000</v>
      </c>
      <c r="D5" s="1271"/>
      <c r="F5" s="1268">
        <v>8.0299999999999994</v>
      </c>
      <c r="G5" s="1269" t="s">
        <v>1195</v>
      </c>
      <c r="H5" s="1270">
        <v>992000</v>
      </c>
      <c r="I5" s="1134"/>
    </row>
    <row r="6" spans="2:9">
      <c r="B6" s="1271" t="s">
        <v>1207</v>
      </c>
      <c r="C6" s="1271">
        <v>9700</v>
      </c>
      <c r="D6" s="1271"/>
      <c r="F6" s="1134"/>
      <c r="G6" s="1134"/>
      <c r="H6" s="1134"/>
      <c r="I6" s="1134"/>
    </row>
    <row r="7" spans="2:9">
      <c r="B7" s="1271" t="s">
        <v>1207</v>
      </c>
      <c r="C7" s="1271">
        <v>9800</v>
      </c>
      <c r="D7" s="1271"/>
      <c r="F7" s="1228">
        <v>1.03</v>
      </c>
      <c r="G7" s="1228" t="s">
        <v>1184</v>
      </c>
      <c r="H7" s="1228">
        <v>20000</v>
      </c>
    </row>
    <row r="8" spans="2:9">
      <c r="B8" s="1271" t="s">
        <v>1207</v>
      </c>
      <c r="C8" s="1271">
        <v>10000</v>
      </c>
      <c r="D8" s="1271"/>
      <c r="F8" s="1276">
        <v>8.0299999999999994</v>
      </c>
      <c r="G8" s="1276" t="s">
        <v>1187</v>
      </c>
      <c r="H8" s="1276">
        <v>138000</v>
      </c>
    </row>
    <row r="9" spans="2:9">
      <c r="B9" s="1271" t="s">
        <v>1207</v>
      </c>
      <c r="C9" s="1271">
        <v>10000</v>
      </c>
      <c r="D9" s="1271"/>
    </row>
    <row r="10" spans="2:9">
      <c r="B10" s="1271" t="s">
        <v>1207</v>
      </c>
      <c r="C10" s="1271">
        <v>10000</v>
      </c>
      <c r="D10" s="1271"/>
      <c r="F10" s="1276">
        <v>7.08</v>
      </c>
      <c r="G10" s="1276" t="s">
        <v>1187</v>
      </c>
      <c r="H10" s="1276">
        <v>310000</v>
      </c>
    </row>
    <row r="11" spans="2:9">
      <c r="B11" s="1271" t="s">
        <v>1207</v>
      </c>
      <c r="C11" s="1271">
        <v>21933</v>
      </c>
      <c r="D11" s="1271"/>
      <c r="F11" s="1228">
        <v>3.08</v>
      </c>
      <c r="G11" s="1228" t="s">
        <v>1217</v>
      </c>
      <c r="H11" s="1228">
        <v>372000</v>
      </c>
    </row>
    <row r="12" spans="2:9">
      <c r="B12" s="1271" t="s">
        <v>1207</v>
      </c>
      <c r="C12" s="1271">
        <v>21933</v>
      </c>
      <c r="D12" s="1271"/>
      <c r="F12" s="1228">
        <v>1.03</v>
      </c>
      <c r="G12" s="1228" t="s">
        <v>1184</v>
      </c>
      <c r="H12" s="1228">
        <v>574000</v>
      </c>
    </row>
    <row r="13" spans="2:9">
      <c r="B13" s="1271" t="s">
        <v>1207</v>
      </c>
      <c r="C13" s="1271">
        <v>34000</v>
      </c>
      <c r="D13" s="1271"/>
      <c r="F13" s="1228">
        <v>8.0299999999999994</v>
      </c>
      <c r="G13" s="1228" t="s">
        <v>1184</v>
      </c>
      <c r="H13" s="1228">
        <v>3839373.16</v>
      </c>
    </row>
    <row r="14" spans="2:9">
      <c r="B14" s="1271" t="s">
        <v>1207</v>
      </c>
      <c r="C14" s="1271">
        <v>47000</v>
      </c>
      <c r="D14" s="1271"/>
    </row>
    <row r="15" spans="2:9">
      <c r="B15" s="1271" t="s">
        <v>1207</v>
      </c>
      <c r="C15" s="1271">
        <v>50000</v>
      </c>
      <c r="D15" s="1271"/>
      <c r="F15" s="1276">
        <v>12.12</v>
      </c>
      <c r="G15" s="1276" t="s">
        <v>1187</v>
      </c>
      <c r="H15" s="1276">
        <v>30000</v>
      </c>
    </row>
    <row r="16" spans="2:9">
      <c r="B16" s="1271" t="s">
        <v>1207</v>
      </c>
      <c r="C16" s="1271">
        <v>60000</v>
      </c>
      <c r="D16" s="1271"/>
      <c r="F16" s="1276">
        <v>14.02</v>
      </c>
      <c r="G16" s="1276" t="s">
        <v>1187</v>
      </c>
      <c r="H16" s="1276">
        <v>35000</v>
      </c>
    </row>
    <row r="17" spans="2:8">
      <c r="B17" s="1271" t="s">
        <v>1207</v>
      </c>
      <c r="C17" s="1271">
        <v>60000</v>
      </c>
      <c r="D17" s="1271"/>
      <c r="F17" s="1276">
        <v>19.11</v>
      </c>
      <c r="G17" s="1276" t="s">
        <v>1187</v>
      </c>
      <c r="H17" s="1276">
        <v>48636</v>
      </c>
    </row>
    <row r="18" spans="2:8">
      <c r="B18" s="1271" t="s">
        <v>1207</v>
      </c>
      <c r="C18" s="1271">
        <v>70000</v>
      </c>
      <c r="D18" s="1271"/>
      <c r="F18" s="1276">
        <v>31.1</v>
      </c>
      <c r="G18" s="1276" t="s">
        <v>1187</v>
      </c>
      <c r="H18" s="1276">
        <v>50000</v>
      </c>
    </row>
    <row r="19" spans="2:8">
      <c r="B19" s="1271" t="s">
        <v>1207</v>
      </c>
      <c r="C19" s="1271">
        <v>73000</v>
      </c>
      <c r="D19" s="1271"/>
      <c r="F19" s="1276">
        <v>2.11</v>
      </c>
      <c r="G19" s="1276" t="s">
        <v>1187</v>
      </c>
      <c r="H19" s="1276">
        <v>50000</v>
      </c>
    </row>
    <row r="20" spans="2:8">
      <c r="B20" s="1271" t="s">
        <v>1207</v>
      </c>
      <c r="C20" s="1271">
        <v>75000</v>
      </c>
      <c r="D20" s="1271"/>
      <c r="F20" s="1276">
        <v>23.08</v>
      </c>
      <c r="G20" s="1276" t="s">
        <v>1187</v>
      </c>
      <c r="H20" s="1276">
        <v>80000</v>
      </c>
    </row>
    <row r="21" spans="2:8">
      <c r="B21" s="1271" t="s">
        <v>1207</v>
      </c>
      <c r="C21" s="1271">
        <v>75000</v>
      </c>
      <c r="D21" s="1271"/>
      <c r="F21" s="1276">
        <v>16.100000000000001</v>
      </c>
      <c r="G21" s="1276" t="s">
        <v>1187</v>
      </c>
      <c r="H21" s="1276">
        <v>90000</v>
      </c>
    </row>
    <row r="22" spans="2:8">
      <c r="B22" s="1271" t="s">
        <v>1207</v>
      </c>
      <c r="C22" s="1271">
        <v>75000</v>
      </c>
      <c r="D22" s="1271"/>
      <c r="F22" s="1276">
        <v>21.08</v>
      </c>
      <c r="G22" s="1276" t="s">
        <v>1187</v>
      </c>
      <c r="H22" s="1276">
        <v>100000</v>
      </c>
    </row>
    <row r="23" spans="2:8">
      <c r="B23" s="1271" t="s">
        <v>1207</v>
      </c>
      <c r="C23" s="1271">
        <v>85000</v>
      </c>
      <c r="D23" s="1271"/>
      <c r="F23" s="1276">
        <v>11.1</v>
      </c>
      <c r="G23" s="1276" t="s">
        <v>1187</v>
      </c>
      <c r="H23" s="1276">
        <v>100000</v>
      </c>
    </row>
    <row r="24" spans="2:8">
      <c r="B24" s="1271" t="s">
        <v>1207</v>
      </c>
      <c r="C24" s="1271">
        <v>90000</v>
      </c>
      <c r="D24" s="1271"/>
      <c r="F24" s="1271">
        <v>14.06</v>
      </c>
      <c r="G24" s="1271" t="s">
        <v>1215</v>
      </c>
      <c r="H24" s="1271">
        <v>125000</v>
      </c>
    </row>
    <row r="25" spans="2:8">
      <c r="B25" s="1271" t="s">
        <v>1207</v>
      </c>
      <c r="C25" s="1271">
        <v>100000</v>
      </c>
      <c r="D25" s="1271"/>
      <c r="F25" s="1276">
        <v>6.11</v>
      </c>
      <c r="G25" s="1276" t="s">
        <v>1187</v>
      </c>
      <c r="H25" s="1276">
        <v>130000</v>
      </c>
    </row>
    <row r="26" spans="2:8">
      <c r="B26" s="1271" t="s">
        <v>1207</v>
      </c>
      <c r="C26" s="1271">
        <v>105000</v>
      </c>
      <c r="D26" s="1271"/>
      <c r="F26" s="1276">
        <v>30.08</v>
      </c>
      <c r="G26" s="1276" t="s">
        <v>1187</v>
      </c>
      <c r="H26" s="1276">
        <v>150000</v>
      </c>
    </row>
    <row r="27" spans="2:8">
      <c r="B27" s="1271" t="s">
        <v>1207</v>
      </c>
      <c r="C27" s="1271">
        <v>151200</v>
      </c>
      <c r="D27" s="1271"/>
      <c r="F27" s="1276">
        <v>12.1</v>
      </c>
      <c r="G27" s="1276" t="s">
        <v>1187</v>
      </c>
      <c r="H27" s="1276">
        <v>150000</v>
      </c>
    </row>
    <row r="28" spans="2:8">
      <c r="B28" s="1271" t="s">
        <v>1207</v>
      </c>
      <c r="C28" s="1271">
        <v>210450</v>
      </c>
      <c r="D28" s="1271"/>
      <c r="F28" s="1276">
        <v>13.06</v>
      </c>
      <c r="G28" s="1276" t="s">
        <v>1187</v>
      </c>
      <c r="H28" s="1276">
        <v>185000</v>
      </c>
    </row>
    <row r="29" spans="2:8">
      <c r="B29" s="1271" t="s">
        <v>1207</v>
      </c>
      <c r="C29" s="1271">
        <v>668000</v>
      </c>
      <c r="D29" s="1271"/>
      <c r="F29" s="1276">
        <v>12.06</v>
      </c>
      <c r="G29" s="1276" t="s">
        <v>1187</v>
      </c>
      <c r="H29" s="1276">
        <v>240000</v>
      </c>
    </row>
    <row r="30" spans="2:8">
      <c r="B30" s="1220"/>
      <c r="C30" s="1220"/>
      <c r="D30" s="1220"/>
      <c r="F30" s="1276">
        <v>31.08</v>
      </c>
      <c r="G30" s="1276" t="s">
        <v>1187</v>
      </c>
      <c r="H30" s="1276">
        <v>240000</v>
      </c>
    </row>
    <row r="31" spans="2:8">
      <c r="B31" s="1134"/>
      <c r="C31" s="1134"/>
      <c r="D31" s="1134"/>
      <c r="F31" s="1276">
        <v>5.09</v>
      </c>
      <c r="G31" s="1276" t="s">
        <v>1187</v>
      </c>
      <c r="H31" s="1276">
        <v>250000</v>
      </c>
    </row>
    <row r="32" spans="2:8">
      <c r="F32" s="1276">
        <v>18.100000000000001</v>
      </c>
      <c r="G32" s="1276" t="s">
        <v>1187</v>
      </c>
      <c r="H32" s="1276">
        <v>395000</v>
      </c>
    </row>
    <row r="33" spans="2:8">
      <c r="F33" s="1276">
        <v>13.12</v>
      </c>
      <c r="G33" s="1276" t="s">
        <v>1187</v>
      </c>
      <c r="H33" s="1276">
        <v>500000</v>
      </c>
    </row>
    <row r="34" spans="2:8">
      <c r="F34" s="1276">
        <v>5.12</v>
      </c>
      <c r="G34" s="1276" t="s">
        <v>1187</v>
      </c>
      <c r="H34" s="1276">
        <v>515000</v>
      </c>
    </row>
    <row r="35" spans="2:8">
      <c r="B35" s="1224" t="s">
        <v>1245</v>
      </c>
      <c r="C35" s="1225"/>
      <c r="D35" s="1225"/>
      <c r="F35" s="1276">
        <v>27.08</v>
      </c>
      <c r="G35" s="1276" t="s">
        <v>1187</v>
      </c>
      <c r="H35" s="1276">
        <v>600000</v>
      </c>
    </row>
    <row r="36" spans="2:8">
      <c r="B36" s="1275">
        <v>18.100000000000001</v>
      </c>
      <c r="C36" s="1275" t="s">
        <v>1198</v>
      </c>
      <c r="D36" s="1275">
        <v>2150</v>
      </c>
      <c r="F36" s="1276">
        <v>8.06</v>
      </c>
      <c r="G36" s="1276" t="s">
        <v>1187</v>
      </c>
      <c r="H36" s="1276">
        <v>800000</v>
      </c>
    </row>
    <row r="37" spans="2:8">
      <c r="B37" s="1275">
        <v>22.1</v>
      </c>
      <c r="C37" s="1275" t="s">
        <v>1184</v>
      </c>
      <c r="D37" s="1275">
        <v>2400</v>
      </c>
      <c r="F37" s="1276">
        <v>27.02</v>
      </c>
      <c r="G37" s="1276" t="s">
        <v>1187</v>
      </c>
      <c r="H37" s="1276">
        <v>1000000</v>
      </c>
    </row>
    <row r="38" spans="2:8">
      <c r="B38" s="1275">
        <v>28.09</v>
      </c>
      <c r="C38" s="1275" t="s">
        <v>1220</v>
      </c>
      <c r="D38" s="1275">
        <v>3000</v>
      </c>
      <c r="F38" s="1228">
        <v>1.03</v>
      </c>
      <c r="G38" s="1228" t="s">
        <v>1184</v>
      </c>
      <c r="H38" s="1228"/>
    </row>
    <row r="39" spans="2:8">
      <c r="B39" s="1272">
        <v>20.059999999999999</v>
      </c>
      <c r="C39" s="1272" t="s">
        <v>1207</v>
      </c>
      <c r="D39" s="1272">
        <v>10000</v>
      </c>
    </row>
    <row r="40" spans="2:8">
      <c r="B40" s="1275">
        <v>3.07</v>
      </c>
      <c r="C40" s="1275" t="s">
        <v>1184</v>
      </c>
      <c r="D40" s="1275">
        <v>10000</v>
      </c>
      <c r="F40" s="1276">
        <v>17.09</v>
      </c>
      <c r="G40" s="1276" t="s">
        <v>1187</v>
      </c>
      <c r="H40" s="1276">
        <v>50000</v>
      </c>
    </row>
    <row r="41" spans="2:8">
      <c r="B41" s="1275">
        <v>25.09</v>
      </c>
      <c r="C41" s="1275" t="s">
        <v>1184</v>
      </c>
      <c r="D41" s="1275">
        <v>10200</v>
      </c>
      <c r="F41" s="1276">
        <v>19.09</v>
      </c>
      <c r="G41" s="1276" t="s">
        <v>1187</v>
      </c>
      <c r="H41" s="1276">
        <v>50000</v>
      </c>
    </row>
    <row r="42" spans="2:8">
      <c r="B42" s="1275">
        <v>12.03</v>
      </c>
      <c r="C42" s="1275" t="s">
        <v>1184</v>
      </c>
      <c r="D42" s="1275">
        <v>10300</v>
      </c>
      <c r="F42" s="1276">
        <v>3.1</v>
      </c>
      <c r="G42" s="1276" t="s">
        <v>1221</v>
      </c>
      <c r="H42" s="1276">
        <v>65000</v>
      </c>
    </row>
    <row r="43" spans="2:8">
      <c r="B43" s="1275">
        <v>17.100000000000001</v>
      </c>
      <c r="C43" s="1275" t="s">
        <v>1184</v>
      </c>
      <c r="D43" s="1275">
        <v>10300</v>
      </c>
      <c r="F43" s="1276">
        <v>8.08</v>
      </c>
      <c r="G43" s="1276" t="s">
        <v>1187</v>
      </c>
      <c r="H43" s="1276">
        <v>80000</v>
      </c>
    </row>
    <row r="44" spans="2:8">
      <c r="B44" s="1275">
        <v>20.059999999999999</v>
      </c>
      <c r="C44" s="1275" t="s">
        <v>1184</v>
      </c>
      <c r="D44" s="1275">
        <v>12700</v>
      </c>
      <c r="F44" s="1276">
        <v>15.08</v>
      </c>
      <c r="G44" s="1276" t="s">
        <v>1187</v>
      </c>
      <c r="H44" s="1276">
        <v>80000</v>
      </c>
    </row>
    <row r="45" spans="2:8">
      <c r="B45" s="1275">
        <v>7.06</v>
      </c>
      <c r="C45" s="1275" t="s">
        <v>1184</v>
      </c>
      <c r="D45" s="1275">
        <v>14000</v>
      </c>
      <c r="F45" s="1276">
        <v>31.07</v>
      </c>
      <c r="G45" s="1276" t="s">
        <v>1187</v>
      </c>
      <c r="H45" s="1276">
        <v>100000</v>
      </c>
    </row>
    <row r="46" spans="2:8">
      <c r="B46" s="1275">
        <v>10.1</v>
      </c>
      <c r="C46" s="1275" t="s">
        <v>1184</v>
      </c>
      <c r="D46" s="1275">
        <v>15000</v>
      </c>
      <c r="F46" s="1276">
        <v>6.08</v>
      </c>
      <c r="G46" s="1276" t="s">
        <v>1187</v>
      </c>
      <c r="H46" s="1276">
        <v>145000</v>
      </c>
    </row>
    <row r="47" spans="2:8">
      <c r="B47" s="1275">
        <v>15.11</v>
      </c>
      <c r="C47" s="1275" t="s">
        <v>1184</v>
      </c>
      <c r="D47" s="1275">
        <v>20000</v>
      </c>
      <c r="F47" s="1276">
        <v>10.07</v>
      </c>
      <c r="G47" s="1276" t="s">
        <v>1187</v>
      </c>
      <c r="H47" s="1276">
        <v>200000</v>
      </c>
    </row>
    <row r="48" spans="2:8">
      <c r="B48" s="1275">
        <v>31.12</v>
      </c>
      <c r="C48" s="1275" t="s">
        <v>1184</v>
      </c>
      <c r="D48" s="1275">
        <v>31000</v>
      </c>
      <c r="F48" s="1276">
        <v>28.09</v>
      </c>
      <c r="G48" s="1276" t="s">
        <v>1187</v>
      </c>
      <c r="H48" s="1276">
        <v>235000</v>
      </c>
    </row>
    <row r="49" spans="2:8">
      <c r="B49" s="1275">
        <v>11.05</v>
      </c>
      <c r="C49" s="1275" t="s">
        <v>1184</v>
      </c>
      <c r="D49" s="1275">
        <v>38000</v>
      </c>
      <c r="F49" s="1276">
        <v>17.09</v>
      </c>
      <c r="G49" s="1276" t="s">
        <v>1187</v>
      </c>
      <c r="H49" s="1276">
        <v>250000</v>
      </c>
    </row>
    <row r="50" spans="2:8">
      <c r="B50" s="1275">
        <v>23.07</v>
      </c>
      <c r="C50" s="1275" t="s">
        <v>1184</v>
      </c>
      <c r="D50" s="1275">
        <v>38000</v>
      </c>
      <c r="F50" s="1276">
        <v>6.07</v>
      </c>
      <c r="G50" s="1276" t="s">
        <v>1187</v>
      </c>
      <c r="H50" s="1276">
        <v>300000</v>
      </c>
    </row>
    <row r="51" spans="2:8">
      <c r="B51" s="1275">
        <v>22.1</v>
      </c>
      <c r="C51" s="1275" t="s">
        <v>1184</v>
      </c>
      <c r="D51" s="1275">
        <v>39300</v>
      </c>
      <c r="F51" s="1276">
        <v>14.09</v>
      </c>
      <c r="G51" s="1276" t="s">
        <v>1187</v>
      </c>
      <c r="H51" s="1276">
        <v>400000</v>
      </c>
    </row>
    <row r="52" spans="2:8">
      <c r="B52" s="1275">
        <v>21.03</v>
      </c>
      <c r="C52" s="1275" t="s">
        <v>1184</v>
      </c>
      <c r="D52" s="1275">
        <v>40000</v>
      </c>
      <c r="F52" s="1276">
        <v>9.07</v>
      </c>
      <c r="G52" s="1276" t="s">
        <v>1187</v>
      </c>
      <c r="H52" s="1276">
        <v>600000</v>
      </c>
    </row>
    <row r="53" spans="2:8">
      <c r="B53" s="1275">
        <v>27.07</v>
      </c>
      <c r="C53" s="1275" t="s">
        <v>1184</v>
      </c>
      <c r="D53" s="1275">
        <v>50000</v>
      </c>
      <c r="F53" s="1276">
        <v>16.010000000000002</v>
      </c>
      <c r="G53" s="1276" t="s">
        <v>1202</v>
      </c>
      <c r="H53" s="1276">
        <v>800000</v>
      </c>
    </row>
    <row r="54" spans="2:8">
      <c r="B54" s="1275">
        <v>17.09</v>
      </c>
      <c r="C54" s="1275" t="s">
        <v>1184</v>
      </c>
      <c r="D54" s="1275">
        <v>53100</v>
      </c>
      <c r="F54" s="1276">
        <v>10.039999999999999</v>
      </c>
      <c r="G54" s="1276" t="s">
        <v>1187</v>
      </c>
      <c r="H54" s="1276">
        <v>1000000</v>
      </c>
    </row>
    <row r="55" spans="2:8">
      <c r="B55" s="1275">
        <v>20.079999999999998</v>
      </c>
      <c r="C55" s="1275" t="s">
        <v>1184</v>
      </c>
      <c r="D55" s="1275">
        <v>62000</v>
      </c>
      <c r="F55" s="1276">
        <v>30.05</v>
      </c>
      <c r="G55" s="1276" t="s">
        <v>1187</v>
      </c>
      <c r="H55" s="1276">
        <v>1000000</v>
      </c>
    </row>
    <row r="56" spans="2:8">
      <c r="B56" s="1275">
        <v>25.04</v>
      </c>
      <c r="C56" s="1275" t="s">
        <v>1211</v>
      </c>
      <c r="D56" s="1275">
        <v>62963</v>
      </c>
      <c r="F56" s="1276">
        <v>10.07</v>
      </c>
      <c r="G56" s="1276" t="s">
        <v>1187</v>
      </c>
      <c r="H56" s="1276">
        <v>1000000</v>
      </c>
    </row>
    <row r="57" spans="2:8">
      <c r="B57" s="1275">
        <v>25.05</v>
      </c>
      <c r="C57" s="1275" t="s">
        <v>1184</v>
      </c>
      <c r="D57" s="1275">
        <v>66114</v>
      </c>
      <c r="F57" s="1276">
        <v>16.079999999999998</v>
      </c>
      <c r="G57" s="1276" t="s">
        <v>1187</v>
      </c>
      <c r="H57" s="1276">
        <v>1100000</v>
      </c>
    </row>
    <row r="58" spans="2:8">
      <c r="B58" s="1275">
        <v>10.09</v>
      </c>
      <c r="C58" s="1275" t="s">
        <v>1184</v>
      </c>
      <c r="D58" s="1275">
        <v>69900</v>
      </c>
      <c r="F58" s="1276">
        <v>30.04</v>
      </c>
      <c r="G58" s="1276" t="s">
        <v>1187</v>
      </c>
      <c r="H58" s="1276">
        <v>1300000</v>
      </c>
    </row>
    <row r="59" spans="2:8">
      <c r="B59" s="1275">
        <v>9.11</v>
      </c>
      <c r="C59" s="1275" t="s">
        <v>1184</v>
      </c>
      <c r="D59" s="1275">
        <v>69900</v>
      </c>
      <c r="F59" s="1276">
        <v>27.03</v>
      </c>
      <c r="G59" s="1276" t="s">
        <v>1202</v>
      </c>
      <c r="H59" s="1276">
        <v>2000000</v>
      </c>
    </row>
    <row r="60" spans="2:8">
      <c r="B60" s="1275">
        <v>12.03</v>
      </c>
      <c r="C60" s="1275" t="s">
        <v>1184</v>
      </c>
      <c r="D60" s="1275">
        <v>70000</v>
      </c>
    </row>
    <row r="61" spans="2:8">
      <c r="B61" s="1275">
        <v>12.06</v>
      </c>
      <c r="C61" s="1275" t="s">
        <v>1184</v>
      </c>
      <c r="D61" s="1275">
        <v>70000</v>
      </c>
    </row>
    <row r="62" spans="2:8">
      <c r="B62" s="1275">
        <v>10.08</v>
      </c>
      <c r="C62" s="1275" t="s">
        <v>1184</v>
      </c>
      <c r="D62" s="1275">
        <v>70000</v>
      </c>
    </row>
    <row r="63" spans="2:8">
      <c r="B63" s="1275">
        <v>23.05</v>
      </c>
      <c r="C63" s="1275" t="s">
        <v>1184</v>
      </c>
      <c r="D63" s="1275">
        <v>75000</v>
      </c>
    </row>
    <row r="64" spans="2:8">
      <c r="B64" s="1275">
        <v>9.0500000000000007</v>
      </c>
      <c r="C64" s="1275" t="s">
        <v>1184</v>
      </c>
      <c r="D64" s="1275">
        <v>76000</v>
      </c>
    </row>
    <row r="65" spans="2:4">
      <c r="B65" s="1275">
        <v>11.09</v>
      </c>
      <c r="C65" s="1275" t="s">
        <v>1184</v>
      </c>
      <c r="D65" s="1275">
        <v>76970</v>
      </c>
    </row>
    <row r="66" spans="2:4">
      <c r="B66" s="1275">
        <v>21.06</v>
      </c>
      <c r="C66" s="1275" t="s">
        <v>1184</v>
      </c>
      <c r="D66" s="1275">
        <v>80000</v>
      </c>
    </row>
    <row r="67" spans="2:4">
      <c r="B67" s="1275">
        <v>11.1</v>
      </c>
      <c r="C67" s="1275" t="s">
        <v>1184</v>
      </c>
      <c r="D67" s="1275">
        <v>80000</v>
      </c>
    </row>
    <row r="68" spans="2:4">
      <c r="B68" s="1272">
        <v>10.07</v>
      </c>
      <c r="C68" s="1272" t="s">
        <v>840</v>
      </c>
      <c r="D68" s="1272">
        <v>82000</v>
      </c>
    </row>
    <row r="69" spans="2:4">
      <c r="B69" s="1275">
        <v>3.07</v>
      </c>
      <c r="C69" s="1275" t="s">
        <v>1184</v>
      </c>
      <c r="D69" s="1275">
        <v>98000</v>
      </c>
    </row>
    <row r="70" spans="2:4">
      <c r="B70" s="1275">
        <v>13.04</v>
      </c>
      <c r="C70" s="1275" t="s">
        <v>1184</v>
      </c>
      <c r="D70" s="1275">
        <v>100000</v>
      </c>
    </row>
    <row r="71" spans="2:4">
      <c r="B71" s="1275">
        <v>10.050000000000001</v>
      </c>
      <c r="C71" s="1275" t="s">
        <v>1184</v>
      </c>
      <c r="D71" s="1275">
        <v>100000</v>
      </c>
    </row>
    <row r="72" spans="2:4">
      <c r="B72" s="1275">
        <v>11.04</v>
      </c>
      <c r="C72" s="1275" t="s">
        <v>1184</v>
      </c>
      <c r="D72" s="1275">
        <v>129000</v>
      </c>
    </row>
    <row r="73" spans="2:4">
      <c r="B73" s="1275">
        <v>12.09</v>
      </c>
      <c r="C73" s="1275" t="s">
        <v>1184</v>
      </c>
      <c r="D73" s="1275">
        <v>140500</v>
      </c>
    </row>
    <row r="74" spans="2:4">
      <c r="B74" s="1275">
        <v>27.08</v>
      </c>
      <c r="C74" s="1275" t="s">
        <v>1218</v>
      </c>
      <c r="D74" s="1275">
        <v>182000</v>
      </c>
    </row>
    <row r="75" spans="2:4">
      <c r="B75" s="1275">
        <v>15.03</v>
      </c>
      <c r="C75" s="1275" t="s">
        <v>1184</v>
      </c>
      <c r="D75" s="1275">
        <v>190000</v>
      </c>
    </row>
    <row r="76" spans="2:4">
      <c r="B76" s="1275">
        <v>11.1</v>
      </c>
      <c r="C76" s="1275" t="s">
        <v>1184</v>
      </c>
      <c r="D76" s="1275">
        <v>198000</v>
      </c>
    </row>
    <row r="77" spans="2:4">
      <c r="B77" s="1275">
        <v>11.07</v>
      </c>
      <c r="C77" s="1275" t="s">
        <v>1184</v>
      </c>
      <c r="D77" s="1275">
        <v>200000</v>
      </c>
    </row>
    <row r="78" spans="2:4">
      <c r="B78" s="1275">
        <v>27.03</v>
      </c>
      <c r="C78" s="1275" t="s">
        <v>1184</v>
      </c>
      <c r="D78" s="1275">
        <v>220000</v>
      </c>
    </row>
    <row r="79" spans="2:4">
      <c r="B79" s="1275">
        <v>3.05</v>
      </c>
      <c r="C79" s="1275" t="s">
        <v>1184</v>
      </c>
      <c r="D79" s="1275">
        <v>280600</v>
      </c>
    </row>
    <row r="80" spans="2:4">
      <c r="B80" s="1275">
        <v>3.05</v>
      </c>
      <c r="C80" s="1275" t="s">
        <v>1184</v>
      </c>
      <c r="D80" s="1275">
        <v>378810</v>
      </c>
    </row>
    <row r="81" spans="2:4">
      <c r="B81" s="1275">
        <v>1.1000000000000001</v>
      </c>
      <c r="C81" s="1275" t="s">
        <v>1184</v>
      </c>
      <c r="D81" s="1275">
        <v>421830</v>
      </c>
    </row>
    <row r="82" spans="2:4">
      <c r="B82" s="1275">
        <v>7.08</v>
      </c>
      <c r="C82" s="1275" t="s">
        <v>1184</v>
      </c>
      <c r="D82" s="1275">
        <v>430000</v>
      </c>
    </row>
    <row r="83" spans="2:4">
      <c r="B83" s="1275">
        <v>13.08</v>
      </c>
      <c r="C83" s="1275" t="s">
        <v>1184</v>
      </c>
      <c r="D83" s="1275">
        <v>572000</v>
      </c>
    </row>
    <row r="84" spans="2:4">
      <c r="B84" s="1275">
        <v>15.08</v>
      </c>
      <c r="C84" s="1275" t="s">
        <v>1184</v>
      </c>
      <c r="D84" s="1275">
        <v>723000</v>
      </c>
    </row>
    <row r="85" spans="2:4">
      <c r="B85" s="1275">
        <v>24.08</v>
      </c>
      <c r="C85" s="1275" t="s">
        <v>1184</v>
      </c>
      <c r="D85" s="1275">
        <v>735000</v>
      </c>
    </row>
    <row r="86" spans="2:4">
      <c r="B86" s="1275">
        <v>27.02</v>
      </c>
      <c r="C86" s="1275" t="s">
        <v>1184</v>
      </c>
      <c r="D86" s="1275">
        <v>1000000</v>
      </c>
    </row>
    <row r="87" spans="2:4">
      <c r="B87" s="1275">
        <v>2.04</v>
      </c>
      <c r="C87" s="1275" t="s">
        <v>1184</v>
      </c>
      <c r="D87" s="1275">
        <v>2107500</v>
      </c>
    </row>
    <row r="88" spans="2:4">
      <c r="B88" s="1275">
        <v>3.01</v>
      </c>
      <c r="C88" s="1275" t="s">
        <v>1184</v>
      </c>
      <c r="D88" s="1275">
        <v>2780000</v>
      </c>
    </row>
    <row r="89" spans="2:4">
      <c r="B89" s="1225"/>
      <c r="C89" s="1225"/>
      <c r="D89" s="1225"/>
    </row>
    <row r="90" spans="2:4">
      <c r="B90" s="1225"/>
      <c r="C90" s="1225"/>
      <c r="D90" s="1225"/>
    </row>
    <row r="97" spans="2:4">
      <c r="B97" s="1276">
        <v>7.02</v>
      </c>
      <c r="C97" s="1276" t="s">
        <v>1196</v>
      </c>
      <c r="D97" s="1276">
        <v>4163.5499999999993</v>
      </c>
    </row>
    <row r="98" spans="2:4">
      <c r="B98" s="1276">
        <v>6.04</v>
      </c>
      <c r="C98" s="1276" t="s">
        <v>1196</v>
      </c>
      <c r="D98" s="1276">
        <v>8150</v>
      </c>
    </row>
    <row r="99" spans="2:4">
      <c r="B99" s="1276">
        <v>1.03</v>
      </c>
      <c r="C99" s="1276" t="s">
        <v>1196</v>
      </c>
      <c r="D99" s="1276">
        <v>20249</v>
      </c>
    </row>
    <row r="100" spans="2:4">
      <c r="B100" s="1276">
        <v>12.06</v>
      </c>
      <c r="C100" s="1276" t="s">
        <v>1214</v>
      </c>
      <c r="D100" s="1276">
        <v>172000</v>
      </c>
    </row>
    <row r="101" spans="2:4">
      <c r="B101" s="1276">
        <v>14.12</v>
      </c>
      <c r="C101" s="1276" t="s">
        <v>1222</v>
      </c>
      <c r="D101" s="1276">
        <v>184000</v>
      </c>
    </row>
    <row r="102" spans="2:4">
      <c r="B102" s="1276">
        <v>30.04</v>
      </c>
      <c r="C102" s="1276" t="s">
        <v>1196</v>
      </c>
      <c r="D102" s="1276">
        <v>800000</v>
      </c>
    </row>
    <row r="103" spans="2:4">
      <c r="B103" s="1276">
        <v>6.04</v>
      </c>
      <c r="C103" s="1276" t="s">
        <v>1196</v>
      </c>
      <c r="D103" s="1276">
        <v>980000</v>
      </c>
    </row>
    <row r="125" spans="2:13">
      <c r="K125" s="1273" t="s">
        <v>1250</v>
      </c>
      <c r="L125" s="1271"/>
      <c r="M125" s="1222"/>
    </row>
    <row r="126" spans="2:13">
      <c r="B126" s="1273" t="s">
        <v>1248</v>
      </c>
      <c r="C126" s="1271"/>
      <c r="D126" s="1271"/>
      <c r="G126" s="1222">
        <v>22.08</v>
      </c>
      <c r="H126" s="1222" t="s">
        <v>1196</v>
      </c>
      <c r="I126" s="1222">
        <v>20000</v>
      </c>
      <c r="K126" s="1277" t="s">
        <v>1241</v>
      </c>
      <c r="L126" s="1278">
        <v>200</v>
      </c>
      <c r="M126" s="1222"/>
    </row>
    <row r="127" spans="2:13">
      <c r="B127" s="1271">
        <v>30.1</v>
      </c>
      <c r="C127" s="1271" t="s">
        <v>1207</v>
      </c>
      <c r="D127" s="1271">
        <v>850</v>
      </c>
      <c r="G127" s="1222">
        <v>17.09</v>
      </c>
      <c r="H127" s="1222" t="s">
        <v>1196</v>
      </c>
      <c r="I127" s="1222">
        <v>5000</v>
      </c>
      <c r="K127" s="1277" t="s">
        <v>1207</v>
      </c>
      <c r="L127" s="1278">
        <v>250</v>
      </c>
      <c r="M127" s="1222"/>
    </row>
    <row r="128" spans="2:13">
      <c r="B128" s="1271">
        <v>14.09</v>
      </c>
      <c r="C128" s="1271" t="s">
        <v>1207</v>
      </c>
      <c r="D128" s="1271">
        <v>1000</v>
      </c>
      <c r="K128" s="1277" t="s">
        <v>1207</v>
      </c>
      <c r="L128" s="1278">
        <v>400</v>
      </c>
      <c r="M128" s="1222"/>
    </row>
    <row r="129" spans="2:13">
      <c r="B129" s="1271">
        <v>24.07</v>
      </c>
      <c r="C129" s="1271" t="s">
        <v>1207</v>
      </c>
      <c r="D129" s="1271">
        <v>5050</v>
      </c>
      <c r="K129" s="1277" t="s">
        <v>1229</v>
      </c>
      <c r="L129" s="1278">
        <v>5000</v>
      </c>
      <c r="M129" s="1222"/>
    </row>
    <row r="130" spans="2:13">
      <c r="B130" s="1271">
        <v>31.07</v>
      </c>
      <c r="C130" s="1271" t="s">
        <v>1230</v>
      </c>
      <c r="D130" s="1271">
        <v>7500</v>
      </c>
      <c r="K130" s="1277" t="s">
        <v>1184</v>
      </c>
      <c r="L130" s="1278">
        <v>5329</v>
      </c>
      <c r="M130" s="1222"/>
    </row>
    <row r="131" spans="2:13">
      <c r="B131" s="1271">
        <v>31.07</v>
      </c>
      <c r="C131" s="1271" t="s">
        <v>1230</v>
      </c>
      <c r="D131" s="1271">
        <v>15000</v>
      </c>
      <c r="G131" s="1235" t="s">
        <v>1223</v>
      </c>
      <c r="H131" s="1223">
        <v>20000</v>
      </c>
      <c r="K131" s="1277" t="s">
        <v>1228</v>
      </c>
      <c r="L131" s="1278">
        <v>15000</v>
      </c>
      <c r="M131" s="1222"/>
    </row>
    <row r="132" spans="2:13">
      <c r="G132" s="1235" t="s">
        <v>1226</v>
      </c>
      <c r="H132" s="1223">
        <v>20000</v>
      </c>
      <c r="K132" s="1277" t="s">
        <v>1227</v>
      </c>
      <c r="L132" s="1278">
        <v>52000</v>
      </c>
      <c r="M132" s="1222"/>
    </row>
    <row r="133" spans="2:13">
      <c r="G133" s="1235" t="s">
        <v>1233</v>
      </c>
      <c r="H133" s="1223">
        <v>18000</v>
      </c>
      <c r="K133" s="1271"/>
      <c r="L133" s="1271"/>
      <c r="M133" s="1222"/>
    </row>
    <row r="134" spans="2:13">
      <c r="G134" s="1235" t="s">
        <v>1223</v>
      </c>
      <c r="H134" s="1223">
        <v>16730</v>
      </c>
      <c r="K134" s="1271" t="s">
        <v>1240</v>
      </c>
      <c r="L134" s="1271">
        <v>987</v>
      </c>
    </row>
    <row r="135" spans="2:13">
      <c r="B135" s="1221" t="s">
        <v>1249</v>
      </c>
      <c r="C135" s="1222"/>
      <c r="D135" s="1222"/>
      <c r="G135" s="1235" t="s">
        <v>1187</v>
      </c>
      <c r="H135" s="1223">
        <v>10500</v>
      </c>
    </row>
    <row r="136" spans="2:13">
      <c r="B136" s="1228">
        <v>30.08</v>
      </c>
      <c r="C136" s="1228" t="s">
        <v>1234</v>
      </c>
      <c r="D136" s="1228">
        <v>585</v>
      </c>
      <c r="G136" s="1235" t="s">
        <v>1223</v>
      </c>
      <c r="H136" s="1223">
        <v>10000</v>
      </c>
    </row>
    <row r="137" spans="2:13">
      <c r="B137" s="1228">
        <v>27.08</v>
      </c>
      <c r="C137" s="1228" t="s">
        <v>1190</v>
      </c>
      <c r="D137" s="1228">
        <v>710</v>
      </c>
      <c r="G137" s="1235" t="s">
        <v>1223</v>
      </c>
      <c r="H137" s="1223">
        <v>8000</v>
      </c>
    </row>
    <row r="138" spans="2:13">
      <c r="B138" s="1228">
        <v>14.09</v>
      </c>
      <c r="C138" s="1228" t="s">
        <v>1184</v>
      </c>
      <c r="D138" s="1228">
        <v>2250</v>
      </c>
      <c r="G138" s="1235" t="s">
        <v>1223</v>
      </c>
      <c r="H138" s="1223">
        <v>7850</v>
      </c>
    </row>
    <row r="139" spans="2:13">
      <c r="B139" s="1228">
        <v>29.1</v>
      </c>
      <c r="C139" s="1228" t="s">
        <v>1184</v>
      </c>
      <c r="D139" s="1228">
        <v>3000</v>
      </c>
      <c r="G139" s="1235" t="s">
        <v>1232</v>
      </c>
      <c r="H139" s="1223">
        <v>6900</v>
      </c>
    </row>
    <row r="140" spans="2:13">
      <c r="B140" s="1228">
        <v>6.08</v>
      </c>
      <c r="C140" s="1228" t="s">
        <v>1231</v>
      </c>
      <c r="D140" s="1228">
        <v>4700</v>
      </c>
      <c r="G140" s="1235" t="s">
        <v>1238</v>
      </c>
      <c r="H140" s="1223">
        <v>6000</v>
      </c>
    </row>
    <row r="141" spans="2:13">
      <c r="B141" s="1228">
        <v>30.08</v>
      </c>
      <c r="C141" s="1228" t="s">
        <v>1190</v>
      </c>
      <c r="D141" s="1228">
        <v>5000</v>
      </c>
      <c r="G141" s="1235" t="s">
        <v>1238</v>
      </c>
      <c r="H141" s="1223">
        <v>5960</v>
      </c>
    </row>
    <row r="142" spans="2:13">
      <c r="B142" s="1228">
        <v>1.1000000000000001</v>
      </c>
      <c r="C142" s="1228" t="s">
        <v>1184</v>
      </c>
      <c r="D142" s="1228">
        <v>6500</v>
      </c>
      <c r="G142" s="1235" t="s">
        <v>1187</v>
      </c>
      <c r="H142" s="1223">
        <v>5885</v>
      </c>
    </row>
    <row r="143" spans="2:13">
      <c r="B143" s="1228">
        <v>4.09</v>
      </c>
      <c r="C143" s="1228" t="s">
        <v>1237</v>
      </c>
      <c r="D143" s="1228">
        <v>6800</v>
      </c>
      <c r="G143" s="1235" t="s">
        <v>1223</v>
      </c>
      <c r="H143" s="1223">
        <v>5000</v>
      </c>
    </row>
    <row r="144" spans="2:13">
      <c r="B144" s="1228">
        <v>21.09</v>
      </c>
      <c r="C144" s="1228" t="s">
        <v>1239</v>
      </c>
      <c r="D144" s="1228">
        <v>6900</v>
      </c>
      <c r="G144" s="1235" t="s">
        <v>1187</v>
      </c>
      <c r="H144" s="1223">
        <v>5000</v>
      </c>
    </row>
    <row r="145" spans="2:8">
      <c r="B145" s="1228">
        <v>2.11</v>
      </c>
      <c r="C145" s="1228" t="s">
        <v>1184</v>
      </c>
      <c r="D145" s="1228">
        <v>7800</v>
      </c>
      <c r="G145" s="1235" t="s">
        <v>1223</v>
      </c>
      <c r="H145" s="1223">
        <v>3870</v>
      </c>
    </row>
    <row r="146" spans="2:8">
      <c r="B146" s="1228">
        <v>3.05</v>
      </c>
      <c r="C146" s="1228" t="s">
        <v>1184</v>
      </c>
      <c r="D146" s="1228">
        <v>13300</v>
      </c>
      <c r="G146" s="1235" t="s">
        <v>1235</v>
      </c>
      <c r="H146" s="1223">
        <v>3750</v>
      </c>
    </row>
    <row r="147" spans="2:8">
      <c r="B147" s="1228">
        <v>2.04</v>
      </c>
      <c r="C147" s="1228" t="s">
        <v>1224</v>
      </c>
      <c r="D147" s="1228">
        <v>15000</v>
      </c>
      <c r="G147" s="1235" t="s">
        <v>1187</v>
      </c>
      <c r="H147" s="1223">
        <v>3005</v>
      </c>
    </row>
    <row r="148" spans="2:8">
      <c r="B148" s="1228">
        <v>1.1000000000000001</v>
      </c>
      <c r="C148" s="1228" t="s">
        <v>1236</v>
      </c>
      <c r="D148" s="1228">
        <v>16650</v>
      </c>
      <c r="G148" s="1235" t="s">
        <v>1223</v>
      </c>
      <c r="H148" s="1223">
        <v>2700</v>
      </c>
    </row>
    <row r="149" spans="2:8">
      <c r="B149" s="1228">
        <v>4.09</v>
      </c>
      <c r="C149" s="1228" t="s">
        <v>1236</v>
      </c>
      <c r="D149" s="1228">
        <v>19000</v>
      </c>
      <c r="G149" s="1235" t="s">
        <v>1223</v>
      </c>
      <c r="H149" s="1223">
        <v>2000</v>
      </c>
    </row>
    <row r="150" spans="2:8">
      <c r="B150" s="1228">
        <v>8.06</v>
      </c>
      <c r="C150" s="1228" t="s">
        <v>1184</v>
      </c>
      <c r="D150" s="1228">
        <v>20000</v>
      </c>
      <c r="G150" s="1235" t="s">
        <v>1187</v>
      </c>
      <c r="H150" s="1223">
        <v>2000</v>
      </c>
    </row>
    <row r="151" spans="2:8">
      <c r="B151" s="1228">
        <v>2.0699999999999998</v>
      </c>
      <c r="C151" s="1228" t="s">
        <v>1184</v>
      </c>
      <c r="D151" s="1228">
        <v>21000</v>
      </c>
      <c r="G151" s="1235" t="s">
        <v>1187</v>
      </c>
      <c r="H151" s="1223">
        <v>1500</v>
      </c>
    </row>
    <row r="152" spans="2:8">
      <c r="B152" s="1228">
        <v>17.07</v>
      </c>
      <c r="C152" s="1228" t="s">
        <v>1184</v>
      </c>
      <c r="D152" s="1228">
        <v>42000</v>
      </c>
      <c r="G152" s="1235" t="s">
        <v>1187</v>
      </c>
      <c r="H152" s="1223">
        <v>1490</v>
      </c>
    </row>
    <row r="153" spans="2:8">
      <c r="G153" s="1235" t="s">
        <v>1225</v>
      </c>
      <c r="H153" s="1223">
        <v>1200</v>
      </c>
    </row>
    <row r="154" spans="2:8">
      <c r="G154" s="1235" t="s">
        <v>1187</v>
      </c>
      <c r="H154" s="1223">
        <v>500</v>
      </c>
    </row>
    <row r="155" spans="2:8">
      <c r="G155" s="1235" t="s">
        <v>1223</v>
      </c>
      <c r="H155" s="1223">
        <v>100</v>
      </c>
    </row>
    <row r="156" spans="2:8">
      <c r="G156" s="1235" t="s">
        <v>1235</v>
      </c>
      <c r="H156" s="1223">
        <v>100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Q110"/>
  <sheetViews>
    <sheetView workbookViewId="0">
      <selection activeCell="D115" sqref="A115:D120"/>
    </sheetView>
  </sheetViews>
  <sheetFormatPr defaultRowHeight="12.75"/>
  <cols>
    <col min="3" max="3" width="12" customWidth="1"/>
    <col min="4" max="4" width="12.85546875" style="156" bestFit="1" customWidth="1"/>
    <col min="7" max="7" width="12.85546875" style="156" bestFit="1" customWidth="1"/>
    <col min="10" max="10" width="13.5703125" customWidth="1"/>
    <col min="11" max="11" width="14" style="156" bestFit="1" customWidth="1"/>
    <col min="14" max="14" width="14" customWidth="1"/>
    <col min="15" max="15" width="12.85546875" style="156" bestFit="1" customWidth="1"/>
    <col min="16" max="17" width="9.140625" style="156"/>
  </cols>
  <sheetData>
    <row r="1" spans="1:16">
      <c r="A1" s="16"/>
      <c r="B1" s="17"/>
      <c r="C1" s="17"/>
      <c r="D1" s="159"/>
      <c r="E1" s="17"/>
      <c r="F1" s="17"/>
      <c r="G1" s="159"/>
      <c r="H1" s="18"/>
      <c r="I1" s="17"/>
      <c r="J1" s="17"/>
      <c r="K1" s="159"/>
      <c r="L1" s="17"/>
      <c r="M1" s="17"/>
      <c r="N1" s="17"/>
      <c r="O1" s="159"/>
      <c r="P1" s="1282"/>
    </row>
    <row r="2" spans="1:16">
      <c r="A2" s="5"/>
      <c r="B2" s="1"/>
      <c r="C2" s="1"/>
      <c r="D2" s="120"/>
      <c r="E2" s="1"/>
      <c r="F2" s="1"/>
      <c r="G2" s="120"/>
      <c r="H2" s="6"/>
      <c r="I2" s="27" t="s">
        <v>1254</v>
      </c>
      <c r="J2" s="1"/>
      <c r="K2" s="120"/>
      <c r="L2" s="1"/>
      <c r="M2" s="1"/>
      <c r="N2" s="1"/>
      <c r="O2" s="120"/>
      <c r="P2" s="1226"/>
    </row>
    <row r="3" spans="1:16">
      <c r="A3" s="5"/>
      <c r="B3" s="27" t="s">
        <v>1252</v>
      </c>
      <c r="C3" s="1"/>
      <c r="D3" s="120"/>
      <c r="E3" s="1"/>
      <c r="F3" s="1585" t="s">
        <v>1253</v>
      </c>
      <c r="G3" s="1585"/>
      <c r="H3" s="6"/>
      <c r="I3" s="1"/>
      <c r="J3" s="1"/>
      <c r="K3" s="120"/>
      <c r="L3" s="1"/>
      <c r="M3" s="27" t="s">
        <v>1257</v>
      </c>
      <c r="N3" s="1"/>
      <c r="O3" s="120"/>
      <c r="P3" s="1226"/>
    </row>
    <row r="4" spans="1:16">
      <c r="A4" s="5"/>
      <c r="B4" s="1">
        <v>7.04</v>
      </c>
      <c r="C4" s="1" t="s">
        <v>1197</v>
      </c>
      <c r="D4" s="120">
        <v>800000</v>
      </c>
      <c r="E4" s="1"/>
      <c r="F4" s="1" t="s">
        <v>1207</v>
      </c>
      <c r="G4" s="120">
        <v>5396</v>
      </c>
      <c r="H4" s="6"/>
      <c r="I4" s="1">
        <v>18.100000000000001</v>
      </c>
      <c r="J4" s="1" t="s">
        <v>1198</v>
      </c>
      <c r="K4" s="120">
        <v>2150</v>
      </c>
      <c r="L4" s="1"/>
      <c r="M4" s="1">
        <v>30.08</v>
      </c>
      <c r="N4" s="1" t="s">
        <v>1234</v>
      </c>
      <c r="O4" s="120">
        <v>585</v>
      </c>
      <c r="P4" s="1226"/>
    </row>
    <row r="5" spans="1:16">
      <c r="A5" s="5"/>
      <c r="B5" s="1">
        <v>8.0299999999999994</v>
      </c>
      <c r="C5" s="1" t="s">
        <v>1195</v>
      </c>
      <c r="D5" s="120">
        <v>992000</v>
      </c>
      <c r="E5" s="1"/>
      <c r="F5" s="1" t="s">
        <v>1207</v>
      </c>
      <c r="G5" s="120">
        <v>9000</v>
      </c>
      <c r="H5" s="6"/>
      <c r="I5" s="1">
        <v>22.1</v>
      </c>
      <c r="J5" s="1" t="s">
        <v>1184</v>
      </c>
      <c r="K5" s="120">
        <v>2400</v>
      </c>
      <c r="L5" s="1"/>
      <c r="M5" s="1">
        <v>27.08</v>
      </c>
      <c r="N5" s="1" t="s">
        <v>1190</v>
      </c>
      <c r="O5" s="120">
        <v>710</v>
      </c>
      <c r="P5" s="1226"/>
    </row>
    <row r="6" spans="1:16">
      <c r="A6" s="5"/>
      <c r="B6" s="1">
        <v>14.06</v>
      </c>
      <c r="C6" s="1" t="s">
        <v>1215</v>
      </c>
      <c r="D6" s="120">
        <v>125000</v>
      </c>
      <c r="E6" s="1"/>
      <c r="F6" s="1" t="s">
        <v>1207</v>
      </c>
      <c r="G6" s="120">
        <v>9700</v>
      </c>
      <c r="H6" s="6"/>
      <c r="I6" s="1">
        <v>28.09</v>
      </c>
      <c r="J6" s="1" t="s">
        <v>1220</v>
      </c>
      <c r="K6" s="120">
        <v>3000</v>
      </c>
      <c r="L6" s="1"/>
      <c r="M6" s="1">
        <v>14.09</v>
      </c>
      <c r="N6" s="1" t="s">
        <v>1184</v>
      </c>
      <c r="O6" s="120">
        <v>2250</v>
      </c>
      <c r="P6" s="1226"/>
    </row>
    <row r="7" spans="1:16">
      <c r="A7" s="5"/>
      <c r="B7" s="1622" t="s">
        <v>344</v>
      </c>
      <c r="C7" s="1622"/>
      <c r="D7" s="1283">
        <f>SUM(D4:D6)</f>
        <v>1917000</v>
      </c>
      <c r="E7" s="1"/>
      <c r="F7" s="1" t="s">
        <v>1207</v>
      </c>
      <c r="G7" s="120">
        <v>9800</v>
      </c>
      <c r="H7" s="6"/>
      <c r="I7" s="1">
        <v>3.07</v>
      </c>
      <c r="J7" s="1" t="s">
        <v>1184</v>
      </c>
      <c r="K7" s="120">
        <v>10000</v>
      </c>
      <c r="L7" s="1"/>
      <c r="M7" s="1">
        <v>29.1</v>
      </c>
      <c r="N7" s="1" t="s">
        <v>1184</v>
      </c>
      <c r="O7" s="120">
        <v>3000</v>
      </c>
      <c r="P7" s="1226"/>
    </row>
    <row r="8" spans="1:16">
      <c r="A8" s="5"/>
      <c r="B8" s="1"/>
      <c r="C8" s="1" t="s">
        <v>1241</v>
      </c>
      <c r="D8" s="120">
        <v>200</v>
      </c>
      <c r="E8" s="1"/>
      <c r="F8" s="1" t="s">
        <v>1207</v>
      </c>
      <c r="G8" s="120">
        <v>10000</v>
      </c>
      <c r="H8" s="6"/>
      <c r="I8" s="1">
        <v>25.09</v>
      </c>
      <c r="J8" s="1" t="s">
        <v>1184</v>
      </c>
      <c r="K8" s="120">
        <v>10200</v>
      </c>
      <c r="L8" s="1"/>
      <c r="M8" s="1">
        <v>6.08</v>
      </c>
      <c r="N8" s="1" t="s">
        <v>1231</v>
      </c>
      <c r="O8" s="120">
        <v>4700</v>
      </c>
      <c r="P8" s="1226"/>
    </row>
    <row r="9" spans="1:16">
      <c r="A9" s="5"/>
      <c r="B9" s="1"/>
      <c r="C9" s="1" t="s">
        <v>1207</v>
      </c>
      <c r="D9" s="120">
        <v>250</v>
      </c>
      <c r="E9" s="1"/>
      <c r="F9" s="1" t="s">
        <v>1207</v>
      </c>
      <c r="G9" s="120">
        <v>10000</v>
      </c>
      <c r="H9" s="6"/>
      <c r="I9" s="1">
        <v>12.03</v>
      </c>
      <c r="J9" s="1" t="s">
        <v>1184</v>
      </c>
      <c r="K9" s="120">
        <v>10300</v>
      </c>
      <c r="L9" s="1"/>
      <c r="M9" s="1">
        <v>30.08</v>
      </c>
      <c r="N9" s="1" t="s">
        <v>1190</v>
      </c>
      <c r="O9" s="120">
        <v>5000</v>
      </c>
      <c r="P9" s="1226"/>
    </row>
    <row r="10" spans="1:16">
      <c r="A10" s="5"/>
      <c r="B10" s="1"/>
      <c r="C10" s="1" t="s">
        <v>1207</v>
      </c>
      <c r="D10" s="120">
        <v>400</v>
      </c>
      <c r="E10" s="1"/>
      <c r="F10" s="1" t="s">
        <v>1207</v>
      </c>
      <c r="G10" s="120">
        <v>10000</v>
      </c>
      <c r="H10" s="6"/>
      <c r="I10" s="1">
        <v>17.100000000000001</v>
      </c>
      <c r="J10" s="1" t="s">
        <v>1184</v>
      </c>
      <c r="K10" s="120">
        <v>10300</v>
      </c>
      <c r="L10" s="1"/>
      <c r="M10" s="1">
        <v>1.1000000000000001</v>
      </c>
      <c r="N10" s="1" t="s">
        <v>1184</v>
      </c>
      <c r="O10" s="120">
        <v>6500</v>
      </c>
      <c r="P10" s="1226"/>
    </row>
    <row r="11" spans="1:16">
      <c r="A11" s="5"/>
      <c r="B11" s="1"/>
      <c r="C11" s="1" t="s">
        <v>1229</v>
      </c>
      <c r="D11" s="120">
        <v>5000</v>
      </c>
      <c r="E11" s="1"/>
      <c r="F11" s="1" t="s">
        <v>1207</v>
      </c>
      <c r="G11" s="120">
        <v>21933</v>
      </c>
      <c r="H11" s="6"/>
      <c r="I11" s="1">
        <v>20.059999999999999</v>
      </c>
      <c r="J11" s="1" t="s">
        <v>1184</v>
      </c>
      <c r="K11" s="120">
        <v>12700</v>
      </c>
      <c r="L11" s="1"/>
      <c r="M11" s="1">
        <v>4.09</v>
      </c>
      <c r="N11" s="1" t="s">
        <v>1237</v>
      </c>
      <c r="O11" s="120">
        <v>6800</v>
      </c>
      <c r="P11" s="1226"/>
    </row>
    <row r="12" spans="1:16">
      <c r="A12" s="5"/>
      <c r="B12" s="1"/>
      <c r="C12" s="1" t="s">
        <v>1184</v>
      </c>
      <c r="D12" s="120">
        <v>5329</v>
      </c>
      <c r="E12" s="1"/>
      <c r="F12" s="1" t="s">
        <v>1207</v>
      </c>
      <c r="G12" s="120">
        <v>21933</v>
      </c>
      <c r="H12" s="6"/>
      <c r="I12" s="1">
        <v>7.06</v>
      </c>
      <c r="J12" s="1" t="s">
        <v>1184</v>
      </c>
      <c r="K12" s="120">
        <v>14000</v>
      </c>
      <c r="L12" s="1"/>
      <c r="M12" s="1">
        <v>21.09</v>
      </c>
      <c r="N12" s="1" t="s">
        <v>1239</v>
      </c>
      <c r="O12" s="120">
        <v>6900</v>
      </c>
      <c r="P12" s="1226"/>
    </row>
    <row r="13" spans="1:16">
      <c r="A13" s="5"/>
      <c r="B13" s="1"/>
      <c r="C13" s="1" t="s">
        <v>1228</v>
      </c>
      <c r="D13" s="120">
        <v>15000</v>
      </c>
      <c r="E13" s="1"/>
      <c r="F13" s="1" t="s">
        <v>1207</v>
      </c>
      <c r="G13" s="120">
        <v>34000</v>
      </c>
      <c r="H13" s="6"/>
      <c r="I13" s="1">
        <v>10.1</v>
      </c>
      <c r="J13" s="1" t="s">
        <v>1184</v>
      </c>
      <c r="K13" s="120">
        <v>15000</v>
      </c>
      <c r="L13" s="1"/>
      <c r="M13" s="1">
        <v>2.11</v>
      </c>
      <c r="N13" s="1" t="s">
        <v>1184</v>
      </c>
      <c r="O13" s="120">
        <v>7800</v>
      </c>
      <c r="P13" s="1226"/>
    </row>
    <row r="14" spans="1:16">
      <c r="A14" s="5"/>
      <c r="B14" s="1"/>
      <c r="C14" s="1" t="s">
        <v>1227</v>
      </c>
      <c r="D14" s="120">
        <v>52000</v>
      </c>
      <c r="E14" s="1"/>
      <c r="F14" s="1" t="s">
        <v>1207</v>
      </c>
      <c r="G14" s="120">
        <v>47000</v>
      </c>
      <c r="H14" s="6"/>
      <c r="I14" s="1">
        <v>15.11</v>
      </c>
      <c r="J14" s="1" t="s">
        <v>1184</v>
      </c>
      <c r="K14" s="120">
        <v>20000</v>
      </c>
      <c r="L14" s="1"/>
      <c r="M14" s="1">
        <v>3.05</v>
      </c>
      <c r="N14" s="1" t="s">
        <v>1184</v>
      </c>
      <c r="O14" s="120">
        <v>13300</v>
      </c>
      <c r="P14" s="1226"/>
    </row>
    <row r="15" spans="1:16">
      <c r="A15" s="5"/>
      <c r="B15" s="1"/>
      <c r="C15" s="1" t="s">
        <v>1240</v>
      </c>
      <c r="D15" s="120">
        <v>987</v>
      </c>
      <c r="E15" s="1"/>
      <c r="F15" s="1" t="s">
        <v>1207</v>
      </c>
      <c r="G15" s="120">
        <v>50000</v>
      </c>
      <c r="H15" s="6"/>
      <c r="I15" s="1">
        <v>31.12</v>
      </c>
      <c r="J15" s="1" t="s">
        <v>1184</v>
      </c>
      <c r="K15" s="120">
        <v>31000</v>
      </c>
      <c r="L15" s="1"/>
      <c r="M15" s="1">
        <v>2.04</v>
      </c>
      <c r="N15" s="1" t="s">
        <v>1224</v>
      </c>
      <c r="O15" s="120">
        <v>15000</v>
      </c>
      <c r="P15" s="1226"/>
    </row>
    <row r="16" spans="1:16">
      <c r="A16" s="5"/>
      <c r="B16" s="1622" t="s">
        <v>345</v>
      </c>
      <c r="C16" s="1623"/>
      <c r="D16" s="1283">
        <f>SUM(D8:D15)</f>
        <v>79166</v>
      </c>
      <c r="E16" s="1"/>
      <c r="F16" s="1" t="s">
        <v>1207</v>
      </c>
      <c r="G16" s="120">
        <v>60000</v>
      </c>
      <c r="H16" s="6"/>
      <c r="I16" s="1">
        <v>11.05</v>
      </c>
      <c r="J16" s="1" t="s">
        <v>1184</v>
      </c>
      <c r="K16" s="120">
        <v>38000</v>
      </c>
      <c r="L16" s="1"/>
      <c r="M16" s="1">
        <v>1.1000000000000001</v>
      </c>
      <c r="N16" s="1" t="s">
        <v>1236</v>
      </c>
      <c r="O16" s="120">
        <v>16650</v>
      </c>
      <c r="P16" s="1226"/>
    </row>
    <row r="17" spans="1:16">
      <c r="A17" s="5"/>
      <c r="B17" s="1"/>
      <c r="C17" s="1"/>
      <c r="D17" s="120"/>
      <c r="E17" s="1"/>
      <c r="F17" s="1" t="s">
        <v>1207</v>
      </c>
      <c r="G17" s="120">
        <v>60000</v>
      </c>
      <c r="H17" s="6"/>
      <c r="I17" s="1">
        <v>23.07</v>
      </c>
      <c r="J17" s="1" t="s">
        <v>1184</v>
      </c>
      <c r="K17" s="120">
        <v>38000</v>
      </c>
      <c r="L17" s="1"/>
      <c r="M17" s="1">
        <v>4.09</v>
      </c>
      <c r="N17" s="1" t="s">
        <v>1236</v>
      </c>
      <c r="O17" s="120">
        <v>19000</v>
      </c>
      <c r="P17" s="1226"/>
    </row>
    <row r="18" spans="1:16">
      <c r="A18" s="5"/>
      <c r="B18" s="1"/>
      <c r="C18" s="1"/>
      <c r="D18" s="120"/>
      <c r="E18" s="1"/>
      <c r="F18" s="1" t="s">
        <v>1207</v>
      </c>
      <c r="G18" s="120">
        <v>70000</v>
      </c>
      <c r="H18" s="6"/>
      <c r="I18" s="1">
        <v>22.1</v>
      </c>
      <c r="J18" s="1" t="s">
        <v>1184</v>
      </c>
      <c r="K18" s="120">
        <v>39300</v>
      </c>
      <c r="L18" s="1"/>
      <c r="M18" s="1">
        <v>8.06</v>
      </c>
      <c r="N18" s="1" t="s">
        <v>1184</v>
      </c>
      <c r="O18" s="120">
        <v>20000</v>
      </c>
      <c r="P18" s="1226"/>
    </row>
    <row r="19" spans="1:16">
      <c r="A19" s="5"/>
      <c r="B19" s="1"/>
      <c r="C19" s="1"/>
      <c r="D19" s="120"/>
      <c r="E19" s="1"/>
      <c r="F19" s="1" t="s">
        <v>1207</v>
      </c>
      <c r="G19" s="120">
        <v>73000</v>
      </c>
      <c r="H19" s="6"/>
      <c r="I19" s="1">
        <v>21.03</v>
      </c>
      <c r="J19" s="1" t="s">
        <v>1184</v>
      </c>
      <c r="K19" s="120">
        <v>40000</v>
      </c>
      <c r="L19" s="1"/>
      <c r="M19" s="1">
        <v>2.0699999999999998</v>
      </c>
      <c r="N19" s="1" t="s">
        <v>1184</v>
      </c>
      <c r="O19" s="120">
        <v>21000</v>
      </c>
      <c r="P19" s="1226"/>
    </row>
    <row r="20" spans="1:16">
      <c r="A20" s="5"/>
      <c r="B20" s="1"/>
      <c r="C20" s="1"/>
      <c r="D20" s="120"/>
      <c r="E20" s="1"/>
      <c r="F20" s="1" t="s">
        <v>1207</v>
      </c>
      <c r="G20" s="120">
        <v>75000</v>
      </c>
      <c r="H20" s="6"/>
      <c r="I20" s="1">
        <v>27.07</v>
      </c>
      <c r="J20" s="1" t="s">
        <v>1184</v>
      </c>
      <c r="K20" s="120">
        <v>50000</v>
      </c>
      <c r="L20" s="1"/>
      <c r="M20" s="1">
        <v>17.07</v>
      </c>
      <c r="N20" s="1" t="s">
        <v>1184</v>
      </c>
      <c r="O20" s="120">
        <v>42000</v>
      </c>
      <c r="P20" s="1226"/>
    </row>
    <row r="21" spans="1:16">
      <c r="A21" s="5"/>
      <c r="B21" s="1"/>
      <c r="C21" s="1"/>
      <c r="D21" s="120"/>
      <c r="E21" s="1"/>
      <c r="F21" s="1" t="s">
        <v>1207</v>
      </c>
      <c r="G21" s="120">
        <v>75000</v>
      </c>
      <c r="H21" s="6"/>
      <c r="I21" s="1">
        <v>17.09</v>
      </c>
      <c r="J21" s="1" t="s">
        <v>1184</v>
      </c>
      <c r="K21" s="120">
        <v>53100</v>
      </c>
      <c r="L21" s="1"/>
      <c r="M21" s="1615" t="s">
        <v>345</v>
      </c>
      <c r="N21" s="1615"/>
      <c r="O21" s="1280">
        <f>SUM(O4:O20)</f>
        <v>191195</v>
      </c>
      <c r="P21" s="1226"/>
    </row>
    <row r="22" spans="1:16">
      <c r="A22" s="5"/>
      <c r="B22" s="1"/>
      <c r="C22" s="1"/>
      <c r="D22" s="120"/>
      <c r="E22" s="1"/>
      <c r="F22" s="1" t="s">
        <v>1207</v>
      </c>
      <c r="G22" s="120">
        <v>75000</v>
      </c>
      <c r="H22" s="6"/>
      <c r="I22" s="1">
        <v>20.079999999999998</v>
      </c>
      <c r="J22" s="1" t="s">
        <v>1184</v>
      </c>
      <c r="K22" s="120">
        <v>62000</v>
      </c>
      <c r="L22" s="1"/>
      <c r="M22" s="1"/>
      <c r="N22" s="1"/>
      <c r="O22" s="120"/>
      <c r="P22" s="1226"/>
    </row>
    <row r="23" spans="1:16">
      <c r="A23" s="5"/>
      <c r="B23" s="1"/>
      <c r="C23" s="1"/>
      <c r="D23" s="120"/>
      <c r="E23" s="1"/>
      <c r="F23" s="1" t="s">
        <v>1207</v>
      </c>
      <c r="G23" s="120">
        <v>85000</v>
      </c>
      <c r="H23" s="6"/>
      <c r="I23" s="1">
        <v>25.04</v>
      </c>
      <c r="J23" s="1" t="s">
        <v>1211</v>
      </c>
      <c r="K23" s="120">
        <v>62963</v>
      </c>
      <c r="L23" s="1"/>
      <c r="M23" s="1"/>
      <c r="N23" s="1"/>
      <c r="O23" s="120"/>
      <c r="P23" s="1226"/>
    </row>
    <row r="24" spans="1:16">
      <c r="A24" s="5"/>
      <c r="B24" s="1"/>
      <c r="C24" s="1"/>
      <c r="D24" s="120"/>
      <c r="E24" s="1"/>
      <c r="F24" s="1" t="s">
        <v>1207</v>
      </c>
      <c r="G24" s="120">
        <v>90000</v>
      </c>
      <c r="H24" s="6"/>
      <c r="I24" s="1">
        <v>25.05</v>
      </c>
      <c r="J24" s="1" t="s">
        <v>1184</v>
      </c>
      <c r="K24" s="120">
        <v>66114</v>
      </c>
      <c r="L24" s="1"/>
      <c r="M24" s="27"/>
      <c r="N24" s="1"/>
      <c r="O24" s="120"/>
      <c r="P24" s="1226"/>
    </row>
    <row r="25" spans="1:16">
      <c r="A25" s="5"/>
      <c r="B25" s="1"/>
      <c r="C25" s="1"/>
      <c r="D25" s="120"/>
      <c r="E25" s="1"/>
      <c r="F25" s="1" t="s">
        <v>1207</v>
      </c>
      <c r="G25" s="120">
        <v>100000</v>
      </c>
      <c r="H25" s="6"/>
      <c r="I25" s="1">
        <v>10.09</v>
      </c>
      <c r="J25" s="1" t="s">
        <v>1184</v>
      </c>
      <c r="K25" s="120">
        <v>69900</v>
      </c>
      <c r="L25" s="1"/>
      <c r="M25" s="1"/>
      <c r="N25" s="1"/>
      <c r="O25" s="120"/>
      <c r="P25" s="1226"/>
    </row>
    <row r="26" spans="1:16">
      <c r="A26" s="5"/>
      <c r="B26" s="1"/>
      <c r="C26" s="1"/>
      <c r="D26" s="120"/>
      <c r="E26" s="1"/>
      <c r="F26" s="1" t="s">
        <v>1207</v>
      </c>
      <c r="G26" s="120">
        <v>105000</v>
      </c>
      <c r="H26" s="6"/>
      <c r="I26" s="1">
        <v>9.11</v>
      </c>
      <c r="J26" s="1" t="s">
        <v>1184</v>
      </c>
      <c r="K26" s="120">
        <v>69900</v>
      </c>
      <c r="L26" s="1"/>
      <c r="M26" s="1"/>
      <c r="N26" s="1"/>
      <c r="O26" s="120"/>
      <c r="P26" s="1226"/>
    </row>
    <row r="27" spans="1:16">
      <c r="A27" s="5"/>
      <c r="B27" s="1"/>
      <c r="C27" s="1"/>
      <c r="D27" s="120"/>
      <c r="E27" s="1"/>
      <c r="F27" s="1" t="s">
        <v>1207</v>
      </c>
      <c r="G27" s="120">
        <v>151200</v>
      </c>
      <c r="H27" s="6"/>
      <c r="I27" s="1">
        <v>12.03</v>
      </c>
      <c r="J27" s="1" t="s">
        <v>1184</v>
      </c>
      <c r="K27" s="120">
        <v>70000</v>
      </c>
      <c r="L27" s="1"/>
      <c r="M27" s="27" t="s">
        <v>1255</v>
      </c>
      <c r="N27" s="1"/>
      <c r="O27" s="120"/>
      <c r="P27" s="1226"/>
    </row>
    <row r="28" spans="1:16">
      <c r="A28" s="5"/>
      <c r="B28" s="1"/>
      <c r="C28" s="1"/>
      <c r="D28" s="120"/>
      <c r="E28" s="1"/>
      <c r="F28" s="1" t="s">
        <v>1207</v>
      </c>
      <c r="G28" s="120">
        <v>210450</v>
      </c>
      <c r="H28" s="6"/>
      <c r="I28" s="1">
        <v>12.06</v>
      </c>
      <c r="J28" s="1" t="s">
        <v>1184</v>
      </c>
      <c r="K28" s="120">
        <v>70000</v>
      </c>
      <c r="L28" s="1"/>
      <c r="M28" s="1">
        <v>1.03</v>
      </c>
      <c r="N28" s="1" t="s">
        <v>1184</v>
      </c>
      <c r="O28" s="120">
        <v>20000</v>
      </c>
      <c r="P28" s="1226"/>
    </row>
    <row r="29" spans="1:16">
      <c r="A29" s="5"/>
      <c r="B29" s="1"/>
      <c r="C29" s="1"/>
      <c r="D29" s="120"/>
      <c r="E29" s="1"/>
      <c r="F29" s="1" t="s">
        <v>1207</v>
      </c>
      <c r="G29" s="120">
        <v>668000</v>
      </c>
      <c r="H29" s="6"/>
      <c r="I29" s="1">
        <v>10.08</v>
      </c>
      <c r="J29" s="1" t="s">
        <v>1184</v>
      </c>
      <c r="K29" s="120">
        <v>70000</v>
      </c>
      <c r="L29" s="1"/>
      <c r="M29" s="1">
        <v>3.08</v>
      </c>
      <c r="N29" s="1" t="s">
        <v>1217</v>
      </c>
      <c r="O29" s="120">
        <v>372000</v>
      </c>
      <c r="P29" s="1226"/>
    </row>
    <row r="30" spans="1:16">
      <c r="A30" s="5"/>
      <c r="B30" s="1"/>
      <c r="C30" s="1"/>
      <c r="D30" s="120"/>
      <c r="E30" s="1"/>
      <c r="F30" s="1" t="s">
        <v>1207</v>
      </c>
      <c r="G30" s="120">
        <v>10000</v>
      </c>
      <c r="H30" s="6"/>
      <c r="I30" s="1">
        <v>23.05</v>
      </c>
      <c r="J30" s="1" t="s">
        <v>1184</v>
      </c>
      <c r="K30" s="120">
        <v>75000</v>
      </c>
      <c r="L30" s="1"/>
      <c r="M30" s="1">
        <v>1.03</v>
      </c>
      <c r="N30" s="1" t="s">
        <v>1184</v>
      </c>
      <c r="O30" s="120">
        <v>574000</v>
      </c>
      <c r="P30" s="1226"/>
    </row>
    <row r="31" spans="1:16">
      <c r="A31" s="5"/>
      <c r="B31" s="1"/>
      <c r="C31" s="1"/>
      <c r="D31" s="120"/>
      <c r="E31" s="1"/>
      <c r="F31" s="1" t="s">
        <v>840</v>
      </c>
      <c r="G31" s="120">
        <v>82000</v>
      </c>
      <c r="H31" s="6"/>
      <c r="I31" s="1">
        <v>9.0500000000000007</v>
      </c>
      <c r="J31" s="1" t="s">
        <v>1184</v>
      </c>
      <c r="K31" s="120">
        <v>76000</v>
      </c>
      <c r="L31" s="1"/>
      <c r="M31" s="1">
        <v>8.0299999999999994</v>
      </c>
      <c r="N31" s="1" t="s">
        <v>1184</v>
      </c>
      <c r="O31" s="120">
        <v>3839373.16</v>
      </c>
      <c r="P31" s="1226"/>
    </row>
    <row r="32" spans="1:16">
      <c r="A32" s="5"/>
      <c r="B32" s="1"/>
      <c r="C32" s="1"/>
      <c r="D32" s="120"/>
      <c r="E32" s="1"/>
      <c r="F32" s="1274" t="s">
        <v>344</v>
      </c>
      <c r="G32" s="1283">
        <f>SUM(G4:G31)</f>
        <v>2228412</v>
      </c>
      <c r="H32" s="6"/>
      <c r="I32" s="1">
        <v>11.09</v>
      </c>
      <c r="J32" s="1" t="s">
        <v>1184</v>
      </c>
      <c r="K32" s="120">
        <v>76970</v>
      </c>
      <c r="L32" s="1"/>
      <c r="M32" s="1615" t="s">
        <v>344</v>
      </c>
      <c r="N32" s="1616"/>
      <c r="O32" s="1280">
        <f>SUM(O28:O31)</f>
        <v>4805373.16</v>
      </c>
      <c r="P32" s="1226"/>
    </row>
    <row r="33" spans="1:16">
      <c r="A33" s="5"/>
      <c r="B33" s="1"/>
      <c r="C33" s="1"/>
      <c r="D33" s="120"/>
      <c r="E33" s="1"/>
      <c r="F33" s="1" t="s">
        <v>1207</v>
      </c>
      <c r="G33" s="120">
        <v>850</v>
      </c>
      <c r="H33" s="6"/>
      <c r="I33" s="1">
        <v>21.06</v>
      </c>
      <c r="J33" s="1" t="s">
        <v>1184</v>
      </c>
      <c r="K33" s="120">
        <v>80000</v>
      </c>
      <c r="L33" s="1"/>
      <c r="M33" s="1"/>
      <c r="N33" s="1"/>
      <c r="O33" s="120"/>
      <c r="P33" s="1226"/>
    </row>
    <row r="34" spans="1:16">
      <c r="A34" s="5"/>
      <c r="B34" s="1"/>
      <c r="C34" s="1"/>
      <c r="D34" s="120"/>
      <c r="E34" s="1"/>
      <c r="F34" s="1" t="s">
        <v>1207</v>
      </c>
      <c r="G34" s="120">
        <v>1000</v>
      </c>
      <c r="H34" s="6"/>
      <c r="I34" s="1">
        <v>11.1</v>
      </c>
      <c r="J34" s="1" t="s">
        <v>1184</v>
      </c>
      <c r="K34" s="120">
        <v>80000</v>
      </c>
      <c r="L34" s="1"/>
      <c r="M34" s="1"/>
      <c r="N34" s="1"/>
      <c r="O34" s="120"/>
      <c r="P34" s="1226"/>
    </row>
    <row r="35" spans="1:16">
      <c r="A35" s="5"/>
      <c r="B35" s="1"/>
      <c r="C35" s="1"/>
      <c r="D35" s="120"/>
      <c r="E35" s="1"/>
      <c r="F35" s="1" t="s">
        <v>1207</v>
      </c>
      <c r="G35" s="120">
        <v>5050</v>
      </c>
      <c r="H35" s="6"/>
      <c r="I35" s="1">
        <v>3.07</v>
      </c>
      <c r="J35" s="1" t="s">
        <v>1184</v>
      </c>
      <c r="K35" s="120">
        <v>98000</v>
      </c>
      <c r="L35" s="1"/>
      <c r="M35" s="1"/>
      <c r="N35" s="1"/>
      <c r="O35" s="120"/>
      <c r="P35" s="1226"/>
    </row>
    <row r="36" spans="1:16">
      <c r="A36" s="5"/>
      <c r="B36" s="1"/>
      <c r="C36" s="1"/>
      <c r="D36" s="120"/>
      <c r="E36" s="1"/>
      <c r="F36" s="1" t="s">
        <v>1230</v>
      </c>
      <c r="G36" s="120">
        <v>7500</v>
      </c>
      <c r="H36" s="6"/>
      <c r="I36" s="1">
        <v>13.04</v>
      </c>
      <c r="J36" s="1" t="s">
        <v>1184</v>
      </c>
      <c r="K36" s="120">
        <v>100000</v>
      </c>
      <c r="L36" s="1"/>
      <c r="M36" s="1"/>
      <c r="N36" s="1"/>
      <c r="O36" s="120"/>
      <c r="P36" s="1226"/>
    </row>
    <row r="37" spans="1:16">
      <c r="A37" s="5"/>
      <c r="B37" s="1"/>
      <c r="C37" s="1"/>
      <c r="D37" s="120"/>
      <c r="E37" s="1"/>
      <c r="H37" s="6"/>
      <c r="I37" s="1">
        <v>10.050000000000001</v>
      </c>
      <c r="J37" s="1" t="s">
        <v>1184</v>
      </c>
      <c r="K37" s="120">
        <v>100000</v>
      </c>
      <c r="L37" s="1"/>
      <c r="M37" s="1"/>
      <c r="N37" s="1"/>
      <c r="O37" s="120"/>
      <c r="P37" s="1226"/>
    </row>
    <row r="38" spans="1:16">
      <c r="A38" s="5"/>
      <c r="B38" s="1"/>
      <c r="C38" s="1"/>
      <c r="D38" s="120"/>
      <c r="E38" s="1"/>
      <c r="F38" s="1274" t="s">
        <v>345</v>
      </c>
      <c r="G38" s="1283">
        <f>SUM(G33:G37)</f>
        <v>14400</v>
      </c>
      <c r="H38" s="6"/>
      <c r="I38" s="1">
        <v>11.04</v>
      </c>
      <c r="J38" s="1" t="s">
        <v>1184</v>
      </c>
      <c r="K38" s="120">
        <v>129000</v>
      </c>
      <c r="L38" s="1"/>
      <c r="M38" s="1"/>
      <c r="N38" s="1"/>
      <c r="O38" s="120"/>
      <c r="P38" s="1226"/>
    </row>
    <row r="39" spans="1:16">
      <c r="A39" s="5"/>
      <c r="B39" s="1"/>
      <c r="C39" s="1"/>
      <c r="D39" s="120">
        <f>+D7-G32</f>
        <v>-311412</v>
      </c>
      <c r="E39" s="1"/>
      <c r="F39" s="1"/>
      <c r="G39" s="120"/>
      <c r="H39" s="6"/>
      <c r="I39" s="1">
        <v>12.09</v>
      </c>
      <c r="J39" s="1" t="s">
        <v>1184</v>
      </c>
      <c r="K39" s="120">
        <v>140500</v>
      </c>
      <c r="L39" s="1"/>
      <c r="M39" s="1"/>
      <c r="N39" s="1"/>
      <c r="O39" s="120"/>
      <c r="P39" s="1226"/>
    </row>
    <row r="40" spans="1:16">
      <c r="A40" s="5"/>
      <c r="B40" s="1"/>
      <c r="C40" s="1"/>
      <c r="D40" s="120">
        <f>+D16-G38</f>
        <v>64766</v>
      </c>
      <c r="E40" s="1"/>
      <c r="F40" s="1"/>
      <c r="G40" s="120"/>
      <c r="H40" s="6"/>
      <c r="I40" s="1">
        <v>27.08</v>
      </c>
      <c r="J40" s="1" t="s">
        <v>1218</v>
      </c>
      <c r="K40" s="120">
        <v>182000</v>
      </c>
      <c r="L40" s="1"/>
      <c r="M40" s="1"/>
      <c r="N40" s="1"/>
      <c r="O40" s="120"/>
      <c r="P40" s="1226"/>
    </row>
    <row r="41" spans="1:16">
      <c r="A41" s="5"/>
      <c r="B41" s="1"/>
      <c r="C41" s="1"/>
      <c r="D41" s="770">
        <f>+D39+D40*139</f>
        <v>8691062</v>
      </c>
      <c r="E41" s="1"/>
      <c r="F41" s="1"/>
      <c r="G41" s="120"/>
      <c r="H41" s="6"/>
      <c r="I41" s="1">
        <v>15.03</v>
      </c>
      <c r="J41" s="1" t="s">
        <v>1184</v>
      </c>
      <c r="K41" s="120">
        <v>190000</v>
      </c>
      <c r="L41" s="1"/>
      <c r="M41" s="1"/>
      <c r="N41" s="1"/>
      <c r="O41" s="120"/>
      <c r="P41" s="1226"/>
    </row>
    <row r="42" spans="1:16">
      <c r="A42" s="5"/>
      <c r="B42" s="1"/>
      <c r="C42" s="1"/>
      <c r="D42" s="120"/>
      <c r="E42" s="1"/>
      <c r="F42" s="1"/>
      <c r="G42" s="120"/>
      <c r="H42" s="6"/>
      <c r="I42" s="1">
        <v>11.1</v>
      </c>
      <c r="J42" s="1" t="s">
        <v>1184</v>
      </c>
      <c r="K42" s="120">
        <v>198000</v>
      </c>
      <c r="L42" s="1"/>
      <c r="M42" s="1"/>
      <c r="N42" s="1"/>
      <c r="O42" s="120"/>
      <c r="P42" s="1226"/>
    </row>
    <row r="43" spans="1:16">
      <c r="A43" s="5"/>
      <c r="B43" s="1"/>
      <c r="C43" s="1"/>
      <c r="D43" s="120"/>
      <c r="E43" s="1"/>
      <c r="F43" s="1"/>
      <c r="G43" s="120"/>
      <c r="H43" s="6"/>
      <c r="I43" s="1">
        <v>11.07</v>
      </c>
      <c r="J43" s="1" t="s">
        <v>1184</v>
      </c>
      <c r="K43" s="120">
        <v>200000</v>
      </c>
      <c r="L43" s="1"/>
      <c r="M43" s="1"/>
      <c r="N43" s="1"/>
      <c r="O43" s="120"/>
      <c r="P43" s="1226"/>
    </row>
    <row r="44" spans="1:16">
      <c r="A44" s="5"/>
      <c r="B44" s="1"/>
      <c r="C44" s="1"/>
      <c r="D44" s="120"/>
      <c r="E44" s="1"/>
      <c r="F44" s="1"/>
      <c r="G44" s="120"/>
      <c r="H44" s="6"/>
      <c r="I44" s="1">
        <v>27.03</v>
      </c>
      <c r="J44" s="1" t="s">
        <v>1184</v>
      </c>
      <c r="K44" s="120">
        <v>220000</v>
      </c>
      <c r="L44" s="1"/>
      <c r="M44" s="1"/>
      <c r="N44" s="1"/>
      <c r="O44" s="120"/>
      <c r="P44" s="1226"/>
    </row>
    <row r="45" spans="1:16">
      <c r="A45" s="5"/>
      <c r="B45" s="1"/>
      <c r="C45" s="1"/>
      <c r="D45" s="120"/>
      <c r="E45" s="1"/>
      <c r="F45" s="1"/>
      <c r="G45" s="120"/>
      <c r="H45" s="6"/>
      <c r="I45" s="1">
        <v>3.05</v>
      </c>
      <c r="J45" s="1" t="s">
        <v>1184</v>
      </c>
      <c r="K45" s="120">
        <v>280600</v>
      </c>
      <c r="L45" s="1"/>
      <c r="M45" s="1"/>
      <c r="N45" s="1"/>
      <c r="O45" s="120"/>
      <c r="P45" s="1226"/>
    </row>
    <row r="46" spans="1:16">
      <c r="A46" s="5"/>
      <c r="B46" s="1"/>
      <c r="C46" s="1"/>
      <c r="D46" s="120"/>
      <c r="E46" s="1"/>
      <c r="F46" s="1"/>
      <c r="G46" s="120"/>
      <c r="H46" s="6"/>
      <c r="I46" s="1">
        <v>3.05</v>
      </c>
      <c r="J46" s="1" t="s">
        <v>1184</v>
      </c>
      <c r="K46" s="120">
        <v>378810</v>
      </c>
      <c r="L46" s="1"/>
      <c r="M46" s="1"/>
      <c r="N46" s="1"/>
      <c r="O46" s="120"/>
      <c r="P46" s="1226"/>
    </row>
    <row r="47" spans="1:16">
      <c r="A47" s="5"/>
      <c r="B47" s="1"/>
      <c r="C47" s="1"/>
      <c r="D47" s="120"/>
      <c r="E47" s="1"/>
      <c r="F47" s="1"/>
      <c r="G47" s="120"/>
      <c r="H47" s="6"/>
      <c r="I47" s="1">
        <v>1.1000000000000001</v>
      </c>
      <c r="J47" s="1" t="s">
        <v>1184</v>
      </c>
      <c r="K47" s="120">
        <v>421830</v>
      </c>
      <c r="L47" s="1"/>
      <c r="M47" s="1"/>
      <c r="N47" s="1"/>
      <c r="O47" s="120"/>
      <c r="P47" s="1226"/>
    </row>
    <row r="48" spans="1:16">
      <c r="A48" s="5"/>
      <c r="B48" s="1"/>
      <c r="C48" s="1"/>
      <c r="D48" s="120"/>
      <c r="E48" s="1"/>
      <c r="F48" s="1"/>
      <c r="G48" s="120"/>
      <c r="H48" s="6"/>
      <c r="I48" s="1">
        <v>7.08</v>
      </c>
      <c r="J48" s="1" t="s">
        <v>1184</v>
      </c>
      <c r="K48" s="120">
        <v>430000</v>
      </c>
      <c r="L48" s="1"/>
      <c r="M48" s="1"/>
      <c r="N48" s="1"/>
      <c r="O48" s="120"/>
      <c r="P48" s="1226"/>
    </row>
    <row r="49" spans="1:16">
      <c r="A49" s="5"/>
      <c r="B49" s="1"/>
      <c r="C49" s="1"/>
      <c r="D49" s="120"/>
      <c r="E49" s="1"/>
      <c r="F49" s="1"/>
      <c r="G49" s="120"/>
      <c r="H49" s="6"/>
      <c r="I49" s="1">
        <v>13.08</v>
      </c>
      <c r="J49" s="1" t="s">
        <v>1184</v>
      </c>
      <c r="K49" s="120">
        <v>572000</v>
      </c>
      <c r="L49" s="1"/>
      <c r="M49" s="1" t="s">
        <v>1230</v>
      </c>
      <c r="N49" s="120">
        <v>15000</v>
      </c>
      <c r="O49" s="120"/>
      <c r="P49" s="1226"/>
    </row>
    <row r="50" spans="1:16">
      <c r="A50" s="5"/>
      <c r="B50" s="1"/>
      <c r="C50" s="1"/>
      <c r="D50" s="120"/>
      <c r="E50" s="1"/>
      <c r="F50" s="1"/>
      <c r="G50" s="120"/>
      <c r="H50" s="6"/>
      <c r="I50" s="1">
        <v>15.08</v>
      </c>
      <c r="J50" s="1" t="s">
        <v>1184</v>
      </c>
      <c r="K50" s="120">
        <v>723000</v>
      </c>
      <c r="L50" s="1"/>
      <c r="M50" s="1"/>
      <c r="N50" s="1"/>
      <c r="O50" s="120"/>
      <c r="P50" s="1226"/>
    </row>
    <row r="51" spans="1:16">
      <c r="A51" s="5"/>
      <c r="B51" s="1"/>
      <c r="C51" s="1"/>
      <c r="D51" s="120"/>
      <c r="E51" s="1"/>
      <c r="F51" s="1"/>
      <c r="G51" s="120"/>
      <c r="H51" s="6"/>
      <c r="I51" s="1">
        <v>24.08</v>
      </c>
      <c r="J51" s="1" t="s">
        <v>1184</v>
      </c>
      <c r="K51" s="120">
        <v>735000</v>
      </c>
      <c r="L51" s="1"/>
      <c r="M51" s="1"/>
      <c r="N51" s="1"/>
      <c r="O51" s="120"/>
      <c r="P51" s="1226"/>
    </row>
    <row r="52" spans="1:16">
      <c r="A52" s="5"/>
      <c r="B52" s="1"/>
      <c r="C52" s="1"/>
      <c r="D52" s="120"/>
      <c r="E52" s="1"/>
      <c r="F52" s="1"/>
      <c r="G52" s="120"/>
      <c r="H52" s="6"/>
      <c r="I52" s="1">
        <v>27.02</v>
      </c>
      <c r="J52" s="1" t="s">
        <v>1184</v>
      </c>
      <c r="K52" s="120">
        <v>1000000</v>
      </c>
      <c r="L52" s="1"/>
      <c r="M52" s="1"/>
      <c r="N52" s="1"/>
      <c r="O52" s="120"/>
      <c r="P52" s="1226"/>
    </row>
    <row r="53" spans="1:16">
      <c r="A53" s="5"/>
      <c r="B53" s="1"/>
      <c r="C53" s="1"/>
      <c r="D53" s="120"/>
      <c r="E53" s="1"/>
      <c r="F53" s="1"/>
      <c r="G53" s="120"/>
      <c r="H53" s="6"/>
      <c r="I53" s="1">
        <v>2.04</v>
      </c>
      <c r="J53" s="1" t="s">
        <v>1184</v>
      </c>
      <c r="K53" s="120">
        <v>2107500</v>
      </c>
      <c r="L53" s="1"/>
      <c r="M53" s="1"/>
      <c r="N53" s="1"/>
      <c r="O53" s="120"/>
      <c r="P53" s="1226"/>
    </row>
    <row r="54" spans="1:16">
      <c r="A54" s="5"/>
      <c r="B54" s="1"/>
      <c r="C54" s="1"/>
      <c r="D54" s="120"/>
      <c r="E54" s="1"/>
      <c r="F54" s="1"/>
      <c r="G54" s="120"/>
      <c r="H54" s="6"/>
      <c r="I54" s="1">
        <v>3.01</v>
      </c>
      <c r="J54" s="1" t="s">
        <v>1184</v>
      </c>
      <c r="K54" s="120">
        <v>2780000</v>
      </c>
      <c r="L54" s="1"/>
      <c r="M54" s="1"/>
      <c r="N54" s="1"/>
      <c r="O54" s="120"/>
      <c r="P54" s="1226"/>
    </row>
    <row r="55" spans="1:16" ht="13.5" thickBot="1">
      <c r="A55" s="7"/>
      <c r="B55" s="8"/>
      <c r="C55" s="8"/>
      <c r="D55" s="162"/>
      <c r="E55" s="8"/>
      <c r="F55" s="8"/>
      <c r="G55" s="162"/>
      <c r="H55" s="9"/>
      <c r="I55" s="1613" t="s">
        <v>344</v>
      </c>
      <c r="J55" s="1614"/>
      <c r="K55" s="1281">
        <f>SUM(K4:K54)</f>
        <v>12314537</v>
      </c>
      <c r="L55" s="8"/>
      <c r="M55" s="8"/>
      <c r="N55" s="8"/>
      <c r="O55" s="162"/>
      <c r="P55" s="1227"/>
    </row>
    <row r="56" spans="1:16">
      <c r="A56" s="16"/>
      <c r="B56" s="17"/>
      <c r="C56" s="17"/>
      <c r="D56" s="159"/>
      <c r="E56" s="17"/>
      <c r="F56" s="17"/>
      <c r="G56" s="159"/>
      <c r="H56" s="18"/>
    </row>
    <row r="57" spans="1:16">
      <c r="A57" s="1618" t="s">
        <v>1256</v>
      </c>
      <c r="B57" s="1585"/>
      <c r="C57" s="1585"/>
      <c r="D57" s="120"/>
      <c r="E57" s="120"/>
      <c r="F57" s="1"/>
      <c r="G57" s="120"/>
      <c r="H57" s="6"/>
    </row>
    <row r="58" spans="1:16">
      <c r="A58" s="5">
        <v>8.0299999999999994</v>
      </c>
      <c r="B58" s="1" t="s">
        <v>1187</v>
      </c>
      <c r="C58" s="120">
        <v>138000</v>
      </c>
      <c r="D58" s="120"/>
      <c r="E58" s="1"/>
      <c r="F58" s="120" t="s">
        <v>1223</v>
      </c>
      <c r="G58" s="120">
        <v>20000</v>
      </c>
      <c r="H58" s="6"/>
    </row>
    <row r="59" spans="1:16">
      <c r="A59" s="5">
        <v>7.08</v>
      </c>
      <c r="B59" s="1" t="s">
        <v>1187</v>
      </c>
      <c r="C59" s="120">
        <v>310000</v>
      </c>
      <c r="D59" s="120"/>
      <c r="E59" s="1"/>
      <c r="F59" s="120" t="s">
        <v>1226</v>
      </c>
      <c r="G59" s="120">
        <v>20000</v>
      </c>
      <c r="H59" s="6"/>
    </row>
    <row r="60" spans="1:16">
      <c r="A60" s="5">
        <v>12.12</v>
      </c>
      <c r="B60" s="1" t="s">
        <v>1187</v>
      </c>
      <c r="C60" s="120">
        <v>30000</v>
      </c>
      <c r="D60" s="120"/>
      <c r="E60" s="1"/>
      <c r="F60" s="120" t="s">
        <v>1233</v>
      </c>
      <c r="G60" s="120">
        <v>18000</v>
      </c>
      <c r="H60" s="6"/>
    </row>
    <row r="61" spans="1:16">
      <c r="A61" s="5">
        <v>14.02</v>
      </c>
      <c r="B61" s="1" t="s">
        <v>1187</v>
      </c>
      <c r="C61" s="120">
        <v>35000</v>
      </c>
      <c r="D61" s="120"/>
      <c r="E61" s="1"/>
      <c r="F61" s="120" t="s">
        <v>1223</v>
      </c>
      <c r="G61" s="120">
        <v>16730</v>
      </c>
      <c r="H61" s="6"/>
    </row>
    <row r="62" spans="1:16">
      <c r="A62" s="5">
        <v>19.11</v>
      </c>
      <c r="B62" s="1" t="s">
        <v>1187</v>
      </c>
      <c r="C62" s="120">
        <v>48636</v>
      </c>
      <c r="D62" s="120"/>
      <c r="E62" s="1"/>
      <c r="F62" s="120" t="s">
        <v>1187</v>
      </c>
      <c r="G62" s="120">
        <v>10500</v>
      </c>
      <c r="H62" s="6"/>
    </row>
    <row r="63" spans="1:16">
      <c r="A63" s="5">
        <v>31.1</v>
      </c>
      <c r="B63" s="1" t="s">
        <v>1187</v>
      </c>
      <c r="C63" s="120">
        <v>50000</v>
      </c>
      <c r="D63" s="120"/>
      <c r="E63" s="1"/>
      <c r="F63" s="120" t="s">
        <v>1223</v>
      </c>
      <c r="G63" s="120">
        <v>10000</v>
      </c>
      <c r="H63" s="6"/>
    </row>
    <row r="64" spans="1:16">
      <c r="A64" s="5">
        <v>2.11</v>
      </c>
      <c r="B64" s="1" t="s">
        <v>1187</v>
      </c>
      <c r="C64" s="120">
        <v>50000</v>
      </c>
      <c r="D64" s="120"/>
      <c r="E64" s="1"/>
      <c r="F64" s="120" t="s">
        <v>1223</v>
      </c>
      <c r="G64" s="120">
        <v>8000</v>
      </c>
      <c r="H64" s="6"/>
    </row>
    <row r="65" spans="1:8">
      <c r="A65" s="5">
        <v>23.08</v>
      </c>
      <c r="B65" s="1" t="s">
        <v>1187</v>
      </c>
      <c r="C65" s="120">
        <v>80000</v>
      </c>
      <c r="D65" s="120"/>
      <c r="E65" s="1"/>
      <c r="F65" s="120" t="s">
        <v>1223</v>
      </c>
      <c r="G65" s="120">
        <v>7850</v>
      </c>
      <c r="H65" s="6"/>
    </row>
    <row r="66" spans="1:8">
      <c r="A66" s="5">
        <v>16.100000000000001</v>
      </c>
      <c r="B66" s="1" t="s">
        <v>1187</v>
      </c>
      <c r="C66" s="120">
        <v>90000</v>
      </c>
      <c r="D66" s="120"/>
      <c r="E66" s="1"/>
      <c r="F66" s="120" t="s">
        <v>1232</v>
      </c>
      <c r="G66" s="120">
        <v>6900</v>
      </c>
      <c r="H66" s="6"/>
    </row>
    <row r="67" spans="1:8">
      <c r="A67" s="5">
        <v>21.08</v>
      </c>
      <c r="B67" s="1" t="s">
        <v>1187</v>
      </c>
      <c r="C67" s="120">
        <v>100000</v>
      </c>
      <c r="D67" s="120"/>
      <c r="E67" s="1"/>
      <c r="F67" s="120" t="s">
        <v>1238</v>
      </c>
      <c r="G67" s="120">
        <v>6000</v>
      </c>
      <c r="H67" s="6"/>
    </row>
    <row r="68" spans="1:8">
      <c r="A68" s="5">
        <v>11.1</v>
      </c>
      <c r="B68" s="1" t="s">
        <v>1187</v>
      </c>
      <c r="C68" s="120">
        <v>100000</v>
      </c>
      <c r="D68" s="120"/>
      <c r="E68" s="1"/>
      <c r="F68" s="120" t="s">
        <v>1238</v>
      </c>
      <c r="G68" s="120">
        <v>5960</v>
      </c>
      <c r="H68" s="6"/>
    </row>
    <row r="69" spans="1:8">
      <c r="A69" s="5">
        <v>6.11</v>
      </c>
      <c r="B69" s="1" t="s">
        <v>1187</v>
      </c>
      <c r="C69" s="120">
        <v>130000</v>
      </c>
      <c r="D69" s="120"/>
      <c r="E69" s="1"/>
      <c r="F69" s="120" t="s">
        <v>1187</v>
      </c>
      <c r="G69" s="120">
        <v>5885</v>
      </c>
      <c r="H69" s="6"/>
    </row>
    <row r="70" spans="1:8">
      <c r="A70" s="5">
        <v>30.08</v>
      </c>
      <c r="B70" s="1" t="s">
        <v>1187</v>
      </c>
      <c r="C70" s="120">
        <v>150000</v>
      </c>
      <c r="D70" s="120"/>
      <c r="E70" s="1"/>
      <c r="F70" s="120" t="s">
        <v>1223</v>
      </c>
      <c r="G70" s="120">
        <v>5000</v>
      </c>
      <c r="H70" s="6"/>
    </row>
    <row r="71" spans="1:8">
      <c r="A71" s="5">
        <v>12.1</v>
      </c>
      <c r="B71" s="1" t="s">
        <v>1187</v>
      </c>
      <c r="C71" s="120">
        <v>150000</v>
      </c>
      <c r="D71" s="120"/>
      <c r="E71" s="1"/>
      <c r="F71" s="120" t="s">
        <v>1187</v>
      </c>
      <c r="G71" s="120">
        <v>5000</v>
      </c>
      <c r="H71" s="6"/>
    </row>
    <row r="72" spans="1:8">
      <c r="A72" s="5">
        <v>13.06</v>
      </c>
      <c r="B72" s="1" t="s">
        <v>1187</v>
      </c>
      <c r="C72" s="120">
        <v>185000</v>
      </c>
      <c r="D72" s="120"/>
      <c r="E72" s="1"/>
      <c r="F72" s="120" t="s">
        <v>1223</v>
      </c>
      <c r="G72" s="120">
        <v>3870</v>
      </c>
      <c r="H72" s="6"/>
    </row>
    <row r="73" spans="1:8">
      <c r="A73" s="5">
        <v>12.06</v>
      </c>
      <c r="B73" s="1" t="s">
        <v>1187</v>
      </c>
      <c r="C73" s="120">
        <v>240000</v>
      </c>
      <c r="D73" s="120"/>
      <c r="E73" s="1"/>
      <c r="F73" s="120" t="s">
        <v>1235</v>
      </c>
      <c r="G73" s="120">
        <v>3750</v>
      </c>
      <c r="H73" s="6"/>
    </row>
    <row r="74" spans="1:8">
      <c r="A74" s="5">
        <v>31.08</v>
      </c>
      <c r="B74" s="1" t="s">
        <v>1187</v>
      </c>
      <c r="C74" s="120">
        <v>240000</v>
      </c>
      <c r="D74" s="120"/>
      <c r="E74" s="1"/>
      <c r="F74" s="120" t="s">
        <v>1187</v>
      </c>
      <c r="G74" s="120">
        <v>3005</v>
      </c>
      <c r="H74" s="6"/>
    </row>
    <row r="75" spans="1:8">
      <c r="A75" s="5">
        <v>5.09</v>
      </c>
      <c r="B75" s="1" t="s">
        <v>1187</v>
      </c>
      <c r="C75" s="120">
        <v>250000</v>
      </c>
      <c r="D75" s="120"/>
      <c r="E75" s="1"/>
      <c r="F75" s="120" t="s">
        <v>1223</v>
      </c>
      <c r="G75" s="120">
        <v>2700</v>
      </c>
      <c r="H75" s="6"/>
    </row>
    <row r="76" spans="1:8">
      <c r="A76" s="5">
        <v>18.100000000000001</v>
      </c>
      <c r="B76" s="1" t="s">
        <v>1187</v>
      </c>
      <c r="C76" s="120">
        <v>395000</v>
      </c>
      <c r="D76" s="120"/>
      <c r="E76" s="1"/>
      <c r="F76" s="120" t="s">
        <v>1223</v>
      </c>
      <c r="G76" s="120">
        <v>2000</v>
      </c>
      <c r="H76" s="6"/>
    </row>
    <row r="77" spans="1:8">
      <c r="A77" s="5">
        <v>13.12</v>
      </c>
      <c r="B77" s="1" t="s">
        <v>1187</v>
      </c>
      <c r="C77" s="120">
        <v>500000</v>
      </c>
      <c r="D77" s="120"/>
      <c r="E77" s="1"/>
      <c r="F77" s="120" t="s">
        <v>1187</v>
      </c>
      <c r="G77" s="120">
        <v>2000</v>
      </c>
      <c r="H77" s="6"/>
    </row>
    <row r="78" spans="1:8">
      <c r="A78" s="5">
        <v>5.12</v>
      </c>
      <c r="B78" s="1" t="s">
        <v>1187</v>
      </c>
      <c r="C78" s="120">
        <v>515000</v>
      </c>
      <c r="D78" s="120"/>
      <c r="E78" s="1"/>
      <c r="F78" s="1" t="s">
        <v>1187</v>
      </c>
      <c r="G78" s="120">
        <v>1500</v>
      </c>
      <c r="H78" s="6"/>
    </row>
    <row r="79" spans="1:8">
      <c r="A79" s="5">
        <v>27.08</v>
      </c>
      <c r="B79" s="1" t="s">
        <v>1187</v>
      </c>
      <c r="C79" s="120">
        <v>600000</v>
      </c>
      <c r="D79" s="120"/>
      <c r="E79" s="1"/>
      <c r="F79" s="1" t="s">
        <v>1187</v>
      </c>
      <c r="G79" s="120">
        <v>1490</v>
      </c>
      <c r="H79" s="6"/>
    </row>
    <row r="80" spans="1:8">
      <c r="A80" s="5">
        <v>8.06</v>
      </c>
      <c r="B80" s="1" t="s">
        <v>1187</v>
      </c>
      <c r="C80" s="120">
        <v>800000</v>
      </c>
      <c r="D80" s="120"/>
      <c r="E80" s="1"/>
      <c r="F80" s="120" t="s">
        <v>1225</v>
      </c>
      <c r="G80" s="120">
        <v>1200</v>
      </c>
      <c r="H80" s="6"/>
    </row>
    <row r="81" spans="1:8">
      <c r="A81" s="5">
        <v>27.02</v>
      </c>
      <c r="B81" s="1" t="s">
        <v>1187</v>
      </c>
      <c r="C81" s="120">
        <v>1000000</v>
      </c>
      <c r="D81" s="120"/>
      <c r="E81" s="1"/>
      <c r="F81" s="120" t="s">
        <v>1187</v>
      </c>
      <c r="G81" s="120">
        <v>500</v>
      </c>
      <c r="H81" s="6"/>
    </row>
    <row r="82" spans="1:8">
      <c r="A82" s="5">
        <v>17.09</v>
      </c>
      <c r="B82" s="1" t="s">
        <v>1187</v>
      </c>
      <c r="C82" s="120">
        <v>50000</v>
      </c>
      <c r="D82" s="120"/>
      <c r="E82" s="1"/>
      <c r="F82" s="120" t="s">
        <v>1223</v>
      </c>
      <c r="G82" s="120">
        <v>100</v>
      </c>
      <c r="H82" s="6"/>
    </row>
    <row r="83" spans="1:8">
      <c r="A83" s="5">
        <v>19.09</v>
      </c>
      <c r="B83" s="1" t="s">
        <v>1187</v>
      </c>
      <c r="C83" s="120">
        <v>50000</v>
      </c>
      <c r="D83" s="120"/>
      <c r="E83" s="1"/>
      <c r="F83" s="120" t="s">
        <v>1235</v>
      </c>
      <c r="G83" s="120">
        <v>100</v>
      </c>
      <c r="H83" s="6"/>
    </row>
    <row r="84" spans="1:8">
      <c r="A84" s="5">
        <v>3.1</v>
      </c>
      <c r="B84" s="1" t="s">
        <v>1221</v>
      </c>
      <c r="C84" s="120">
        <v>65000</v>
      </c>
      <c r="D84" s="120"/>
      <c r="E84" s="1"/>
      <c r="F84" s="1279" t="s">
        <v>345</v>
      </c>
      <c r="G84" s="1280">
        <f>SUM(G58:G83)</f>
        <v>168040</v>
      </c>
      <c r="H84" s="6"/>
    </row>
    <row r="85" spans="1:8">
      <c r="A85" s="5">
        <v>8.08</v>
      </c>
      <c r="B85" s="1" t="s">
        <v>1187</v>
      </c>
      <c r="C85" s="120">
        <v>80000</v>
      </c>
      <c r="D85" s="120"/>
      <c r="E85" s="1"/>
      <c r="F85" s="120"/>
      <c r="G85" s="120"/>
      <c r="H85" s="6"/>
    </row>
    <row r="86" spans="1:8">
      <c r="A86" s="5">
        <v>15.08</v>
      </c>
      <c r="B86" s="1" t="s">
        <v>1187</v>
      </c>
      <c r="C86" s="120">
        <v>80000</v>
      </c>
      <c r="D86" s="120"/>
      <c r="E86" s="120"/>
      <c r="F86" s="1" t="s">
        <v>1196</v>
      </c>
      <c r="G86" s="120">
        <v>20000</v>
      </c>
      <c r="H86" s="6"/>
    </row>
    <row r="87" spans="1:8">
      <c r="A87" s="5">
        <v>31.07</v>
      </c>
      <c r="B87" s="1" t="s">
        <v>1187</v>
      </c>
      <c r="C87" s="120">
        <v>100000</v>
      </c>
      <c r="D87" s="120"/>
      <c r="E87" s="120"/>
      <c r="F87" s="1" t="s">
        <v>1196</v>
      </c>
      <c r="G87" s="120">
        <v>5000</v>
      </c>
      <c r="H87" s="6"/>
    </row>
    <row r="88" spans="1:8">
      <c r="A88" s="5">
        <v>6.08</v>
      </c>
      <c r="B88" s="1" t="s">
        <v>1187</v>
      </c>
      <c r="C88" s="120">
        <v>145000</v>
      </c>
      <c r="D88" s="120"/>
      <c r="E88" s="1620" t="s">
        <v>345</v>
      </c>
      <c r="F88" s="1621"/>
      <c r="G88" s="1280">
        <f>SUM(G86:G87)</f>
        <v>25000</v>
      </c>
      <c r="H88" s="6"/>
    </row>
    <row r="89" spans="1:8">
      <c r="A89" s="5">
        <v>10.07</v>
      </c>
      <c r="B89" s="1" t="s">
        <v>1187</v>
      </c>
      <c r="C89" s="120">
        <v>200000</v>
      </c>
      <c r="D89" s="120"/>
      <c r="E89" s="120"/>
      <c r="F89" s="1"/>
      <c r="G89" s="120"/>
      <c r="H89" s="6"/>
    </row>
    <row r="90" spans="1:8">
      <c r="A90" s="5">
        <v>28.09</v>
      </c>
      <c r="B90" s="1" t="s">
        <v>1187</v>
      </c>
      <c r="C90" s="120">
        <v>235000</v>
      </c>
      <c r="D90" s="120"/>
      <c r="E90" s="120"/>
      <c r="F90" s="1"/>
      <c r="G90" s="120"/>
      <c r="H90" s="6"/>
    </row>
    <row r="91" spans="1:8">
      <c r="A91" s="5">
        <v>17.09</v>
      </c>
      <c r="B91" s="1" t="s">
        <v>1187</v>
      </c>
      <c r="C91" s="120">
        <v>250000</v>
      </c>
      <c r="D91" s="120"/>
      <c r="E91" s="120"/>
      <c r="F91" s="1"/>
      <c r="G91" s="120"/>
      <c r="H91" s="6"/>
    </row>
    <row r="92" spans="1:8">
      <c r="A92" s="5">
        <v>6.07</v>
      </c>
      <c r="B92" s="1" t="s">
        <v>1187</v>
      </c>
      <c r="C92" s="120">
        <v>300000</v>
      </c>
      <c r="D92" s="120"/>
      <c r="E92" s="120"/>
      <c r="F92" s="1"/>
      <c r="G92" s="120"/>
      <c r="H92" s="6"/>
    </row>
    <row r="93" spans="1:8">
      <c r="A93" s="5">
        <v>14.09</v>
      </c>
      <c r="B93" s="1" t="s">
        <v>1187</v>
      </c>
      <c r="C93" s="120">
        <v>400000</v>
      </c>
      <c r="D93" s="120"/>
      <c r="E93" s="120"/>
      <c r="F93" s="1"/>
      <c r="G93" s="120"/>
      <c r="H93" s="6"/>
    </row>
    <row r="94" spans="1:8">
      <c r="A94" s="5">
        <v>9.07</v>
      </c>
      <c r="B94" s="1" t="s">
        <v>1187</v>
      </c>
      <c r="C94" s="120">
        <v>600000</v>
      </c>
      <c r="D94" s="120"/>
      <c r="E94" s="120"/>
      <c r="F94" s="1"/>
      <c r="G94" s="120"/>
      <c r="H94" s="6"/>
    </row>
    <row r="95" spans="1:8">
      <c r="A95" s="5">
        <v>16.010000000000002</v>
      </c>
      <c r="B95" s="1" t="s">
        <v>1202</v>
      </c>
      <c r="C95" s="120">
        <v>800000</v>
      </c>
      <c r="D95" s="120"/>
      <c r="E95" s="120"/>
      <c r="F95" s="1"/>
      <c r="G95" s="120"/>
      <c r="H95" s="6"/>
    </row>
    <row r="96" spans="1:8">
      <c r="A96" s="5">
        <v>10.039999999999999</v>
      </c>
      <c r="B96" s="1" t="s">
        <v>1187</v>
      </c>
      <c r="C96" s="120">
        <v>1000000</v>
      </c>
      <c r="D96" s="120"/>
      <c r="E96" s="120"/>
      <c r="F96" s="1"/>
      <c r="G96" s="120"/>
      <c r="H96" s="6"/>
    </row>
    <row r="97" spans="1:8">
      <c r="A97" s="5">
        <v>30.05</v>
      </c>
      <c r="B97" s="1" t="s">
        <v>1187</v>
      </c>
      <c r="C97" s="120">
        <v>1000000</v>
      </c>
      <c r="D97" s="120"/>
      <c r="E97" s="120"/>
      <c r="F97" s="1"/>
      <c r="G97" s="120"/>
      <c r="H97" s="6"/>
    </row>
    <row r="98" spans="1:8">
      <c r="A98" s="5">
        <v>10.07</v>
      </c>
      <c r="B98" s="1" t="s">
        <v>1187</v>
      </c>
      <c r="C98" s="120">
        <v>1000000</v>
      </c>
      <c r="D98" s="120"/>
      <c r="E98" s="120"/>
      <c r="F98" s="1"/>
      <c r="G98" s="120"/>
      <c r="H98" s="6"/>
    </row>
    <row r="99" spans="1:8">
      <c r="A99" s="5">
        <v>16.079999999999998</v>
      </c>
      <c r="B99" s="1" t="s">
        <v>1187</v>
      </c>
      <c r="C99" s="120">
        <v>1100000</v>
      </c>
      <c r="D99" s="120"/>
      <c r="E99" s="1"/>
      <c r="F99" s="1"/>
      <c r="G99" s="120"/>
      <c r="H99" s="6"/>
    </row>
    <row r="100" spans="1:8">
      <c r="A100" s="5">
        <v>30.04</v>
      </c>
      <c r="B100" s="1" t="s">
        <v>1187</v>
      </c>
      <c r="C100" s="120">
        <v>1300000</v>
      </c>
      <c r="D100" s="120"/>
      <c r="E100" s="1"/>
      <c r="F100" s="1"/>
      <c r="G100" s="120"/>
      <c r="H100" s="6"/>
    </row>
    <row r="101" spans="1:8">
      <c r="A101" s="5">
        <v>27.03</v>
      </c>
      <c r="B101" s="1" t="s">
        <v>1202</v>
      </c>
      <c r="C101" s="120">
        <v>2000000</v>
      </c>
      <c r="D101" s="120"/>
      <c r="E101" s="1"/>
      <c r="F101" s="1"/>
      <c r="G101" s="120"/>
      <c r="H101" s="6"/>
    </row>
    <row r="102" spans="1:8">
      <c r="A102" s="1617" t="s">
        <v>344</v>
      </c>
      <c r="B102" s="1616"/>
      <c r="C102" s="1280">
        <f>SUM(C58:C101)</f>
        <v>16941636</v>
      </c>
      <c r="D102" s="120"/>
      <c r="E102" s="120"/>
      <c r="F102" s="1"/>
      <c r="G102" s="120"/>
      <c r="H102" s="6"/>
    </row>
    <row r="103" spans="1:8">
      <c r="A103" s="5">
        <v>7.02</v>
      </c>
      <c r="B103" s="1" t="s">
        <v>1196</v>
      </c>
      <c r="C103" s="1">
        <v>4163.5499999999993</v>
      </c>
      <c r="D103" s="120"/>
      <c r="E103" s="1"/>
      <c r="F103" s="1"/>
      <c r="G103" s="120"/>
      <c r="H103" s="6"/>
    </row>
    <row r="104" spans="1:8">
      <c r="A104" s="5">
        <v>6.04</v>
      </c>
      <c r="B104" s="1" t="s">
        <v>1196</v>
      </c>
      <c r="C104" s="1">
        <v>8150</v>
      </c>
      <c r="D104" s="120"/>
      <c r="E104" s="1"/>
      <c r="F104" s="1"/>
      <c r="G104" s="120"/>
      <c r="H104" s="6"/>
    </row>
    <row r="105" spans="1:8">
      <c r="A105" s="5">
        <v>1.03</v>
      </c>
      <c r="B105" s="1" t="s">
        <v>1196</v>
      </c>
      <c r="C105" s="1">
        <v>20249</v>
      </c>
      <c r="D105" s="120"/>
      <c r="E105" s="1"/>
      <c r="F105" s="1"/>
      <c r="G105" s="120"/>
      <c r="H105" s="6"/>
    </row>
    <row r="106" spans="1:8">
      <c r="A106" s="5">
        <v>12.06</v>
      </c>
      <c r="B106" s="1" t="s">
        <v>1214</v>
      </c>
      <c r="C106" s="1">
        <v>172000</v>
      </c>
      <c r="D106" s="120"/>
      <c r="E106" s="1"/>
      <c r="F106" s="1"/>
      <c r="G106" s="120"/>
      <c r="H106" s="6"/>
    </row>
    <row r="107" spans="1:8">
      <c r="A107" s="5">
        <v>14.12</v>
      </c>
      <c r="B107" s="1" t="s">
        <v>1222</v>
      </c>
      <c r="C107" s="1">
        <v>184000</v>
      </c>
      <c r="D107" s="120"/>
      <c r="E107" s="1"/>
      <c r="F107" s="1"/>
      <c r="G107" s="120"/>
      <c r="H107" s="6"/>
    </row>
    <row r="108" spans="1:8">
      <c r="A108" s="5">
        <v>30.04</v>
      </c>
      <c r="B108" s="1" t="s">
        <v>1196</v>
      </c>
      <c r="C108" s="1">
        <v>800000</v>
      </c>
      <c r="D108" s="120"/>
      <c r="E108" s="1"/>
      <c r="F108" s="1"/>
      <c r="G108" s="120"/>
      <c r="H108" s="6"/>
    </row>
    <row r="109" spans="1:8">
      <c r="A109" s="5">
        <v>6.04</v>
      </c>
      <c r="B109" s="1" t="s">
        <v>1196</v>
      </c>
      <c r="C109" s="1">
        <v>980000</v>
      </c>
      <c r="D109" s="120"/>
      <c r="E109" s="1"/>
      <c r="F109" s="1"/>
      <c r="G109" s="120"/>
      <c r="H109" s="6"/>
    </row>
    <row r="110" spans="1:8" ht="13.5" thickBot="1">
      <c r="A110" s="1619" t="s">
        <v>344</v>
      </c>
      <c r="B110" s="1614"/>
      <c r="C110" s="1281">
        <f>SUM(C103:C109)</f>
        <v>2168562.5499999998</v>
      </c>
      <c r="D110" s="162"/>
      <c r="E110" s="8"/>
      <c r="F110" s="8"/>
      <c r="G110" s="162"/>
      <c r="H110" s="9"/>
    </row>
  </sheetData>
  <mergeCells count="10">
    <mergeCell ref="A110:B110"/>
    <mergeCell ref="M21:N21"/>
    <mergeCell ref="E88:F88"/>
    <mergeCell ref="B7:C7"/>
    <mergeCell ref="B16:C16"/>
    <mergeCell ref="F3:G3"/>
    <mergeCell ref="I55:J55"/>
    <mergeCell ref="M32:N32"/>
    <mergeCell ref="A102:B102"/>
    <mergeCell ref="A57:C5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J41"/>
  <sheetViews>
    <sheetView topLeftCell="A28" workbookViewId="0">
      <selection activeCell="E22" sqref="E22"/>
    </sheetView>
  </sheetViews>
  <sheetFormatPr defaultRowHeight="12.75"/>
  <cols>
    <col min="1" max="1" width="3.85546875" customWidth="1"/>
    <col min="2" max="2" width="4.28515625" customWidth="1"/>
    <col min="3" max="3" width="53.5703125" customWidth="1"/>
    <col min="4" max="4" width="9.42578125" customWidth="1"/>
    <col min="5" max="5" width="13.28515625" style="79" customWidth="1"/>
    <col min="6" max="6" width="12.5703125" style="79" customWidth="1"/>
    <col min="7" max="7" width="7.140625" customWidth="1"/>
    <col min="8" max="8" width="11.28515625" bestFit="1" customWidth="1"/>
  </cols>
  <sheetData>
    <row r="1" spans="2:8">
      <c r="E1" s="84" t="str">
        <f>'Kopertina '!F4</f>
        <v>Eskeld</v>
      </c>
    </row>
    <row r="2" spans="2:8" ht="15.75">
      <c r="B2" s="1341" t="s">
        <v>71</v>
      </c>
      <c r="C2" s="1341"/>
      <c r="D2" s="1341"/>
      <c r="F2" s="84">
        <f>'Kopertina '!F29</f>
        <v>2012</v>
      </c>
    </row>
    <row r="3" spans="2:8" ht="15.75">
      <c r="B3" s="20"/>
      <c r="C3" s="20"/>
      <c r="D3" s="20"/>
    </row>
    <row r="4" spans="2:8" ht="15.75">
      <c r="B4" s="1341" t="s">
        <v>55</v>
      </c>
      <c r="C4" s="1341"/>
      <c r="D4" s="1341"/>
    </row>
    <row r="5" spans="2:8" ht="13.5" thickBot="1"/>
    <row r="6" spans="2:8" ht="18.75" customHeight="1">
      <c r="B6" s="1345" t="s">
        <v>1</v>
      </c>
      <c r="C6" s="1345" t="s">
        <v>56</v>
      </c>
      <c r="D6" s="1343" t="s">
        <v>702</v>
      </c>
      <c r="E6" s="1334" t="s">
        <v>703</v>
      </c>
      <c r="F6" s="1334" t="s">
        <v>704</v>
      </c>
    </row>
    <row r="7" spans="2:8" ht="13.5" customHeight="1" thickBot="1">
      <c r="B7" s="1346"/>
      <c r="C7" s="1346"/>
      <c r="D7" s="1344"/>
      <c r="E7" s="1342"/>
      <c r="F7" s="1342"/>
    </row>
    <row r="8" spans="2:8" ht="22.5" customHeight="1">
      <c r="B8" s="892" t="s">
        <v>73</v>
      </c>
      <c r="C8" s="893" t="s">
        <v>281</v>
      </c>
      <c r="D8" s="893"/>
      <c r="E8" s="894">
        <f>E9+E10+E11+E12+E13+E14+E15</f>
        <v>13982000</v>
      </c>
      <c r="F8" s="895">
        <f>F9+F10+F11+F12 +F13+F14+F15</f>
        <v>20101000</v>
      </c>
      <c r="H8" s="700">
        <f>+E8-'P -Ardh Analiz '!Z30</f>
        <v>0</v>
      </c>
    </row>
    <row r="9" spans="2:8" ht="25.5" customHeight="1">
      <c r="B9" s="23">
        <v>1</v>
      </c>
      <c r="C9" s="75" t="s">
        <v>767</v>
      </c>
      <c r="D9" s="53" t="s">
        <v>766</v>
      </c>
      <c r="E9" s="891"/>
      <c r="F9" s="896"/>
    </row>
    <row r="10" spans="2:8" ht="23.25" customHeight="1">
      <c r="B10" s="23">
        <v>2</v>
      </c>
      <c r="C10" s="75" t="s">
        <v>832</v>
      </c>
      <c r="D10" s="53" t="s">
        <v>766</v>
      </c>
      <c r="E10" s="340">
        <v>0</v>
      </c>
      <c r="F10" s="341"/>
    </row>
    <row r="11" spans="2:8" ht="23.25" customHeight="1">
      <c r="B11" s="23">
        <v>3</v>
      </c>
      <c r="C11" s="75" t="s">
        <v>1086</v>
      </c>
      <c r="D11" s="53" t="s">
        <v>130</v>
      </c>
      <c r="E11" s="340">
        <f>+'P -Ardh Analiz '!AC30</f>
        <v>13982000</v>
      </c>
      <c r="F11" s="341">
        <v>20101000</v>
      </c>
    </row>
    <row r="12" spans="2:8" ht="22.5" customHeight="1">
      <c r="B12" s="23">
        <v>4</v>
      </c>
      <c r="C12" s="75" t="s">
        <v>768</v>
      </c>
      <c r="D12" s="53" t="s">
        <v>769</v>
      </c>
      <c r="E12" s="340">
        <f>'P -Ardh Analiz '!AB30</f>
        <v>0</v>
      </c>
      <c r="F12" s="341">
        <v>0</v>
      </c>
    </row>
    <row r="13" spans="2:8" ht="22.5" customHeight="1">
      <c r="B13" s="23">
        <v>5</v>
      </c>
      <c r="C13" s="75" t="s">
        <v>648</v>
      </c>
      <c r="D13" s="53" t="s">
        <v>769</v>
      </c>
      <c r="E13" s="340">
        <f>'P -Ardh Analiz '!AA30</f>
        <v>0</v>
      </c>
      <c r="F13" s="341"/>
    </row>
    <row r="14" spans="2:8" ht="22.5" customHeight="1">
      <c r="B14" s="23">
        <v>6</v>
      </c>
      <c r="C14" s="75" t="s">
        <v>649</v>
      </c>
      <c r="D14" s="53" t="s">
        <v>769</v>
      </c>
      <c r="E14" s="340">
        <f>'P -Ardh Analiz '!AF30</f>
        <v>0</v>
      </c>
      <c r="F14" s="341"/>
    </row>
    <row r="15" spans="2:8" ht="22.5" customHeight="1">
      <c r="B15" s="23">
        <v>7</v>
      </c>
      <c r="C15" s="75" t="s">
        <v>460</v>
      </c>
      <c r="D15" s="53"/>
      <c r="E15" s="340">
        <f>'AKTIVI '!E23-'AKTIVI '!F23</f>
        <v>0</v>
      </c>
      <c r="F15" s="341"/>
    </row>
    <row r="16" spans="2:8" ht="21" customHeight="1">
      <c r="B16" s="335" t="s">
        <v>79</v>
      </c>
      <c r="C16" s="336" t="s">
        <v>226</v>
      </c>
      <c r="D16" s="337"/>
      <c r="E16" s="342">
        <f>E17+E18+E19+E22+E23+E24+E25</f>
        <v>12331279.717930557</v>
      </c>
      <c r="F16" s="345">
        <f>F17+F18+F19+F22+F23+F24+F25</f>
        <v>16400012</v>
      </c>
    </row>
    <row r="17" spans="2:8" ht="22.5" customHeight="1">
      <c r="B17" s="274">
        <v>8</v>
      </c>
      <c r="C17" s="77" t="s">
        <v>461</v>
      </c>
      <c r="D17" s="227"/>
      <c r="E17" s="343">
        <f>'AKTIVI '!E23+'AKTIVI '!E24-'AKTIVI '!F23-'AKTIVI '!F24</f>
        <v>0</v>
      </c>
      <c r="F17" s="344"/>
    </row>
    <row r="18" spans="2:8" ht="22.5" customHeight="1">
      <c r="B18" s="23">
        <v>9</v>
      </c>
      <c r="C18" s="22" t="s">
        <v>57</v>
      </c>
      <c r="D18" s="53" t="s">
        <v>157</v>
      </c>
      <c r="E18" s="340">
        <f>S!Q30+'AKTIVI '!F22+'AKTIVI '!F25-'AKTIVI '!E25-'AKTIVI '!E22</f>
        <v>2597073.6900000009</v>
      </c>
      <c r="F18" s="341">
        <v>3456401</v>
      </c>
      <c r="H18" s="700"/>
    </row>
    <row r="19" spans="2:8" ht="21.75" customHeight="1">
      <c r="B19" s="23">
        <v>10</v>
      </c>
      <c r="C19" s="22" t="s">
        <v>58</v>
      </c>
      <c r="D19" s="53" t="s">
        <v>158</v>
      </c>
      <c r="E19" s="340">
        <f>E20+E21</f>
        <v>8976054.0209999997</v>
      </c>
      <c r="F19" s="341">
        <f>F20+F21</f>
        <v>5996541</v>
      </c>
      <c r="H19" s="700"/>
    </row>
    <row r="20" spans="2:8" ht="21.75" customHeight="1">
      <c r="B20" s="23"/>
      <c r="C20" s="22" t="s">
        <v>59</v>
      </c>
      <c r="D20" s="53"/>
      <c r="E20" s="340">
        <f>T!C27</f>
        <v>7691563</v>
      </c>
      <c r="F20" s="341">
        <v>5138346</v>
      </c>
    </row>
    <row r="21" spans="2:8" ht="19.5" customHeight="1">
      <c r="B21" s="23"/>
      <c r="C21" s="22" t="s">
        <v>60</v>
      </c>
      <c r="D21" s="53"/>
      <c r="E21" s="340">
        <f>T!F27+T!I27/2</f>
        <v>1284491.0209999999</v>
      </c>
      <c r="F21" s="341">
        <v>858195</v>
      </c>
    </row>
    <row r="22" spans="2:8" ht="21" customHeight="1">
      <c r="B22" s="23">
        <v>11</v>
      </c>
      <c r="C22" s="22" t="s">
        <v>61</v>
      </c>
      <c r="D22" s="53" t="s">
        <v>159</v>
      </c>
      <c r="E22" s="340">
        <f>+U!L60</f>
        <v>758152.00693055568</v>
      </c>
      <c r="F22" s="341">
        <v>5590549</v>
      </c>
      <c r="G22" t="s">
        <v>1263</v>
      </c>
    </row>
    <row r="23" spans="2:8" ht="19.5" customHeight="1">
      <c r="B23" s="23">
        <v>12</v>
      </c>
      <c r="C23" s="75" t="s">
        <v>724</v>
      </c>
      <c r="D23" s="53" t="s">
        <v>159</v>
      </c>
      <c r="E23" s="340">
        <f>U!G60-U!M60</f>
        <v>0</v>
      </c>
      <c r="F23" s="341"/>
    </row>
    <row r="24" spans="2:8" ht="21.75" customHeight="1">
      <c r="B24" s="23">
        <v>13</v>
      </c>
      <c r="C24" s="22" t="s">
        <v>249</v>
      </c>
      <c r="D24" s="53" t="s">
        <v>160</v>
      </c>
      <c r="E24" s="340">
        <f>V!I35</f>
        <v>1.1641532182693481E-10</v>
      </c>
      <c r="F24" s="341">
        <v>1356521</v>
      </c>
    </row>
    <row r="25" spans="2:8" ht="26.25" customHeight="1">
      <c r="B25" s="23">
        <v>14</v>
      </c>
      <c r="C25" s="75" t="s">
        <v>731</v>
      </c>
      <c r="D25" s="53" t="s">
        <v>160</v>
      </c>
      <c r="E25" s="340">
        <f>V!G42</f>
        <v>0</v>
      </c>
      <c r="F25" s="341"/>
    </row>
    <row r="26" spans="2:8" ht="18.75" customHeight="1">
      <c r="B26" s="335" t="s">
        <v>84</v>
      </c>
      <c r="C26" s="336" t="s">
        <v>62</v>
      </c>
      <c r="D26" s="337"/>
      <c r="E26" s="342">
        <f>E8-E16</f>
        <v>1650720.2820694428</v>
      </c>
      <c r="F26" s="345">
        <f>F8-F16</f>
        <v>3700988</v>
      </c>
    </row>
    <row r="27" spans="2:8" ht="18.75" customHeight="1">
      <c r="B27" s="23">
        <v>15</v>
      </c>
      <c r="C27" s="22" t="s">
        <v>64</v>
      </c>
      <c r="D27" s="53"/>
      <c r="E27" s="340"/>
      <c r="F27" s="341"/>
    </row>
    <row r="28" spans="2:8" ht="20.25" customHeight="1">
      <c r="B28" s="23">
        <v>16</v>
      </c>
      <c r="C28" s="22" t="s">
        <v>63</v>
      </c>
      <c r="D28" s="53"/>
      <c r="E28" s="340"/>
      <c r="F28" s="341"/>
    </row>
    <row r="29" spans="2:8" ht="19.5" customHeight="1">
      <c r="B29" s="23">
        <v>17</v>
      </c>
      <c r="C29" s="22" t="s">
        <v>65</v>
      </c>
      <c r="D29" s="53"/>
      <c r="E29" s="340">
        <f>E30-E31-E32-E33</f>
        <v>0</v>
      </c>
      <c r="F29" s="341">
        <f>F30+F31+F32+F33</f>
        <v>0</v>
      </c>
    </row>
    <row r="30" spans="2:8" ht="18.75" customHeight="1">
      <c r="B30" s="23"/>
      <c r="C30" s="75" t="s">
        <v>725</v>
      </c>
      <c r="D30" s="53"/>
      <c r="E30" s="340"/>
      <c r="F30" s="341"/>
    </row>
    <row r="31" spans="2:8" ht="19.5" customHeight="1">
      <c r="B31" s="23"/>
      <c r="C31" s="75" t="s">
        <v>726</v>
      </c>
      <c r="D31" s="53"/>
      <c r="E31" s="340">
        <f>V!E35</f>
        <v>0</v>
      </c>
      <c r="F31" s="341"/>
    </row>
    <row r="32" spans="2:8" ht="18" customHeight="1">
      <c r="B32" s="23"/>
      <c r="C32" s="75" t="s">
        <v>727</v>
      </c>
      <c r="D32" s="53"/>
      <c r="E32" s="340"/>
      <c r="F32" s="341"/>
    </row>
    <row r="33" spans="2:10" ht="19.5" customHeight="1">
      <c r="B33" s="23"/>
      <c r="C33" s="75" t="s">
        <v>728</v>
      </c>
      <c r="D33" s="53"/>
      <c r="E33" s="340">
        <v>0</v>
      </c>
      <c r="F33" s="341">
        <v>0</v>
      </c>
    </row>
    <row r="34" spans="2:10" ht="22.5" customHeight="1">
      <c r="B34" s="335" t="s">
        <v>115</v>
      </c>
      <c r="C34" s="336" t="s">
        <v>66</v>
      </c>
      <c r="D34" s="337"/>
      <c r="E34" s="346">
        <f>E27+E28+E29</f>
        <v>0</v>
      </c>
      <c r="F34" s="347">
        <f>F29</f>
        <v>0</v>
      </c>
    </row>
    <row r="35" spans="2:10" ht="22.5" customHeight="1">
      <c r="B35" s="23">
        <v>18</v>
      </c>
      <c r="C35" s="26" t="s">
        <v>462</v>
      </c>
      <c r="D35" s="227"/>
      <c r="E35" s="343">
        <f>E26+E34</f>
        <v>1650720.2820694428</v>
      </c>
      <c r="F35" s="344">
        <f>F26+F34</f>
        <v>3700988</v>
      </c>
      <c r="I35" s="565">
        <f>+E35/E8*100</f>
        <v>11.806038349802909</v>
      </c>
      <c r="J35" s="565">
        <f>+F35/F8*100</f>
        <v>18.411959603999801</v>
      </c>
    </row>
    <row r="36" spans="2:10" ht="20.25" customHeight="1">
      <c r="B36" s="23">
        <v>19</v>
      </c>
      <c r="C36" s="26" t="s">
        <v>732</v>
      </c>
      <c r="D36" s="227" t="s">
        <v>160</v>
      </c>
      <c r="E36" s="343">
        <v>0</v>
      </c>
      <c r="F36" s="344"/>
    </row>
    <row r="37" spans="2:10" ht="20.25" customHeight="1">
      <c r="B37" s="23">
        <v>20</v>
      </c>
      <c r="C37" s="26" t="s">
        <v>798</v>
      </c>
      <c r="D37" s="227"/>
      <c r="E37" s="343">
        <v>0</v>
      </c>
      <c r="F37" s="344"/>
    </row>
    <row r="38" spans="2:10" ht="21" customHeight="1">
      <c r="B38" s="23">
        <v>21</v>
      </c>
      <c r="C38" s="22" t="s">
        <v>68</v>
      </c>
      <c r="D38" s="53"/>
      <c r="E38" s="340">
        <f>(E35+E36-E37)*0.1</f>
        <v>165072.02820694429</v>
      </c>
      <c r="F38" s="341">
        <f>F35*0.1</f>
        <v>370098.80000000005</v>
      </c>
    </row>
    <row r="39" spans="2:10" ht="24" customHeight="1">
      <c r="B39" s="335">
        <v>22</v>
      </c>
      <c r="C39" s="336" t="s">
        <v>69</v>
      </c>
      <c r="D39" s="337"/>
      <c r="E39" s="342">
        <f>E35+E37-E38</f>
        <v>1485648.2538624986</v>
      </c>
      <c r="F39" s="345">
        <f>F35-F38</f>
        <v>3330889.2</v>
      </c>
    </row>
    <row r="40" spans="2:10" ht="16.5" customHeight="1" thickBot="1">
      <c r="B40" s="24">
        <v>23</v>
      </c>
      <c r="C40" s="25" t="s">
        <v>70</v>
      </c>
      <c r="D40" s="54"/>
      <c r="E40" s="348"/>
      <c r="F40" s="349"/>
    </row>
    <row r="41" spans="2:10">
      <c r="B41" s="21"/>
    </row>
  </sheetData>
  <mergeCells count="7">
    <mergeCell ref="B2:D2"/>
    <mergeCell ref="B4:D4"/>
    <mergeCell ref="F6:F7"/>
    <mergeCell ref="E6:E7"/>
    <mergeCell ref="D6:D7"/>
    <mergeCell ref="B6:B7"/>
    <mergeCell ref="C6:C7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B1:I29"/>
  <sheetViews>
    <sheetView workbookViewId="0">
      <selection activeCell="K12" sqref="K12"/>
    </sheetView>
  </sheetViews>
  <sheetFormatPr defaultRowHeight="12.75"/>
  <cols>
    <col min="2" max="2" width="8.140625" customWidth="1"/>
    <col min="4" max="5" width="11.42578125" customWidth="1"/>
    <col min="7" max="7" width="13.85546875" customWidth="1"/>
    <col min="11" max="15" width="15.85546875" customWidth="1"/>
  </cols>
  <sheetData>
    <row r="1" spans="2:9" ht="24" customHeight="1"/>
    <row r="2" spans="2:9" ht="24" customHeight="1" thickBot="1"/>
    <row r="3" spans="2:9" ht="24" customHeight="1">
      <c r="B3" s="775"/>
      <c r="C3" s="776"/>
      <c r="D3" s="776"/>
      <c r="E3" s="776"/>
      <c r="F3" s="776"/>
      <c r="G3" s="776"/>
      <c r="H3" s="776"/>
      <c r="I3" s="777"/>
    </row>
    <row r="4" spans="2:9" ht="24" customHeight="1">
      <c r="B4" s="778"/>
      <c r="C4" s="779"/>
      <c r="D4" s="779"/>
      <c r="E4" s="779"/>
      <c r="F4" s="779"/>
      <c r="G4" s="779"/>
      <c r="H4" s="779"/>
      <c r="I4" s="780"/>
    </row>
    <row r="5" spans="2:9" ht="24" customHeight="1">
      <c r="B5" s="778"/>
      <c r="C5" s="779"/>
      <c r="D5" s="779"/>
      <c r="E5" s="779"/>
      <c r="F5" s="779"/>
      <c r="G5" s="779"/>
      <c r="H5" s="779"/>
      <c r="I5" s="780"/>
    </row>
    <row r="6" spans="2:9" ht="24" customHeight="1">
      <c r="B6" s="778"/>
      <c r="C6" s="1323" t="s">
        <v>706</v>
      </c>
      <c r="D6" s="1323"/>
      <c r="E6" s="1323"/>
      <c r="F6" s="1323"/>
      <c r="G6" s="1323"/>
      <c r="H6" s="1323"/>
      <c r="I6" s="780"/>
    </row>
    <row r="7" spans="2:9" ht="24" customHeight="1">
      <c r="B7" s="778"/>
      <c r="C7" s="779"/>
      <c r="D7" s="779"/>
      <c r="E7" s="779"/>
      <c r="F7" s="779"/>
      <c r="G7" s="779"/>
      <c r="H7" s="779"/>
      <c r="I7" s="780"/>
    </row>
    <row r="8" spans="2:9" ht="24" customHeight="1">
      <c r="B8" s="778"/>
      <c r="C8" s="779"/>
      <c r="D8" s="779"/>
      <c r="E8" s="779"/>
      <c r="F8" s="779"/>
      <c r="G8" s="779"/>
      <c r="H8" s="779"/>
      <c r="I8" s="780"/>
    </row>
    <row r="9" spans="2:9" ht="24" customHeight="1">
      <c r="B9" s="778"/>
      <c r="C9" s="779"/>
      <c r="D9" s="779"/>
      <c r="E9" s="779"/>
      <c r="F9" s="779"/>
      <c r="G9" s="779"/>
      <c r="H9" s="779"/>
      <c r="I9" s="780"/>
    </row>
    <row r="10" spans="2:9" ht="24" customHeight="1">
      <c r="B10" s="778"/>
      <c r="C10" s="779"/>
      <c r="D10" s="779"/>
      <c r="E10" s="779"/>
      <c r="F10" s="779"/>
      <c r="G10" s="779"/>
      <c r="H10" s="779"/>
      <c r="I10" s="780"/>
    </row>
    <row r="11" spans="2:9" ht="24" customHeight="1">
      <c r="B11" s="778"/>
      <c r="C11" s="779"/>
      <c r="D11" s="779"/>
      <c r="E11" s="779"/>
      <c r="F11" s="779"/>
      <c r="G11" s="779"/>
      <c r="H11" s="779"/>
      <c r="I11" s="780"/>
    </row>
    <row r="12" spans="2:9" ht="24" customHeight="1" thickBot="1">
      <c r="B12" s="778"/>
      <c r="C12" s="779"/>
      <c r="D12" s="779"/>
      <c r="E12" s="779"/>
      <c r="F12" s="779"/>
      <c r="G12" s="781"/>
      <c r="H12" s="779"/>
      <c r="I12" s="780"/>
    </row>
    <row r="13" spans="2:9" ht="24" customHeight="1" thickBot="1">
      <c r="B13" s="778"/>
      <c r="C13" s="1408" t="s">
        <v>688</v>
      </c>
      <c r="D13" s="1409"/>
      <c r="E13" s="1410"/>
      <c r="F13" s="779"/>
      <c r="G13" s="782">
        <f>+'[1]PASIVI '!F29</f>
        <v>1000000</v>
      </c>
      <c r="H13" s="779"/>
      <c r="I13" s="780"/>
    </row>
    <row r="14" spans="2:9" ht="24" customHeight="1" thickBot="1">
      <c r="B14" s="778"/>
      <c r="C14" s="779"/>
      <c r="D14" s="779"/>
      <c r="E14" s="779"/>
      <c r="F14" s="779"/>
      <c r="G14" s="781"/>
      <c r="H14" s="779"/>
      <c r="I14" s="780"/>
    </row>
    <row r="15" spans="2:9" ht="24" customHeight="1" thickBot="1">
      <c r="B15" s="778"/>
      <c r="C15" s="1408" t="s">
        <v>689</v>
      </c>
      <c r="D15" s="1411"/>
      <c r="E15" s="1412"/>
      <c r="F15" s="779"/>
      <c r="G15" s="782">
        <f>+G16+G17</f>
        <v>4090443</v>
      </c>
      <c r="H15" s="779"/>
      <c r="I15" s="780"/>
    </row>
    <row r="16" spans="2:9" ht="24" customHeight="1">
      <c r="B16" s="778"/>
      <c r="C16" s="783"/>
      <c r="D16" s="1404" t="s">
        <v>1258</v>
      </c>
      <c r="E16" s="1405"/>
      <c r="F16" s="779"/>
      <c r="G16" s="1284">
        <f>15900*139.59</f>
        <v>2219481</v>
      </c>
      <c r="H16" s="779"/>
      <c r="I16" s="780"/>
    </row>
    <row r="17" spans="2:9" ht="24" customHeight="1" thickBot="1">
      <c r="B17" s="778"/>
      <c r="C17" s="783"/>
      <c r="D17" s="1406" t="s">
        <v>1259</v>
      </c>
      <c r="E17" s="1407"/>
      <c r="F17" s="779"/>
      <c r="G17" s="161">
        <v>1870962</v>
      </c>
      <c r="H17" s="779"/>
      <c r="I17" s="780"/>
    </row>
    <row r="18" spans="2:9" ht="24" customHeight="1">
      <c r="B18" s="778"/>
      <c r="C18" s="783"/>
      <c r="D18" s="779"/>
      <c r="E18" s="779"/>
      <c r="F18" s="779"/>
      <c r="G18" s="781"/>
      <c r="H18" s="779"/>
      <c r="I18" s="780"/>
    </row>
    <row r="19" spans="2:9" ht="24" customHeight="1" thickBot="1">
      <c r="B19" s="778"/>
      <c r="C19" s="779"/>
      <c r="D19" s="779"/>
      <c r="E19" s="779"/>
      <c r="F19" s="779"/>
      <c r="G19" s="781"/>
      <c r="H19" s="779"/>
      <c r="I19" s="780"/>
    </row>
    <row r="20" spans="2:9" ht="24" customHeight="1" thickBot="1">
      <c r="B20" s="778"/>
      <c r="C20" s="1408" t="s">
        <v>1260</v>
      </c>
      <c r="D20" s="1411"/>
      <c r="E20" s="1412"/>
      <c r="F20" s="779"/>
      <c r="G20" s="782">
        <f>+G21+G22</f>
        <v>1131707.5</v>
      </c>
      <c r="H20" s="779"/>
      <c r="I20" s="780"/>
    </row>
    <row r="21" spans="2:9" ht="24" customHeight="1">
      <c r="B21" s="778"/>
      <c r="C21" s="779"/>
      <c r="D21" s="1404" t="s">
        <v>1261</v>
      </c>
      <c r="E21" s="1405"/>
      <c r="F21" s="779"/>
      <c r="G21" s="1284">
        <f>850*139.59</f>
        <v>118651.5</v>
      </c>
      <c r="H21" s="779"/>
      <c r="I21" s="780"/>
    </row>
    <row r="22" spans="2:9" ht="24" customHeight="1" thickBot="1">
      <c r="B22" s="778"/>
      <c r="C22" s="779"/>
      <c r="D22" s="1406" t="s">
        <v>1262</v>
      </c>
      <c r="E22" s="1407"/>
      <c r="F22" s="779"/>
      <c r="G22" s="161">
        <v>1013056</v>
      </c>
      <c r="H22" s="779"/>
      <c r="I22" s="780"/>
    </row>
    <row r="23" spans="2:9" ht="24" customHeight="1">
      <c r="B23" s="778"/>
      <c r="C23" s="779"/>
      <c r="D23" s="779"/>
      <c r="E23" s="779"/>
      <c r="F23" s="779"/>
      <c r="G23" s="781"/>
      <c r="H23" s="779"/>
      <c r="I23" s="780"/>
    </row>
    <row r="24" spans="2:9" ht="24" customHeight="1">
      <c r="B24" s="778"/>
      <c r="C24" s="779"/>
      <c r="D24" s="779"/>
      <c r="E24" s="779"/>
      <c r="F24" s="779"/>
      <c r="G24" s="781"/>
      <c r="H24" s="779"/>
      <c r="I24" s="780"/>
    </row>
    <row r="25" spans="2:9" ht="24" customHeight="1">
      <c r="B25" s="778"/>
      <c r="C25" s="779"/>
      <c r="D25" s="779"/>
      <c r="E25" s="779"/>
      <c r="F25" s="779"/>
      <c r="G25" s="781"/>
      <c r="H25" s="779"/>
      <c r="I25" s="780"/>
    </row>
    <row r="26" spans="2:9" ht="24" customHeight="1" thickBot="1">
      <c r="B26" s="778"/>
      <c r="C26" s="779"/>
      <c r="D26" s="779"/>
      <c r="E26" s="779"/>
      <c r="F26" s="779"/>
      <c r="G26" s="781"/>
      <c r="H26" s="779"/>
      <c r="I26" s="780"/>
    </row>
    <row r="27" spans="2:9" ht="24" customHeight="1" thickBot="1">
      <c r="B27" s="778"/>
      <c r="C27" s="1382" t="s">
        <v>651</v>
      </c>
      <c r="D27" s="1383"/>
      <c r="E27" s="1389"/>
      <c r="F27" s="784" t="s">
        <v>344</v>
      </c>
      <c r="G27" s="771">
        <f>+G13+G15-G20</f>
        <v>3958735.5</v>
      </c>
      <c r="H27" s="779"/>
      <c r="I27" s="780"/>
    </row>
    <row r="28" spans="2:9" ht="24" customHeight="1">
      <c r="B28" s="778"/>
      <c r="C28" s="779"/>
      <c r="D28" s="779"/>
      <c r="E28" s="779"/>
      <c r="F28" s="779"/>
      <c r="G28" s="781"/>
      <c r="H28" s="779"/>
      <c r="I28" s="780"/>
    </row>
    <row r="29" spans="2:9" ht="24" customHeight="1" thickBot="1">
      <c r="B29" s="785"/>
      <c r="C29" s="786"/>
      <c r="D29" s="786"/>
      <c r="E29" s="786"/>
      <c r="F29" s="786"/>
      <c r="G29" s="786"/>
      <c r="H29" s="786"/>
      <c r="I29" s="787"/>
    </row>
  </sheetData>
  <mergeCells count="9">
    <mergeCell ref="D21:E21"/>
    <mergeCell ref="D22:E22"/>
    <mergeCell ref="C27:E27"/>
    <mergeCell ref="C6:H6"/>
    <mergeCell ref="C13:E13"/>
    <mergeCell ref="C15:E15"/>
    <mergeCell ref="D16:E16"/>
    <mergeCell ref="D17:E17"/>
    <mergeCell ref="C20:E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H34"/>
  <sheetViews>
    <sheetView topLeftCell="A22" workbookViewId="0">
      <selection activeCell="E30" sqref="A1:E30"/>
    </sheetView>
  </sheetViews>
  <sheetFormatPr defaultRowHeight="12.75"/>
  <cols>
    <col min="1" max="1" width="3.85546875" customWidth="1"/>
    <col min="2" max="2" width="6.5703125" customWidth="1"/>
    <col min="3" max="3" width="52.28515625" customWidth="1"/>
    <col min="4" max="4" width="12.7109375" style="79" customWidth="1"/>
    <col min="5" max="5" width="11.85546875" style="79" customWidth="1"/>
  </cols>
  <sheetData>
    <row r="1" spans="2:8">
      <c r="D1" s="79" t="str">
        <f>'Kopertina '!F4</f>
        <v>Eskeld</v>
      </c>
    </row>
    <row r="3" spans="2:8" ht="15.75">
      <c r="B3" s="1341" t="s">
        <v>72</v>
      </c>
      <c r="C3" s="1341"/>
      <c r="D3" s="1341"/>
      <c r="E3" s="80">
        <f>'Kopertina '!F29</f>
        <v>2012</v>
      </c>
      <c r="F3" s="28"/>
      <c r="G3" s="28"/>
    </row>
    <row r="4" spans="2:8" ht="15.75">
      <c r="B4" s="51"/>
      <c r="C4" s="51"/>
      <c r="D4" s="81"/>
      <c r="E4" s="80"/>
      <c r="F4" s="28"/>
      <c r="G4" s="28"/>
    </row>
    <row r="5" spans="2:8" ht="13.5" thickBot="1"/>
    <row r="6" spans="2:8" ht="20.25" customHeight="1">
      <c r="B6" s="1347" t="s">
        <v>1</v>
      </c>
      <c r="C6" s="1349" t="s">
        <v>72</v>
      </c>
      <c r="D6" s="1351" t="s">
        <v>703</v>
      </c>
      <c r="E6" s="1351" t="s">
        <v>735</v>
      </c>
      <c r="F6" s="29"/>
      <c r="G6" s="29"/>
      <c r="H6" s="29"/>
    </row>
    <row r="7" spans="2:8" ht="19.5" customHeight="1" thickBot="1">
      <c r="B7" s="1348"/>
      <c r="C7" s="1350"/>
      <c r="D7" s="1352"/>
      <c r="E7" s="1352"/>
    </row>
    <row r="8" spans="2:8" ht="31.5" customHeight="1">
      <c r="B8" s="650" t="s">
        <v>73</v>
      </c>
      <c r="C8" s="651" t="s">
        <v>74</v>
      </c>
      <c r="D8" s="652">
        <f>D9-D10-D11-D12-D13</f>
        <v>3757934.742999997</v>
      </c>
      <c r="E8" s="653">
        <f>E9-E10+E11-E12-E13</f>
        <v>9980793</v>
      </c>
    </row>
    <row r="9" spans="2:8" ht="21" customHeight="1">
      <c r="B9" s="350"/>
      <c r="C9" s="160" t="s">
        <v>75</v>
      </c>
      <c r="D9" s="569">
        <f>+'P -Ardh Analiz '!C30+'AKTIVI '!F12-'AKTIVI '!E12</f>
        <v>13982000</v>
      </c>
      <c r="E9" s="351">
        <v>20863400</v>
      </c>
    </row>
    <row r="10" spans="2:8" ht="24.75" customHeight="1">
      <c r="B10" s="350"/>
      <c r="C10" s="160" t="s">
        <v>76</v>
      </c>
      <c r="D10" s="160">
        <f>+S!Q30+T!C27+T!F27+T!I27/2+'PASIVI '!F13+'PASIVI '!F14+'PASIVI '!F15+'PASIVI '!F16-'PASIVI '!E16-'PASIVI '!E15-'PASIVI '!E14-'PASIVI '!E13</f>
        <v>10121006.257000003</v>
      </c>
      <c r="E10" s="351">
        <v>9215167</v>
      </c>
      <c r="G10" t="s">
        <v>134</v>
      </c>
    </row>
    <row r="11" spans="2:8" ht="24" customHeight="1">
      <c r="B11" s="350"/>
      <c r="C11" s="160" t="s">
        <v>77</v>
      </c>
      <c r="D11" s="160">
        <v>0</v>
      </c>
      <c r="E11" s="351">
        <v>0</v>
      </c>
    </row>
    <row r="12" spans="2:8" ht="23.25" customHeight="1">
      <c r="B12" s="350"/>
      <c r="C12" s="160" t="s">
        <v>284</v>
      </c>
      <c r="D12" s="160">
        <f>+'C3'!E26+'PASIVI '!F17+'PASIVI '!F18-'PASIVI '!E17-'PASIVI '!E18+'AKTIVI '!E18-'AKTIVI '!F18</f>
        <v>103059</v>
      </c>
      <c r="E12" s="351">
        <v>310919</v>
      </c>
    </row>
    <row r="13" spans="2:8" ht="26.25" customHeight="1">
      <c r="B13" s="350"/>
      <c r="C13" s="160" t="s">
        <v>335</v>
      </c>
      <c r="D13" s="160">
        <f>+'Ardh e shp - natyres'!E24+'Ardh e shp - natyres'!E25</f>
        <v>1.1641532182693481E-10</v>
      </c>
      <c r="E13" s="351">
        <v>1356521</v>
      </c>
    </row>
    <row r="14" spans="2:8" ht="25.5" customHeight="1">
      <c r="B14" s="350"/>
      <c r="C14" s="352" t="s">
        <v>78</v>
      </c>
      <c r="D14" s="352" t="s">
        <v>134</v>
      </c>
      <c r="E14" s="353"/>
    </row>
    <row r="15" spans="2:8" ht="33" customHeight="1">
      <c r="B15" s="654" t="s">
        <v>79</v>
      </c>
      <c r="C15" s="636" t="s">
        <v>141</v>
      </c>
      <c r="D15" s="655">
        <f>D16-D17-D18-D19-D20</f>
        <v>6365088.9399999995</v>
      </c>
      <c r="E15" s="656">
        <f>E16-E17-E18-E19-E20</f>
        <v>-7737593.7999999998</v>
      </c>
    </row>
    <row r="16" spans="2:8" ht="26.25" customHeight="1">
      <c r="B16" s="350"/>
      <c r="C16" s="569" t="s">
        <v>799</v>
      </c>
      <c r="D16" s="160">
        <f>'PASIVI '!E22-'PASIVI '!F22</f>
        <v>0</v>
      </c>
      <c r="E16" s="351"/>
    </row>
    <row r="17" spans="2:6" ht="22.5" customHeight="1">
      <c r="B17" s="350"/>
      <c r="C17" s="160" t="s">
        <v>81</v>
      </c>
      <c r="D17" s="160">
        <f>+S!Q53+S!U53</f>
        <v>1154800</v>
      </c>
      <c r="E17" s="351">
        <v>2488510</v>
      </c>
    </row>
    <row r="18" spans="2:6" ht="25.5" customHeight="1">
      <c r="B18" s="350"/>
      <c r="C18" s="160" t="s">
        <v>371</v>
      </c>
      <c r="D18" s="160">
        <f>+'PASIVI '!F23-'PASIVI '!E23</f>
        <v>-7519888.9399999995</v>
      </c>
      <c r="E18" s="351">
        <v>1173711.3999999999</v>
      </c>
    </row>
    <row r="19" spans="2:6" ht="22.5" customHeight="1">
      <c r="B19" s="350"/>
      <c r="C19" s="160" t="s">
        <v>82</v>
      </c>
      <c r="D19" s="160"/>
      <c r="E19" s="351">
        <v>4075372.4</v>
      </c>
    </row>
    <row r="20" spans="2:6" ht="22.5" customHeight="1">
      <c r="B20" s="350"/>
      <c r="C20" s="160" t="s">
        <v>83</v>
      </c>
      <c r="D20" s="160"/>
      <c r="E20" s="351"/>
    </row>
    <row r="21" spans="2:6" ht="20.25" customHeight="1">
      <c r="B21" s="350"/>
      <c r="C21" s="352" t="s">
        <v>140</v>
      </c>
      <c r="D21" s="354"/>
      <c r="E21" s="355"/>
    </row>
    <row r="22" spans="2:6" ht="30.75" customHeight="1">
      <c r="B22" s="654" t="s">
        <v>84</v>
      </c>
      <c r="C22" s="636" t="s">
        <v>85</v>
      </c>
      <c r="D22" s="655">
        <f>D23+D24-D25-D26-D27</f>
        <v>-13347317.436799999</v>
      </c>
      <c r="E22" s="656">
        <f>E23+E24-E25-E26-E27</f>
        <v>1173711</v>
      </c>
    </row>
    <row r="23" spans="2:6" ht="22.5" customHeight="1">
      <c r="B23" s="356"/>
      <c r="C23" s="160" t="s">
        <v>86</v>
      </c>
      <c r="D23" s="160"/>
      <c r="E23" s="351"/>
    </row>
    <row r="24" spans="2:6" ht="22.5" customHeight="1">
      <c r="B24" s="356"/>
      <c r="C24" s="160" t="s">
        <v>87</v>
      </c>
      <c r="D24" s="160">
        <f>+'AKTIVI '!F32+'AKTIVI '!F17-'AKTIVI '!E17-'AKTIVI '!E32</f>
        <v>-13347317.436799999</v>
      </c>
      <c r="E24" s="351">
        <v>1173711</v>
      </c>
    </row>
    <row r="25" spans="2:6" ht="23.25" customHeight="1">
      <c r="B25" s="356"/>
      <c r="C25" s="160" t="s">
        <v>733</v>
      </c>
      <c r="D25" s="160">
        <f>'Ardh e shp - natyres'!E31</f>
        <v>0</v>
      </c>
      <c r="E25" s="351"/>
    </row>
    <row r="26" spans="2:6" ht="22.5" customHeight="1">
      <c r="B26" s="357"/>
      <c r="C26" s="160" t="s">
        <v>89</v>
      </c>
      <c r="D26" s="160">
        <f>'Pasq e ndrysh te kap 2'!I15</f>
        <v>0</v>
      </c>
      <c r="E26" s="351">
        <v>0</v>
      </c>
    </row>
    <row r="27" spans="2:6" ht="21.75" customHeight="1">
      <c r="B27" s="357"/>
      <c r="C27" s="160" t="s">
        <v>90</v>
      </c>
      <c r="D27" s="160"/>
      <c r="E27" s="351">
        <v>0</v>
      </c>
    </row>
    <row r="28" spans="2:6" ht="25.5" customHeight="1">
      <c r="B28" s="657"/>
      <c r="C28" s="658" t="s">
        <v>142</v>
      </c>
      <c r="D28" s="659">
        <f>D8+D15+D22</f>
        <v>-3224293.7538000029</v>
      </c>
      <c r="E28" s="660">
        <f>E8+E15+E22</f>
        <v>3416910.2</v>
      </c>
    </row>
    <row r="29" spans="2:6" ht="29.25" customHeight="1">
      <c r="B29" s="357"/>
      <c r="C29" s="354" t="s">
        <v>92</v>
      </c>
      <c r="D29" s="161">
        <f>'AKTIVI '!F7</f>
        <v>3567737</v>
      </c>
      <c r="E29" s="512">
        <v>150827</v>
      </c>
      <c r="F29" s="91"/>
    </row>
    <row r="30" spans="2:6" ht="30" customHeight="1" thickBot="1">
      <c r="B30" s="661"/>
      <c r="C30" s="662" t="s">
        <v>91</v>
      </c>
      <c r="D30" s="663">
        <f>D28+D29</f>
        <v>343443.24619999714</v>
      </c>
      <c r="E30" s="664">
        <f>E28+E29</f>
        <v>3567737.2</v>
      </c>
    </row>
    <row r="32" spans="2:6">
      <c r="D32" s="79">
        <f>'AKTIVI '!E7</f>
        <v>343442.0393</v>
      </c>
      <c r="E32" s="79">
        <f>'AKTIVI '!F7</f>
        <v>3567737</v>
      </c>
    </row>
    <row r="34" spans="4:5">
      <c r="D34" s="79">
        <f>D30-D32</f>
        <v>1.2068999971379526</v>
      </c>
      <c r="E34" s="79">
        <f>E30-E32</f>
        <v>0.20000000018626451</v>
      </c>
    </row>
  </sheetData>
  <mergeCells count="5">
    <mergeCell ref="B3:D3"/>
    <mergeCell ref="B6:B7"/>
    <mergeCell ref="C6:C7"/>
    <mergeCell ref="D6:D7"/>
    <mergeCell ref="E6:E7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topLeftCell="A9" workbookViewId="0">
      <selection activeCell="G34" sqref="G34"/>
    </sheetView>
  </sheetViews>
  <sheetFormatPr defaultRowHeight="12.75"/>
  <cols>
    <col min="1" max="1" width="3.7109375" customWidth="1"/>
    <col min="2" max="2" width="5.42578125" customWidth="1"/>
    <col min="3" max="3" width="28.85546875" customWidth="1"/>
    <col min="4" max="4" width="15.5703125" style="79" hidden="1" customWidth="1"/>
    <col min="5" max="5" width="15.5703125" style="79" customWidth="1"/>
    <col min="6" max="6" width="15.140625" style="79" customWidth="1"/>
    <col min="7" max="7" width="17.140625" style="79" customWidth="1"/>
    <col min="8" max="8" width="19.42578125" style="79" customWidth="1"/>
    <col min="9" max="9" width="17.85546875" style="79" customWidth="1"/>
    <col min="10" max="10" width="16" style="79" customWidth="1"/>
    <col min="11" max="11" width="6" customWidth="1"/>
  </cols>
  <sheetData>
    <row r="1" spans="1:10">
      <c r="H1" s="79" t="str">
        <f>'Kopertina '!F4</f>
        <v>Eskeld</v>
      </c>
    </row>
    <row r="2" spans="1:10" ht="27" customHeight="1">
      <c r="A2" s="1353" t="s">
        <v>93</v>
      </c>
      <c r="B2" s="1353"/>
      <c r="C2" s="1353"/>
      <c r="D2" s="1353"/>
      <c r="E2" s="1353"/>
      <c r="F2" s="1353"/>
      <c r="G2" s="1353"/>
      <c r="H2" s="1353"/>
      <c r="I2" s="88">
        <f>'Kopertina '!F29</f>
        <v>2012</v>
      </c>
      <c r="J2" s="89" t="s">
        <v>285</v>
      </c>
    </row>
    <row r="4" spans="1:10" ht="13.5" thickBot="1">
      <c r="C4" s="19" t="s">
        <v>114</v>
      </c>
    </row>
    <row r="5" spans="1:10" ht="42" customHeight="1" thickBot="1">
      <c r="B5" s="646" t="s">
        <v>1</v>
      </c>
      <c r="C5" s="647" t="s">
        <v>97</v>
      </c>
      <c r="D5" s="647" t="s">
        <v>98</v>
      </c>
      <c r="E5" s="648" t="s">
        <v>692</v>
      </c>
      <c r="F5" s="647" t="s">
        <v>99</v>
      </c>
      <c r="G5" s="647" t="s">
        <v>336</v>
      </c>
      <c r="H5" s="647" t="s">
        <v>106</v>
      </c>
      <c r="I5" s="647" t="s">
        <v>100</v>
      </c>
      <c r="J5" s="649" t="s">
        <v>95</v>
      </c>
    </row>
    <row r="6" spans="1:10" ht="33.75" customHeight="1" thickBot="1">
      <c r="B6" s="876" t="s">
        <v>4</v>
      </c>
      <c r="C6" s="877" t="s">
        <v>463</v>
      </c>
      <c r="D6" s="878"/>
      <c r="E6" s="878">
        <f>'PASIVI '!F39</f>
        <v>100000</v>
      </c>
      <c r="F6" s="878">
        <v>0</v>
      </c>
      <c r="G6" s="878">
        <v>0</v>
      </c>
      <c r="H6" s="878">
        <f>'PASIVI '!F45</f>
        <v>0</v>
      </c>
      <c r="I6" s="878">
        <f>'PASIVI '!F47</f>
        <v>3938052</v>
      </c>
      <c r="J6" s="879">
        <f>E6+F6+G6+H6+I6</f>
        <v>4038052</v>
      </c>
    </row>
    <row r="7" spans="1:10" ht="31.5" customHeight="1">
      <c r="B7" s="359" t="s">
        <v>73</v>
      </c>
      <c r="C7" s="360" t="s">
        <v>101</v>
      </c>
      <c r="D7" s="361">
        <v>0</v>
      </c>
      <c r="E7" s="361"/>
      <c r="F7" s="361"/>
      <c r="G7" s="361"/>
      <c r="H7" s="361"/>
      <c r="I7" s="361"/>
      <c r="J7" s="888">
        <f>D7+F7+G7+H7+I7</f>
        <v>0</v>
      </c>
    </row>
    <row r="8" spans="1:10" ht="30.75" customHeight="1">
      <c r="B8" s="357" t="s">
        <v>79</v>
      </c>
      <c r="C8" s="352" t="s">
        <v>96</v>
      </c>
      <c r="D8" s="160">
        <f>D9-D10+D11+D12</f>
        <v>0</v>
      </c>
      <c r="E8" s="160">
        <f>E9-E10</f>
        <v>0</v>
      </c>
      <c r="F8" s="160"/>
      <c r="G8" s="160"/>
      <c r="H8" s="160"/>
      <c r="I8" s="160"/>
      <c r="J8" s="889">
        <f>D8+F8+G8+H8+I8</f>
        <v>0</v>
      </c>
    </row>
    <row r="9" spans="1:10" ht="29.25" customHeight="1">
      <c r="B9" s="357">
        <v>1</v>
      </c>
      <c r="C9" s="160" t="s">
        <v>102</v>
      </c>
      <c r="D9" s="160"/>
      <c r="E9" s="160"/>
      <c r="F9" s="160"/>
      <c r="G9" s="160"/>
      <c r="H9" s="160"/>
      <c r="I9" s="1308">
        <f>'PASIVI '!F48</f>
        <v>3330889</v>
      </c>
      <c r="J9" s="889">
        <f>I9</f>
        <v>3330889</v>
      </c>
    </row>
    <row r="10" spans="1:10" ht="29.25" customHeight="1">
      <c r="B10" s="357">
        <v>2</v>
      </c>
      <c r="C10" s="160" t="s">
        <v>103</v>
      </c>
      <c r="D10" s="160">
        <v>0</v>
      </c>
      <c r="E10" s="160"/>
      <c r="F10" s="160"/>
      <c r="G10" s="160"/>
      <c r="H10" s="160"/>
      <c r="I10" s="160">
        <v>0</v>
      </c>
      <c r="J10" s="889">
        <f>I10</f>
        <v>0</v>
      </c>
    </row>
    <row r="11" spans="1:10" ht="28.5" customHeight="1">
      <c r="B11" s="357">
        <v>3</v>
      </c>
      <c r="C11" s="160" t="s">
        <v>143</v>
      </c>
      <c r="D11" s="160">
        <v>0</v>
      </c>
      <c r="E11" s="160"/>
      <c r="F11" s="160"/>
      <c r="G11" s="160"/>
      <c r="H11" s="160"/>
      <c r="I11" s="160"/>
      <c r="J11" s="889">
        <f>I11</f>
        <v>0</v>
      </c>
    </row>
    <row r="12" spans="1:10" ht="30.75" customHeight="1" thickBot="1">
      <c r="B12" s="358">
        <v>4</v>
      </c>
      <c r="C12" s="363" t="s">
        <v>250</v>
      </c>
      <c r="D12" s="363"/>
      <c r="E12" s="363"/>
      <c r="F12" s="363"/>
      <c r="G12" s="363"/>
      <c r="H12" s="363"/>
      <c r="I12" s="363"/>
      <c r="J12" s="890">
        <f>I12</f>
        <v>0</v>
      </c>
    </row>
    <row r="13" spans="1:10" ht="37.5" customHeight="1" thickBot="1">
      <c r="B13" s="884" t="s">
        <v>20</v>
      </c>
      <c r="C13" s="885" t="s">
        <v>693</v>
      </c>
      <c r="D13" s="886">
        <f>D6</f>
        <v>0</v>
      </c>
      <c r="E13" s="886">
        <f>E6</f>
        <v>100000</v>
      </c>
      <c r="F13" s="886">
        <f>F6</f>
        <v>0</v>
      </c>
      <c r="G13" s="886">
        <f>G6</f>
        <v>0</v>
      </c>
      <c r="H13" s="886">
        <f>H6</f>
        <v>0</v>
      </c>
      <c r="I13" s="886">
        <f>I6+I9</f>
        <v>7268941</v>
      </c>
      <c r="J13" s="887">
        <f>D13+F13+G13+H13+I13+E13</f>
        <v>7368941</v>
      </c>
    </row>
    <row r="14" spans="1:10" ht="33" customHeight="1">
      <c r="B14" s="359">
        <v>1</v>
      </c>
      <c r="C14" s="361" t="s">
        <v>102</v>
      </c>
      <c r="D14" s="361">
        <f>'Ardh e shp - natyres'!E39</f>
        <v>1485648.2538624986</v>
      </c>
      <c r="E14" s="361"/>
      <c r="F14" s="361"/>
      <c r="G14" s="361"/>
      <c r="H14" s="361"/>
      <c r="I14" s="1309">
        <f>'Ardh e shp - natyres'!E39</f>
        <v>1485648.2538624986</v>
      </c>
      <c r="J14" s="888">
        <f>I14</f>
        <v>1485648.2538624986</v>
      </c>
    </row>
    <row r="15" spans="1:10" ht="28.5" customHeight="1">
      <c r="B15" s="357">
        <v>2</v>
      </c>
      <c r="C15" s="160" t="s">
        <v>103</v>
      </c>
      <c r="D15" s="160"/>
      <c r="E15" s="160"/>
      <c r="F15" s="160"/>
      <c r="G15" s="160"/>
      <c r="H15" s="160"/>
      <c r="I15" s="1308">
        <v>0</v>
      </c>
      <c r="J15" s="889">
        <f>D15+F15+G15+H15+I15</f>
        <v>0</v>
      </c>
    </row>
    <row r="16" spans="1:10" ht="31.5" customHeight="1">
      <c r="B16" s="357">
        <v>3</v>
      </c>
      <c r="C16" s="160" t="s">
        <v>104</v>
      </c>
      <c r="D16" s="160">
        <v>0</v>
      </c>
      <c r="E16" s="160"/>
      <c r="F16" s="160"/>
      <c r="G16" s="160"/>
      <c r="H16" s="160"/>
      <c r="I16" s="160"/>
      <c r="J16" s="889">
        <f>D16+F16+G16+H16+I16</f>
        <v>0</v>
      </c>
    </row>
    <row r="17" spans="2:10" ht="24.75" customHeight="1" thickBot="1">
      <c r="B17" s="358">
        <v>4</v>
      </c>
      <c r="C17" s="363" t="s">
        <v>105</v>
      </c>
      <c r="D17" s="363">
        <v>0</v>
      </c>
      <c r="E17" s="363"/>
      <c r="F17" s="363"/>
      <c r="G17" s="363"/>
      <c r="H17" s="363"/>
      <c r="I17" s="363"/>
      <c r="J17" s="890">
        <f>D17+F17+G17+H17+I17</f>
        <v>0</v>
      </c>
    </row>
    <row r="18" spans="2:10" ht="36.75" customHeight="1" thickBot="1">
      <c r="B18" s="880" t="s">
        <v>45</v>
      </c>
      <c r="C18" s="881" t="s">
        <v>763</v>
      </c>
      <c r="D18" s="882">
        <f>D13</f>
        <v>0</v>
      </c>
      <c r="E18" s="882">
        <f>E13</f>
        <v>100000</v>
      </c>
      <c r="F18" s="882">
        <f>F13</f>
        <v>0</v>
      </c>
      <c r="G18" s="882">
        <f>G13</f>
        <v>0</v>
      </c>
      <c r="H18" s="882">
        <f>H13</f>
        <v>0</v>
      </c>
      <c r="I18" s="882">
        <f>I13+I14-I15</f>
        <v>8754589.2538624983</v>
      </c>
      <c r="J18" s="883">
        <f>E18+H18+I18</f>
        <v>8854589.2538624983</v>
      </c>
    </row>
  </sheetData>
  <mergeCells count="1">
    <mergeCell ref="A2:H2"/>
  </mergeCells>
  <phoneticPr fontId="4" type="noConversion"/>
  <pageMargins left="0.25" right="0.25" top="0.25" bottom="0.25" header="0.25" footer="0.2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J64"/>
  <sheetViews>
    <sheetView workbookViewId="0">
      <selection activeCell="M37" sqref="M37"/>
    </sheetView>
  </sheetViews>
  <sheetFormatPr defaultRowHeight="12.75"/>
  <cols>
    <col min="1" max="1" width="5.140625" customWidth="1"/>
    <col min="8" max="8" width="12.85546875" customWidth="1"/>
    <col min="9" max="9" width="16.42578125" customWidth="1"/>
    <col min="10" max="10" width="6.85546875" customWidth="1"/>
    <col min="11" max="11" width="5.140625" customWidth="1"/>
  </cols>
  <sheetData>
    <row r="1" spans="2:10" ht="13.5" thickBot="1"/>
    <row r="2" spans="2:10">
      <c r="B2" s="16"/>
      <c r="C2" s="17"/>
      <c r="D2" s="17"/>
      <c r="E2" s="17"/>
      <c r="F2" s="17"/>
      <c r="G2" s="17"/>
      <c r="H2" s="17"/>
      <c r="I2" s="17"/>
      <c r="J2" s="18"/>
    </row>
    <row r="3" spans="2:10">
      <c r="B3" s="5"/>
      <c r="C3" s="1"/>
      <c r="D3" s="1354" t="s">
        <v>144</v>
      </c>
      <c r="E3" s="1354"/>
      <c r="F3" s="1354"/>
      <c r="G3" s="1354"/>
      <c r="H3" s="1354"/>
      <c r="I3" s="1"/>
      <c r="J3" s="6"/>
    </row>
    <row r="4" spans="2:10">
      <c r="B4" s="5"/>
      <c r="C4" s="1"/>
      <c r="D4" s="1"/>
      <c r="E4" s="1"/>
      <c r="F4" s="1"/>
      <c r="G4" s="1"/>
      <c r="H4" s="1"/>
      <c r="I4" s="1"/>
      <c r="J4" s="6"/>
    </row>
    <row r="5" spans="2:10">
      <c r="B5" s="5"/>
      <c r="C5" s="34" t="s">
        <v>107</v>
      </c>
      <c r="D5" s="35"/>
      <c r="E5" s="35"/>
      <c r="F5" s="35"/>
      <c r="G5" s="35"/>
      <c r="H5" s="35"/>
      <c r="I5" s="36"/>
      <c r="J5" s="6"/>
    </row>
    <row r="6" spans="2:10">
      <c r="B6" s="5"/>
      <c r="C6" s="45" t="s">
        <v>146</v>
      </c>
      <c r="D6" s="43"/>
      <c r="E6" s="43"/>
      <c r="F6" s="43"/>
      <c r="G6" s="43"/>
      <c r="H6" s="43"/>
      <c r="I6" s="46"/>
      <c r="J6" s="6"/>
    </row>
    <row r="7" spans="2:10">
      <c r="B7" s="5"/>
      <c r="C7" s="45" t="s">
        <v>108</v>
      </c>
      <c r="D7" s="43"/>
      <c r="E7" s="43"/>
      <c r="F7" s="43"/>
      <c r="G7" s="43"/>
      <c r="H7" s="43"/>
      <c r="I7" s="46"/>
      <c r="J7" s="6"/>
    </row>
    <row r="8" spans="2:10">
      <c r="B8" s="5"/>
      <c r="C8" s="45" t="s">
        <v>147</v>
      </c>
      <c r="D8" s="43"/>
      <c r="E8" s="43"/>
      <c r="F8" s="43"/>
      <c r="G8" s="43"/>
      <c r="H8" s="43"/>
      <c r="I8" s="46"/>
      <c r="J8" s="6"/>
    </row>
    <row r="9" spans="2:10">
      <c r="B9" s="5"/>
      <c r="C9" s="47" t="s">
        <v>110</v>
      </c>
      <c r="D9" s="1" t="s">
        <v>109</v>
      </c>
      <c r="E9" s="43"/>
      <c r="F9" s="43"/>
      <c r="G9" s="43"/>
      <c r="H9" s="43"/>
      <c r="I9" s="46"/>
      <c r="J9" s="44"/>
    </row>
    <row r="10" spans="2:10">
      <c r="B10" s="5"/>
      <c r="C10" s="47" t="s">
        <v>111</v>
      </c>
      <c r="D10" s="1" t="s">
        <v>113</v>
      </c>
      <c r="E10" s="1"/>
      <c r="F10" s="1"/>
      <c r="G10" s="1"/>
      <c r="H10" s="1"/>
      <c r="I10" s="40"/>
      <c r="J10" s="6"/>
    </row>
    <row r="11" spans="2:10">
      <c r="B11" s="5"/>
      <c r="C11" s="48" t="s">
        <v>112</v>
      </c>
      <c r="D11" s="37" t="s">
        <v>145</v>
      </c>
      <c r="E11" s="37"/>
      <c r="F11" s="37"/>
      <c r="G11" s="37"/>
      <c r="H11" s="37"/>
      <c r="I11" s="38"/>
      <c r="J11" s="6"/>
    </row>
    <row r="12" spans="2:10">
      <c r="B12" s="5"/>
      <c r="C12" s="1"/>
      <c r="D12" s="1"/>
      <c r="E12" s="1"/>
      <c r="F12" s="1"/>
      <c r="G12" s="1"/>
      <c r="H12" s="1"/>
      <c r="I12" s="1"/>
      <c r="J12" s="6"/>
    </row>
    <row r="13" spans="2:10" ht="15.75">
      <c r="B13" s="64" t="s">
        <v>287</v>
      </c>
      <c r="C13" s="61" t="s">
        <v>288</v>
      </c>
      <c r="D13" s="1"/>
      <c r="E13" s="1"/>
      <c r="F13" s="1"/>
      <c r="G13" s="1"/>
      <c r="H13" s="1"/>
      <c r="I13" s="1"/>
      <c r="J13" s="6"/>
    </row>
    <row r="14" spans="2:10">
      <c r="B14" s="65"/>
      <c r="C14" s="1"/>
      <c r="D14" s="1"/>
      <c r="E14" s="1"/>
      <c r="F14" s="1"/>
      <c r="G14" s="1"/>
      <c r="H14" s="1"/>
      <c r="I14" s="1"/>
      <c r="J14" s="6"/>
    </row>
    <row r="15" spans="2:10">
      <c r="B15" s="66">
        <v>1</v>
      </c>
      <c r="C15" s="62" t="s">
        <v>289</v>
      </c>
      <c r="D15" s="1"/>
      <c r="E15" s="1"/>
      <c r="F15" s="1"/>
      <c r="G15" s="1"/>
      <c r="H15" s="1"/>
      <c r="I15" s="1"/>
      <c r="J15" s="6"/>
    </row>
    <row r="16" spans="2:10">
      <c r="B16" s="66">
        <v>2</v>
      </c>
      <c r="C16" s="27" t="s">
        <v>290</v>
      </c>
      <c r="D16" s="1"/>
      <c r="E16" s="1"/>
      <c r="F16" s="1"/>
      <c r="G16" s="1"/>
      <c r="H16" s="1"/>
      <c r="I16" s="1"/>
      <c r="J16" s="6"/>
    </row>
    <row r="17" spans="2:10">
      <c r="B17" s="67">
        <v>3</v>
      </c>
      <c r="C17" s="27" t="s">
        <v>291</v>
      </c>
      <c r="D17" s="1"/>
      <c r="E17" s="1"/>
      <c r="F17" s="1"/>
      <c r="G17" s="1"/>
      <c r="H17" s="1"/>
      <c r="I17" s="1"/>
      <c r="J17" s="6"/>
    </row>
    <row r="18" spans="2:10">
      <c r="B18" s="67">
        <v>4</v>
      </c>
      <c r="C18" s="27" t="s">
        <v>292</v>
      </c>
      <c r="D18" s="1"/>
      <c r="E18" s="1"/>
      <c r="F18" s="1"/>
      <c r="G18" s="1"/>
      <c r="H18" s="1"/>
      <c r="I18" s="1"/>
      <c r="J18" s="6"/>
    </row>
    <row r="19" spans="2:10">
      <c r="B19" s="67"/>
      <c r="C19" s="62" t="s">
        <v>293</v>
      </c>
      <c r="D19" s="1"/>
      <c r="E19" s="1"/>
      <c r="F19" s="1"/>
      <c r="G19" s="1"/>
      <c r="H19" s="1"/>
      <c r="I19" s="1"/>
      <c r="J19" s="6"/>
    </row>
    <row r="20" spans="2:10">
      <c r="B20" s="67" t="s">
        <v>294</v>
      </c>
      <c r="C20" s="27"/>
      <c r="D20" s="1"/>
      <c r="E20" s="1"/>
      <c r="F20" s="1"/>
      <c r="G20" s="1"/>
      <c r="H20" s="1"/>
      <c r="I20" s="1"/>
      <c r="J20" s="6"/>
    </row>
    <row r="21" spans="2:10">
      <c r="B21" s="67"/>
      <c r="C21" s="62" t="s">
        <v>295</v>
      </c>
      <c r="D21" s="1"/>
      <c r="E21" s="1"/>
      <c r="F21" s="1"/>
      <c r="G21" s="1"/>
      <c r="H21" s="1"/>
      <c r="I21" s="1"/>
      <c r="J21" s="6"/>
    </row>
    <row r="22" spans="2:10">
      <c r="B22" s="67" t="s">
        <v>296</v>
      </c>
      <c r="C22" s="27"/>
      <c r="D22" s="1"/>
      <c r="E22" s="1"/>
      <c r="F22" s="1"/>
      <c r="G22" s="1"/>
      <c r="H22" s="1"/>
      <c r="I22" s="1"/>
      <c r="J22" s="6"/>
    </row>
    <row r="23" spans="2:10">
      <c r="B23" s="67"/>
      <c r="C23" s="62" t="s">
        <v>297</v>
      </c>
      <c r="D23" s="1"/>
      <c r="E23" s="1"/>
      <c r="F23" s="1"/>
      <c r="G23" s="1"/>
      <c r="H23" s="1"/>
      <c r="I23" s="1"/>
      <c r="J23" s="6"/>
    </row>
    <row r="24" spans="2:10">
      <c r="B24" s="67" t="s">
        <v>298</v>
      </c>
      <c r="C24" s="27"/>
      <c r="D24" s="1"/>
      <c r="E24" s="1"/>
      <c r="F24" s="1"/>
      <c r="G24" s="1"/>
      <c r="H24" s="1"/>
      <c r="I24" s="1"/>
      <c r="J24" s="6"/>
    </row>
    <row r="25" spans="2:10">
      <c r="B25" s="67"/>
      <c r="C25" s="27" t="s">
        <v>299</v>
      </c>
      <c r="D25" s="1"/>
      <c r="E25" s="1"/>
      <c r="F25" s="1"/>
      <c r="G25" s="1"/>
      <c r="H25" s="1"/>
      <c r="I25" s="1"/>
      <c r="J25" s="6"/>
    </row>
    <row r="26" spans="2:10">
      <c r="B26" s="67" t="s">
        <v>300</v>
      </c>
      <c r="C26" s="27"/>
      <c r="D26" s="1"/>
      <c r="E26" s="1"/>
      <c r="F26" s="1"/>
      <c r="G26" s="1"/>
      <c r="H26" s="1"/>
      <c r="I26" s="1"/>
      <c r="J26" s="6"/>
    </row>
    <row r="27" spans="2:10">
      <c r="B27" s="68" t="s">
        <v>301</v>
      </c>
      <c r="C27" s="27"/>
      <c r="D27" s="1"/>
      <c r="E27" s="1"/>
      <c r="F27" s="1"/>
      <c r="G27" s="1"/>
      <c r="H27" s="1"/>
      <c r="I27" s="1"/>
      <c r="J27" s="6"/>
    </row>
    <row r="28" spans="2:10">
      <c r="B28" s="67"/>
      <c r="C28" s="27" t="s">
        <v>302</v>
      </c>
      <c r="D28" s="1"/>
      <c r="E28" s="1"/>
      <c r="F28" s="1"/>
      <c r="G28" s="1"/>
      <c r="H28" s="1"/>
      <c r="I28" s="1"/>
      <c r="J28" s="6"/>
    </row>
    <row r="29" spans="2:10">
      <c r="B29" s="68" t="s">
        <v>303</v>
      </c>
      <c r="C29" s="27"/>
      <c r="D29" s="1"/>
      <c r="E29" s="1"/>
      <c r="F29" s="1"/>
      <c r="G29" s="1"/>
      <c r="H29" s="1"/>
      <c r="I29" s="1"/>
      <c r="J29" s="6"/>
    </row>
    <row r="30" spans="2:10">
      <c r="B30" s="67"/>
      <c r="C30" s="27" t="s">
        <v>304</v>
      </c>
      <c r="D30" s="1"/>
      <c r="E30" s="1"/>
      <c r="F30" s="1"/>
      <c r="G30" s="1"/>
      <c r="H30" s="1"/>
      <c r="I30" s="1"/>
      <c r="J30" s="6"/>
    </row>
    <row r="31" spans="2:10">
      <c r="B31" s="68" t="s">
        <v>305</v>
      </c>
      <c r="C31" s="27"/>
      <c r="D31" s="1"/>
      <c r="E31" s="1"/>
      <c r="F31" s="1"/>
      <c r="G31" s="1"/>
      <c r="H31" s="1"/>
      <c r="I31" s="1"/>
      <c r="J31" s="6"/>
    </row>
    <row r="32" spans="2:10">
      <c r="B32" s="67" t="s">
        <v>306</v>
      </c>
      <c r="C32" s="27" t="s">
        <v>307</v>
      </c>
      <c r="D32" s="1"/>
      <c r="E32" s="1"/>
      <c r="F32" s="1"/>
      <c r="G32" s="1"/>
      <c r="H32" s="1"/>
      <c r="I32" s="1"/>
      <c r="J32" s="6"/>
    </row>
    <row r="33" spans="2:10">
      <c r="B33" s="67"/>
      <c r="C33" s="62" t="s">
        <v>308</v>
      </c>
      <c r="D33" s="1"/>
      <c r="E33" s="1"/>
      <c r="F33" s="1"/>
      <c r="G33" s="1"/>
      <c r="H33" s="1"/>
      <c r="I33" s="1"/>
      <c r="J33" s="6"/>
    </row>
    <row r="34" spans="2:10">
      <c r="B34" s="67"/>
      <c r="C34" s="62" t="s">
        <v>309</v>
      </c>
      <c r="D34" s="1"/>
      <c r="E34" s="1"/>
      <c r="F34" s="1"/>
      <c r="G34" s="1"/>
      <c r="H34" s="1"/>
      <c r="I34" s="1"/>
      <c r="J34" s="6"/>
    </row>
    <row r="35" spans="2:10">
      <c r="B35" s="67"/>
      <c r="C35" s="62" t="s">
        <v>310</v>
      </c>
      <c r="D35" s="1"/>
      <c r="E35" s="1"/>
      <c r="F35" s="1"/>
      <c r="G35" s="1"/>
      <c r="H35" s="1"/>
      <c r="I35" s="1"/>
      <c r="J35" s="6"/>
    </row>
    <row r="36" spans="2:10">
      <c r="B36" s="67"/>
      <c r="C36" s="62" t="s">
        <v>311</v>
      </c>
      <c r="D36" s="1"/>
      <c r="E36" s="1"/>
      <c r="F36" s="1"/>
      <c r="G36" s="1"/>
      <c r="H36" s="1"/>
      <c r="I36" s="1"/>
      <c r="J36" s="6"/>
    </row>
    <row r="37" spans="2:10">
      <c r="B37" s="67"/>
      <c r="C37" s="62" t="s">
        <v>312</v>
      </c>
      <c r="D37" s="1"/>
      <c r="E37" s="1"/>
      <c r="F37" s="1"/>
      <c r="G37" s="1"/>
      <c r="H37" s="1"/>
      <c r="I37" s="1"/>
      <c r="J37" s="6"/>
    </row>
    <row r="38" spans="2:10">
      <c r="B38" s="67"/>
      <c r="C38" s="62" t="s">
        <v>313</v>
      </c>
      <c r="D38" s="1"/>
      <c r="E38" s="1"/>
      <c r="F38" s="1"/>
      <c r="G38" s="1"/>
      <c r="H38" s="1"/>
      <c r="I38" s="1"/>
      <c r="J38" s="6"/>
    </row>
    <row r="39" spans="2:10">
      <c r="B39" s="67"/>
      <c r="C39" s="27"/>
      <c r="D39" s="1"/>
      <c r="E39" s="1"/>
      <c r="F39" s="1"/>
      <c r="G39" s="1"/>
      <c r="H39" s="1"/>
      <c r="I39" s="1"/>
      <c r="J39" s="6"/>
    </row>
    <row r="40" spans="2:10" ht="15.75">
      <c r="B40" s="64" t="s">
        <v>314</v>
      </c>
      <c r="C40" s="61" t="s">
        <v>315</v>
      </c>
      <c r="D40" s="1"/>
      <c r="E40" s="1"/>
      <c r="F40" s="1"/>
      <c r="G40" s="1"/>
      <c r="H40" s="1"/>
      <c r="I40" s="1"/>
      <c r="J40" s="6"/>
    </row>
    <row r="41" spans="2:10">
      <c r="B41" s="67"/>
      <c r="C41" s="27"/>
      <c r="D41" s="1"/>
      <c r="E41" s="1"/>
      <c r="F41" s="1"/>
      <c r="G41" s="1"/>
      <c r="H41" s="1"/>
      <c r="I41" s="1"/>
      <c r="J41" s="6"/>
    </row>
    <row r="42" spans="2:10">
      <c r="B42" s="67"/>
      <c r="C42" s="62" t="s">
        <v>316</v>
      </c>
      <c r="D42" s="1"/>
      <c r="E42" s="1"/>
      <c r="F42" s="1"/>
      <c r="G42" s="1"/>
      <c r="H42" s="1"/>
      <c r="I42" s="1"/>
      <c r="J42" s="6"/>
    </row>
    <row r="43" spans="2:10">
      <c r="B43" s="67" t="s">
        <v>317</v>
      </c>
      <c r="C43" s="27"/>
      <c r="D43" s="1"/>
      <c r="E43" s="1"/>
      <c r="F43" s="1"/>
      <c r="G43" s="1"/>
      <c r="H43" s="1"/>
      <c r="I43" s="1"/>
      <c r="J43" s="6"/>
    </row>
    <row r="44" spans="2:10">
      <c r="B44" s="67"/>
      <c r="C44" s="27" t="s">
        <v>318</v>
      </c>
      <c r="D44" s="1"/>
      <c r="E44" s="1"/>
      <c r="F44" s="1"/>
      <c r="G44" s="1"/>
      <c r="H44" s="1"/>
      <c r="I44" s="1"/>
      <c r="J44" s="6"/>
    </row>
    <row r="45" spans="2:10">
      <c r="B45" s="67" t="s">
        <v>319</v>
      </c>
      <c r="C45" s="27"/>
      <c r="D45" s="1"/>
      <c r="E45" s="1"/>
      <c r="F45" s="1"/>
      <c r="G45" s="1"/>
      <c r="H45" s="1"/>
      <c r="I45" s="1"/>
      <c r="J45" s="6"/>
    </row>
    <row r="46" spans="2:10">
      <c r="B46" s="67"/>
      <c r="C46" s="27" t="s">
        <v>320</v>
      </c>
      <c r="D46" s="1"/>
      <c r="E46" s="1"/>
      <c r="F46" s="1"/>
      <c r="G46" s="1"/>
      <c r="H46" s="1"/>
      <c r="I46" s="1"/>
      <c r="J46" s="6"/>
    </row>
    <row r="47" spans="2:10">
      <c r="B47" s="67" t="s">
        <v>321</v>
      </c>
      <c r="C47" s="27"/>
      <c r="D47" s="1"/>
      <c r="E47" s="1"/>
      <c r="F47" s="1"/>
      <c r="G47" s="1"/>
      <c r="H47" s="1"/>
      <c r="I47" s="1"/>
      <c r="J47" s="6"/>
    </row>
    <row r="48" spans="2:10">
      <c r="B48" s="67"/>
      <c r="C48" s="27" t="s">
        <v>322</v>
      </c>
      <c r="D48" s="1"/>
      <c r="E48" s="1"/>
      <c r="F48" s="1"/>
      <c r="G48" s="1"/>
      <c r="H48" s="1"/>
      <c r="I48" s="1"/>
      <c r="J48" s="6"/>
    </row>
    <row r="49" spans="2:10">
      <c r="B49" s="67" t="s">
        <v>323</v>
      </c>
      <c r="C49" s="27"/>
      <c r="D49" s="1"/>
      <c r="E49" s="1"/>
      <c r="F49" s="1"/>
      <c r="G49" s="1"/>
      <c r="H49" s="1"/>
      <c r="I49" s="1"/>
      <c r="J49" s="6"/>
    </row>
    <row r="50" spans="2:10">
      <c r="B50" s="67"/>
      <c r="C50" s="27" t="s">
        <v>324</v>
      </c>
      <c r="D50" s="1"/>
      <c r="E50" s="1"/>
      <c r="F50" s="1"/>
      <c r="G50" s="1"/>
      <c r="H50" s="1"/>
      <c r="I50" s="1"/>
      <c r="J50" s="6"/>
    </row>
    <row r="51" spans="2:10">
      <c r="B51" s="67" t="s">
        <v>325</v>
      </c>
      <c r="C51" s="27"/>
      <c r="D51" s="1"/>
      <c r="E51" s="1"/>
      <c r="F51" s="1"/>
      <c r="G51" s="1"/>
      <c r="H51" s="1"/>
      <c r="I51" s="1"/>
      <c r="J51" s="6"/>
    </row>
    <row r="52" spans="2:10">
      <c r="B52" s="67" t="s">
        <v>326</v>
      </c>
      <c r="C52" s="27"/>
      <c r="D52" s="1"/>
      <c r="E52" s="1"/>
      <c r="F52" s="1"/>
      <c r="G52" s="1"/>
      <c r="H52" s="1"/>
      <c r="I52" s="1"/>
      <c r="J52" s="6"/>
    </row>
    <row r="53" spans="2:10">
      <c r="B53" s="67" t="s">
        <v>327</v>
      </c>
      <c r="C53" s="27"/>
      <c r="D53" s="1"/>
      <c r="E53" s="1"/>
      <c r="F53" s="1"/>
      <c r="G53" s="1"/>
      <c r="H53" s="1"/>
      <c r="I53" s="1"/>
      <c r="J53" s="6"/>
    </row>
    <row r="54" spans="2:10">
      <c r="B54" s="67"/>
      <c r="C54" s="27" t="s">
        <v>328</v>
      </c>
      <c r="D54" s="1"/>
      <c r="E54" s="1"/>
      <c r="F54" s="1"/>
      <c r="G54" s="1"/>
      <c r="H54" s="1"/>
      <c r="I54" s="1"/>
      <c r="J54" s="6"/>
    </row>
    <row r="55" spans="2:10">
      <c r="B55" s="67"/>
      <c r="C55" s="27" t="s">
        <v>329</v>
      </c>
      <c r="D55" s="1"/>
      <c r="E55" s="1"/>
      <c r="F55" s="1"/>
      <c r="G55" s="1"/>
      <c r="H55" s="1"/>
      <c r="I55" s="1"/>
      <c r="J55" s="6"/>
    </row>
    <row r="56" spans="2:10">
      <c r="B56" s="69"/>
      <c r="C56" s="63" t="s">
        <v>330</v>
      </c>
      <c r="D56" s="1"/>
      <c r="E56" s="1"/>
      <c r="F56" s="1"/>
      <c r="G56" s="1"/>
      <c r="H56" s="1"/>
      <c r="I56" s="1"/>
      <c r="J56" s="6"/>
    </row>
    <row r="57" spans="2:10">
      <c r="B57" s="67"/>
      <c r="C57" s="27" t="s">
        <v>331</v>
      </c>
      <c r="D57" s="1"/>
      <c r="E57" s="1"/>
      <c r="F57" s="1"/>
      <c r="G57" s="1"/>
      <c r="H57" s="1"/>
      <c r="I57" s="1"/>
      <c r="J57" s="6"/>
    </row>
    <row r="58" spans="2:10">
      <c r="B58" s="67" t="s">
        <v>332</v>
      </c>
      <c r="C58" s="27"/>
      <c r="D58" s="1"/>
      <c r="E58" s="1"/>
      <c r="F58" s="1"/>
      <c r="G58" s="1"/>
      <c r="H58" s="1"/>
      <c r="I58" s="1"/>
      <c r="J58" s="6"/>
    </row>
    <row r="59" spans="2:10">
      <c r="B59" s="67"/>
      <c r="C59" s="27"/>
      <c r="D59" s="1"/>
      <c r="E59" s="1"/>
      <c r="F59" s="1"/>
      <c r="G59" s="1"/>
      <c r="H59" s="1"/>
      <c r="I59" s="1"/>
      <c r="J59" s="6"/>
    </row>
    <row r="60" spans="2:10">
      <c r="B60" s="5"/>
      <c r="C60" s="59" t="s">
        <v>333</v>
      </c>
      <c r="D60" s="1"/>
      <c r="E60" s="1"/>
      <c r="F60" s="1"/>
      <c r="G60" s="1"/>
      <c r="H60" s="1"/>
      <c r="I60" s="1"/>
      <c r="J60" s="6"/>
    </row>
    <row r="61" spans="2:10">
      <c r="B61" s="4" t="s">
        <v>334</v>
      </c>
      <c r="C61" s="1"/>
      <c r="D61" s="1"/>
      <c r="E61" s="1"/>
      <c r="F61" s="1"/>
      <c r="G61" s="1"/>
      <c r="H61" s="1"/>
      <c r="I61" s="1"/>
      <c r="J61" s="6"/>
    </row>
    <row r="62" spans="2:10">
      <c r="B62" s="5"/>
      <c r="C62" s="1"/>
      <c r="D62" s="1"/>
      <c r="E62" s="1"/>
      <c r="F62" s="1"/>
      <c r="G62" s="1"/>
      <c r="H62" s="1"/>
      <c r="I62" s="1"/>
      <c r="J62" s="6"/>
    </row>
    <row r="63" spans="2:10">
      <c r="B63" s="5"/>
      <c r="C63" s="1"/>
      <c r="D63" s="1"/>
      <c r="E63" s="1"/>
      <c r="F63" s="1"/>
      <c r="G63" s="1"/>
      <c r="H63" s="1"/>
      <c r="I63" s="1"/>
      <c r="J63" s="6"/>
    </row>
    <row r="64" spans="2:10" ht="13.5" thickBot="1">
      <c r="B64" s="7"/>
      <c r="C64" s="8"/>
      <c r="D64" s="8"/>
      <c r="E64" s="8"/>
      <c r="F64" s="8"/>
      <c r="G64" s="8"/>
      <c r="H64" s="8"/>
      <c r="I64" s="8"/>
      <c r="J64" s="9"/>
    </row>
  </sheetData>
  <mergeCells count="1">
    <mergeCell ref="D3:H3"/>
  </mergeCells>
  <phoneticPr fontId="4" type="noConversion"/>
  <pageMargins left="0.25" right="0.25" top="0.25" bottom="0.25" header="0.25" footer="0.2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239"/>
  <sheetViews>
    <sheetView topLeftCell="A166" workbookViewId="0">
      <selection activeCell="I201" sqref="I201"/>
    </sheetView>
  </sheetViews>
  <sheetFormatPr defaultRowHeight="12.75"/>
  <cols>
    <col min="1" max="1" width="3.7109375" customWidth="1"/>
    <col min="2" max="2" width="11.28515625" customWidth="1"/>
    <col min="3" max="3" width="14.5703125" customWidth="1"/>
    <col min="4" max="4" width="10.85546875" customWidth="1"/>
    <col min="5" max="5" width="11.28515625" customWidth="1"/>
    <col min="6" max="6" width="10.85546875" customWidth="1"/>
    <col min="7" max="7" width="12.42578125" customWidth="1"/>
    <col min="8" max="8" width="10.5703125" customWidth="1"/>
    <col min="9" max="9" width="11.140625" bestFit="1" customWidth="1"/>
    <col min="10" max="10" width="7.42578125" customWidth="1"/>
    <col min="11" max="11" width="6.140625" customWidth="1"/>
  </cols>
  <sheetData>
    <row r="1" spans="1:6" ht="18">
      <c r="B1" s="196"/>
      <c r="D1" s="197" t="s">
        <v>389</v>
      </c>
    </row>
    <row r="2" spans="1:6" ht="15.75">
      <c r="B2" s="198" t="s">
        <v>390</v>
      </c>
      <c r="C2" s="19"/>
      <c r="D2" s="19"/>
    </row>
    <row r="3" spans="1:6" ht="15.75">
      <c r="B3" s="198" t="s">
        <v>734</v>
      </c>
      <c r="C3" s="19"/>
      <c r="D3" s="19"/>
    </row>
    <row r="4" spans="1:6">
      <c r="B4" s="91"/>
      <c r="C4" s="91"/>
    </row>
    <row r="5" spans="1:6">
      <c r="B5" s="199" t="s">
        <v>131</v>
      </c>
      <c r="C5" s="91"/>
      <c r="E5" s="194" t="str">
        <f>'Kopertina '!F4</f>
        <v>Eskeld</v>
      </c>
      <c r="F5" s="194"/>
    </row>
    <row r="6" spans="1:6" ht="13.5">
      <c r="B6" s="199" t="s">
        <v>365</v>
      </c>
      <c r="C6" s="91"/>
      <c r="D6" s="200"/>
      <c r="E6" s="194">
        <f>+'Kopertina '!E49:G49</f>
        <v>39756</v>
      </c>
      <c r="F6" s="194"/>
    </row>
    <row r="7" spans="1:6" ht="13.5">
      <c r="B7" s="199" t="s">
        <v>391</v>
      </c>
      <c r="C7" s="91"/>
      <c r="D7" s="200"/>
      <c r="E7" s="194" t="s">
        <v>456</v>
      </c>
      <c r="F7" s="194"/>
    </row>
    <row r="8" spans="1:6">
      <c r="B8" s="199" t="s">
        <v>392</v>
      </c>
      <c r="C8" s="91"/>
      <c r="E8" s="194" t="str">
        <f>'Kopertina '!D46</f>
        <v>Vlore</v>
      </c>
      <c r="F8" s="194"/>
    </row>
    <row r="9" spans="1:6">
      <c r="B9" s="199" t="s">
        <v>393</v>
      </c>
      <c r="C9" s="91"/>
      <c r="E9" s="194" t="str">
        <f>'Kopertina '!E56</f>
        <v>Esmeralda Muskaj</v>
      </c>
      <c r="F9" s="194"/>
    </row>
    <row r="10" spans="1:6">
      <c r="B10" s="199" t="s">
        <v>394</v>
      </c>
      <c r="C10" s="91"/>
      <c r="E10" s="194" t="str">
        <f>+'Kopertina '!E54:G54</f>
        <v>Shkolle jo publike</v>
      </c>
      <c r="F10" s="194"/>
    </row>
    <row r="11" spans="1:6">
      <c r="B11" s="199" t="s">
        <v>395</v>
      </c>
      <c r="C11" s="91"/>
      <c r="E11" s="194" t="str">
        <f>+'Kopertina '!D44</f>
        <v>K86607207N</v>
      </c>
      <c r="F11" s="194"/>
    </row>
    <row r="12" spans="1:6">
      <c r="B12" s="199" t="s">
        <v>396</v>
      </c>
      <c r="C12" s="91"/>
      <c r="E12" s="194">
        <f>T!N27/12</f>
        <v>19.416666666666668</v>
      </c>
      <c r="F12" s="194"/>
    </row>
    <row r="14" spans="1:6" ht="21">
      <c r="A14" s="91"/>
      <c r="B14" s="201" t="s">
        <v>397</v>
      </c>
      <c r="C14" s="91"/>
    </row>
    <row r="15" spans="1:6" ht="15.75">
      <c r="A15" s="202" t="s">
        <v>398</v>
      </c>
      <c r="B15" s="203"/>
      <c r="C15" s="91"/>
    </row>
    <row r="16" spans="1:6">
      <c r="A16" s="199" t="s">
        <v>814</v>
      </c>
      <c r="B16" s="199"/>
      <c r="C16" s="91"/>
    </row>
    <row r="17" spans="1:3">
      <c r="A17" s="199" t="s">
        <v>399</v>
      </c>
      <c r="B17" s="199"/>
      <c r="C17" s="91"/>
    </row>
    <row r="18" spans="1:3">
      <c r="A18" s="199" t="s">
        <v>400</v>
      </c>
      <c r="B18" s="199"/>
      <c r="C18" s="91"/>
    </row>
    <row r="19" spans="1:3">
      <c r="A19" s="199"/>
      <c r="B19" s="199"/>
      <c r="C19" s="91"/>
    </row>
    <row r="20" spans="1:3">
      <c r="A20" s="199" t="s">
        <v>711</v>
      </c>
      <c r="B20" s="199"/>
      <c r="C20" s="91"/>
    </row>
    <row r="21" spans="1:3">
      <c r="A21" s="199"/>
      <c r="B21" s="199"/>
      <c r="C21" s="91"/>
    </row>
    <row r="22" spans="1:3">
      <c r="A22" s="199" t="s">
        <v>459</v>
      </c>
      <c r="B22" s="199"/>
      <c r="C22" s="91"/>
    </row>
    <row r="23" spans="1:3">
      <c r="A23" s="199" t="s">
        <v>713</v>
      </c>
      <c r="B23" s="199"/>
      <c r="C23" s="91"/>
    </row>
    <row r="24" spans="1:3">
      <c r="A24" s="91"/>
      <c r="B24" s="91"/>
      <c r="C24" s="91"/>
    </row>
    <row r="25" spans="1:3" ht="15.75">
      <c r="A25" s="202" t="s">
        <v>401</v>
      </c>
      <c r="B25" s="91"/>
      <c r="C25" s="91"/>
    </row>
    <row r="26" spans="1:3">
      <c r="A26" s="91"/>
      <c r="B26" s="91"/>
      <c r="C26" s="91"/>
    </row>
    <row r="27" spans="1:3">
      <c r="A27" s="199" t="s">
        <v>815</v>
      </c>
      <c r="B27" s="199"/>
      <c r="C27" s="91"/>
    </row>
    <row r="28" spans="1:3">
      <c r="A28" s="199" t="s">
        <v>402</v>
      </c>
      <c r="B28" s="199"/>
      <c r="C28" s="91"/>
    </row>
    <row r="29" spans="1:3">
      <c r="A29" s="199" t="s">
        <v>403</v>
      </c>
      <c r="B29" s="199"/>
      <c r="C29" s="91"/>
    </row>
    <row r="30" spans="1:3">
      <c r="A30" s="199"/>
      <c r="B30" s="199"/>
      <c r="C30" s="91"/>
    </row>
    <row r="31" spans="1:3">
      <c r="A31" s="199" t="s">
        <v>404</v>
      </c>
      <c r="B31" s="199"/>
      <c r="C31" s="91"/>
    </row>
    <row r="32" spans="1:3">
      <c r="A32" s="199" t="s">
        <v>405</v>
      </c>
      <c r="B32" s="199"/>
      <c r="C32" s="91"/>
    </row>
    <row r="33" spans="1:7">
      <c r="A33" s="199" t="s">
        <v>406</v>
      </c>
      <c r="B33" s="199"/>
      <c r="C33" s="91"/>
    </row>
    <row r="34" spans="1:7">
      <c r="A34" s="199" t="s">
        <v>407</v>
      </c>
      <c r="B34" s="199"/>
      <c r="C34" s="91"/>
    </row>
    <row r="35" spans="1:7">
      <c r="A35" s="91"/>
      <c r="B35" s="91"/>
      <c r="C35" s="91"/>
    </row>
    <row r="36" spans="1:7" ht="15">
      <c r="A36" s="204" t="s">
        <v>408</v>
      </c>
      <c r="B36" s="91"/>
      <c r="C36" s="91"/>
    </row>
    <row r="37" spans="1:7">
      <c r="A37" s="205" t="s">
        <v>816</v>
      </c>
      <c r="B37" s="91"/>
      <c r="C37" s="91"/>
    </row>
    <row r="38" spans="1:7" ht="13.5" thickBot="1">
      <c r="B38" s="1"/>
      <c r="C38" s="1"/>
      <c r="D38" s="1357" t="s">
        <v>812</v>
      </c>
      <c r="E38" s="1357"/>
      <c r="F38" s="1357"/>
      <c r="G38" s="1"/>
    </row>
    <row r="39" spans="1:7">
      <c r="B39" s="262" t="s">
        <v>1</v>
      </c>
      <c r="C39" s="262" t="s">
        <v>244</v>
      </c>
      <c r="D39" s="263" t="s">
        <v>245</v>
      </c>
      <c r="E39" s="263" t="s">
        <v>246</v>
      </c>
      <c r="F39" s="263" t="s">
        <v>247</v>
      </c>
      <c r="G39" s="264" t="s">
        <v>245</v>
      </c>
    </row>
    <row r="40" spans="1:7" ht="13.5" thickBot="1">
      <c r="B40" s="804"/>
      <c r="C40" s="804"/>
      <c r="D40" s="805" t="s">
        <v>817</v>
      </c>
      <c r="E40" s="805" t="s">
        <v>818</v>
      </c>
      <c r="F40" s="805" t="s">
        <v>819</v>
      </c>
      <c r="G40" s="806" t="s">
        <v>820</v>
      </c>
    </row>
    <row r="41" spans="1:7">
      <c r="B41" s="801">
        <v>1</v>
      </c>
      <c r="C41" s="172" t="str">
        <f>'A2'!D11</f>
        <v xml:space="preserve">EURO </v>
      </c>
      <c r="D41" s="172"/>
      <c r="E41" s="172"/>
      <c r="F41" s="172"/>
      <c r="G41" s="802">
        <f>'A2'!I11</f>
        <v>5509.6172999999999</v>
      </c>
    </row>
    <row r="42" spans="1:7">
      <c r="B42" s="119">
        <v>2</v>
      </c>
      <c r="C42" s="116" t="str">
        <f>'A2'!D17</f>
        <v xml:space="preserve">LEKE </v>
      </c>
      <c r="D42" s="116"/>
      <c r="E42" s="116"/>
      <c r="F42" s="116"/>
      <c r="G42" s="807">
        <f>'A2'!I17</f>
        <v>23500.390000000003</v>
      </c>
    </row>
    <row r="43" spans="1:7">
      <c r="B43" s="119">
        <v>3</v>
      </c>
      <c r="C43" s="116" t="str">
        <f>'A2'!D24</f>
        <v xml:space="preserve">U S D </v>
      </c>
      <c r="D43" s="116"/>
      <c r="E43" s="116"/>
      <c r="F43" s="116"/>
      <c r="G43" s="807">
        <f>'A2'!I24</f>
        <v>-1066.9679999999998</v>
      </c>
    </row>
    <row r="44" spans="1:7" ht="13.5" thickBot="1">
      <c r="B44" s="803">
        <v>4</v>
      </c>
      <c r="C44" s="754" t="s">
        <v>714</v>
      </c>
      <c r="D44" s="191"/>
      <c r="E44" s="191"/>
      <c r="F44" s="191"/>
      <c r="G44" s="808">
        <f>'A2'!I29</f>
        <v>0</v>
      </c>
    </row>
    <row r="45" spans="1:7" ht="13.5" thickBot="1">
      <c r="B45" s="265"/>
      <c r="C45" s="266" t="s">
        <v>165</v>
      </c>
      <c r="D45" s="266">
        <f>SUM(D41:D44)</f>
        <v>0</v>
      </c>
      <c r="E45" s="266">
        <f>SUM(E41:E44)</f>
        <v>0</v>
      </c>
      <c r="F45" s="266">
        <f>SUM(F41:F44)</f>
        <v>0</v>
      </c>
      <c r="G45" s="266">
        <f>SUM(G41:G44)</f>
        <v>27943.039300000004</v>
      </c>
    </row>
    <row r="46" spans="1:7" ht="13.5" thickBot="1">
      <c r="B46" s="118"/>
      <c r="C46" s="118"/>
      <c r="D46" s="118"/>
      <c r="E46" s="118"/>
      <c r="F46" s="118"/>
      <c r="G46" s="118"/>
    </row>
    <row r="47" spans="1:7" ht="13.5" thickBot="1">
      <c r="B47" s="118"/>
      <c r="C47" s="122" t="s">
        <v>813</v>
      </c>
      <c r="D47" s="118"/>
      <c r="E47" s="118"/>
      <c r="F47" s="118"/>
      <c r="G47" s="267">
        <v>1</v>
      </c>
    </row>
    <row r="48" spans="1:7" ht="13.5" thickBot="1">
      <c r="B48" s="118"/>
      <c r="C48" s="118"/>
      <c r="D48" s="118"/>
      <c r="E48" s="118"/>
      <c r="F48" s="118"/>
      <c r="G48" s="118"/>
    </row>
    <row r="49" spans="1:7" ht="13.5" thickBot="1">
      <c r="B49" s="118"/>
      <c r="C49" s="122" t="s">
        <v>821</v>
      </c>
      <c r="D49" s="118"/>
      <c r="E49" s="118"/>
      <c r="F49" s="118"/>
      <c r="G49" s="268">
        <f>G45*G47</f>
        <v>27943.039300000004</v>
      </c>
    </row>
    <row r="50" spans="1:7">
      <c r="B50" s="118"/>
      <c r="C50" s="118"/>
      <c r="D50" s="118"/>
      <c r="E50" s="118"/>
      <c r="F50" s="118"/>
      <c r="G50" s="118"/>
    </row>
    <row r="51" spans="1:7">
      <c r="B51" s="175"/>
      <c r="C51" s="175"/>
      <c r="D51" s="269"/>
      <c r="E51" s="269"/>
      <c r="F51" s="269"/>
      <c r="G51" s="269"/>
    </row>
    <row r="52" spans="1:7">
      <c r="B52" s="120"/>
      <c r="C52" s="120" t="s">
        <v>248</v>
      </c>
      <c r="D52" s="120"/>
      <c r="E52" s="120"/>
      <c r="F52" s="120"/>
      <c r="G52" s="120">
        <f>G49</f>
        <v>27943.039300000004</v>
      </c>
    </row>
    <row r="53" spans="1:7">
      <c r="A53" s="91"/>
      <c r="B53" s="91"/>
      <c r="C53" s="91"/>
      <c r="D53" s="91"/>
    </row>
    <row r="54" spans="1:7">
      <c r="A54" s="205" t="s">
        <v>409</v>
      </c>
      <c r="B54" s="91"/>
      <c r="C54" s="273">
        <f>'AKTIVI '!E8</f>
        <v>315499</v>
      </c>
      <c r="D54" s="91"/>
    </row>
    <row r="55" spans="1:7">
      <c r="A55" s="205" t="s">
        <v>410</v>
      </c>
      <c r="B55" s="91"/>
      <c r="C55" s="91"/>
      <c r="D55" s="91"/>
    </row>
    <row r="56" spans="1:7">
      <c r="A56" s="199" t="s">
        <v>411</v>
      </c>
      <c r="B56" s="199"/>
      <c r="C56" s="91"/>
      <c r="D56" s="91"/>
    </row>
    <row r="57" spans="1:7" ht="13.5" thickBot="1">
      <c r="A57" s="199" t="s">
        <v>412</v>
      </c>
      <c r="B57" s="199"/>
      <c r="C57" s="91"/>
      <c r="D57" s="91"/>
    </row>
    <row r="58" spans="1:7" ht="12.75" customHeight="1">
      <c r="B58" s="1358" t="s">
        <v>185</v>
      </c>
      <c r="C58" s="1360" t="s">
        <v>374</v>
      </c>
      <c r="D58" s="1360">
        <v>2011</v>
      </c>
      <c r="E58" s="1360" t="s">
        <v>384</v>
      </c>
      <c r="F58" s="1360" t="s">
        <v>382</v>
      </c>
      <c r="G58" s="1360" t="s">
        <v>385</v>
      </c>
    </row>
    <row r="59" spans="1:7" ht="13.5" thickBot="1">
      <c r="B59" s="1359"/>
      <c r="C59" s="1361"/>
      <c r="D59" s="1361"/>
      <c r="E59" s="1361"/>
      <c r="F59" s="1361"/>
      <c r="G59" s="1361"/>
    </row>
    <row r="60" spans="1:7">
      <c r="B60" s="270">
        <f>+'C1'!B10</f>
        <v>1</v>
      </c>
      <c r="C60" s="271" t="str">
        <f>+'C1'!C10</f>
        <v>Fëmijë Kopshti</v>
      </c>
      <c r="D60" s="271">
        <f>+'C1'!D10</f>
        <v>0</v>
      </c>
      <c r="E60" s="271">
        <f>+'C1'!E10</f>
        <v>424000</v>
      </c>
      <c r="F60" s="271">
        <f>+'C1'!F10</f>
        <v>424000</v>
      </c>
      <c r="G60" s="810">
        <f>+'C1'!G10</f>
        <v>0</v>
      </c>
    </row>
    <row r="61" spans="1:7">
      <c r="B61" s="272">
        <v>2</v>
      </c>
      <c r="C61" s="809" t="str">
        <f>+'C1'!C11</f>
        <v>Nxënës 9- Vjeçare</v>
      </c>
      <c r="D61" s="809">
        <f>+'C1'!D11</f>
        <v>0</v>
      </c>
      <c r="E61" s="809">
        <f>+'C1'!E11</f>
        <v>4368000</v>
      </c>
      <c r="F61" s="809">
        <f>+'C1'!F11</f>
        <v>4368000</v>
      </c>
      <c r="G61" s="811">
        <f>+'C1'!G11</f>
        <v>0</v>
      </c>
    </row>
    <row r="62" spans="1:7">
      <c r="B62" s="272">
        <v>3</v>
      </c>
      <c r="C62" s="809" t="str">
        <f>+'C1'!C12</f>
        <v>Nxënës Gjimnazi</v>
      </c>
      <c r="D62" s="809">
        <f>+'C1'!D12</f>
        <v>0</v>
      </c>
      <c r="E62" s="809">
        <f>+'C1'!E12</f>
        <v>9190000</v>
      </c>
      <c r="F62" s="809">
        <f>+'C1'!F12</f>
        <v>9190000</v>
      </c>
      <c r="G62" s="811">
        <f>+'C1'!G12</f>
        <v>0</v>
      </c>
    </row>
    <row r="63" spans="1:7">
      <c r="B63" s="272">
        <v>4</v>
      </c>
      <c r="C63" s="809">
        <f>+'C1'!C13</f>
        <v>0</v>
      </c>
      <c r="D63" s="809">
        <f>+'C1'!D13</f>
        <v>0</v>
      </c>
      <c r="E63" s="809">
        <f>+'C1'!E13</f>
        <v>0</v>
      </c>
      <c r="F63" s="809">
        <f>+'C1'!F13</f>
        <v>0</v>
      </c>
      <c r="G63" s="811">
        <f>+'C1'!G13</f>
        <v>0</v>
      </c>
    </row>
    <row r="64" spans="1:7">
      <c r="B64" s="272">
        <v>5</v>
      </c>
      <c r="C64" s="809">
        <f>+'C1'!C14</f>
        <v>0</v>
      </c>
      <c r="D64" s="809">
        <f>+'C1'!D14</f>
        <v>0</v>
      </c>
      <c r="E64" s="809">
        <f>+'C1'!E14</f>
        <v>0</v>
      </c>
      <c r="F64" s="809">
        <f>+'C1'!F14</f>
        <v>0</v>
      </c>
      <c r="G64" s="811">
        <f>+'C1'!G14</f>
        <v>0</v>
      </c>
    </row>
    <row r="65" spans="1:7">
      <c r="B65" s="272">
        <v>6</v>
      </c>
      <c r="C65" s="809">
        <f>+'C1'!C15</f>
        <v>0</v>
      </c>
      <c r="D65" s="809">
        <f>+'C1'!D15</f>
        <v>0</v>
      </c>
      <c r="E65" s="809">
        <f>+'C1'!E15</f>
        <v>0</v>
      </c>
      <c r="F65" s="809">
        <f>+'C1'!F15</f>
        <v>0</v>
      </c>
      <c r="G65" s="811">
        <f>+'C1'!G15</f>
        <v>0</v>
      </c>
    </row>
    <row r="66" spans="1:7">
      <c r="B66" s="272">
        <v>7</v>
      </c>
      <c r="C66" s="809">
        <f>+'C1'!C16</f>
        <v>0</v>
      </c>
      <c r="D66" s="809">
        <f>+'C1'!D16</f>
        <v>0</v>
      </c>
      <c r="E66" s="809">
        <f>+'C1'!E16</f>
        <v>0</v>
      </c>
      <c r="F66" s="809">
        <f>+'C1'!F16</f>
        <v>0</v>
      </c>
      <c r="G66" s="811">
        <f>+'C1'!G16</f>
        <v>0</v>
      </c>
    </row>
    <row r="67" spans="1:7">
      <c r="B67" s="272">
        <v>8</v>
      </c>
      <c r="C67" s="809">
        <f>+'C1'!C17</f>
        <v>0</v>
      </c>
      <c r="D67" s="809">
        <f>+'C1'!D17</f>
        <v>0</v>
      </c>
      <c r="E67" s="809">
        <f>+'C1'!E17</f>
        <v>0</v>
      </c>
      <c r="F67" s="809">
        <f>+'C1'!F17</f>
        <v>0</v>
      </c>
      <c r="G67" s="811">
        <f>+'C1'!G17</f>
        <v>0</v>
      </c>
    </row>
    <row r="68" spans="1:7" ht="13.5" thickBot="1">
      <c r="B68" s="1364" t="s">
        <v>373</v>
      </c>
      <c r="C68" s="1365"/>
      <c r="D68" s="812">
        <f>SUM(D60:D67)</f>
        <v>0</v>
      </c>
      <c r="E68" s="812">
        <f>SUM(E60:E67)</f>
        <v>13982000</v>
      </c>
      <c r="F68" s="812">
        <f>SUM(F60:F67)</f>
        <v>13982000</v>
      </c>
      <c r="G68" s="812">
        <f>SUM(G60:G67)</f>
        <v>0</v>
      </c>
    </row>
    <row r="69" spans="1:7">
      <c r="B69" s="207"/>
      <c r="C69" s="207"/>
    </row>
    <row r="70" spans="1:7">
      <c r="A70" s="199" t="s">
        <v>413</v>
      </c>
      <c r="B70" s="207"/>
      <c r="C70" s="207"/>
    </row>
    <row r="71" spans="1:7">
      <c r="A71" s="207" t="s">
        <v>414</v>
      </c>
      <c r="B71" s="91" t="s">
        <v>457</v>
      </c>
      <c r="C71" s="91"/>
      <c r="D71" s="79">
        <f>'AKTIVI '!E13</f>
        <v>0</v>
      </c>
    </row>
    <row r="72" spans="1:7">
      <c r="A72" s="207" t="s">
        <v>415</v>
      </c>
      <c r="B72" s="91"/>
      <c r="C72" s="91"/>
    </row>
    <row r="73" spans="1:7">
      <c r="A73" s="205" t="s">
        <v>416</v>
      </c>
      <c r="B73" s="91"/>
      <c r="C73" s="91"/>
      <c r="D73" s="21" t="s">
        <v>739</v>
      </c>
    </row>
    <row r="74" spans="1:7" ht="13.5" thickBot="1">
      <c r="A74" s="91"/>
      <c r="B74" s="91"/>
      <c r="C74" s="91"/>
    </row>
    <row r="75" spans="1:7" ht="13.5" thickBot="1">
      <c r="B75" s="208" t="s">
        <v>1</v>
      </c>
      <c r="C75" s="209" t="s">
        <v>252</v>
      </c>
      <c r="D75" s="209" t="s">
        <v>253</v>
      </c>
      <c r="E75" s="209" t="s">
        <v>254</v>
      </c>
      <c r="F75" s="209" t="s">
        <v>255</v>
      </c>
      <c r="G75" s="210" t="s">
        <v>256</v>
      </c>
    </row>
    <row r="76" spans="1:7">
      <c r="B76" s="582" t="s">
        <v>121</v>
      </c>
      <c r="C76" s="583"/>
      <c r="D76" s="583"/>
      <c r="E76" s="583"/>
      <c r="F76" s="583"/>
      <c r="G76" s="813">
        <f>+'AKTIVI '!E22</f>
        <v>0</v>
      </c>
    </row>
    <row r="77" spans="1:7">
      <c r="B77" s="30"/>
      <c r="C77" s="22"/>
      <c r="D77" s="22"/>
      <c r="E77" s="22"/>
      <c r="F77" s="22"/>
      <c r="G77" s="351"/>
    </row>
    <row r="78" spans="1:7">
      <c r="B78" s="30"/>
      <c r="C78" s="22"/>
      <c r="D78" s="22"/>
      <c r="E78" s="22"/>
      <c r="F78" s="22"/>
      <c r="G78" s="351"/>
    </row>
    <row r="79" spans="1:7">
      <c r="B79" s="584" t="s">
        <v>122</v>
      </c>
      <c r="C79" s="585"/>
      <c r="D79" s="585"/>
      <c r="E79" s="585"/>
      <c r="F79" s="585"/>
      <c r="G79" s="814">
        <f>+'AKTIVI '!E23</f>
        <v>0</v>
      </c>
    </row>
    <row r="80" spans="1:7">
      <c r="B80" s="30"/>
      <c r="C80" s="22"/>
      <c r="D80" s="22"/>
      <c r="E80" s="22"/>
      <c r="F80" s="22"/>
      <c r="G80" s="351"/>
    </row>
    <row r="81" spans="1:7">
      <c r="B81" s="30"/>
      <c r="C81" s="22"/>
      <c r="D81" s="22"/>
      <c r="E81" s="22"/>
      <c r="F81" s="22"/>
      <c r="G81" s="351">
        <f>E81*F81</f>
        <v>0</v>
      </c>
    </row>
    <row r="82" spans="1:7">
      <c r="B82" s="584" t="s">
        <v>123</v>
      </c>
      <c r="C82" s="585"/>
      <c r="D82" s="585"/>
      <c r="E82" s="585"/>
      <c r="F82" s="585"/>
      <c r="G82" s="814">
        <f>+'AKTIVI '!E24</f>
        <v>0</v>
      </c>
    </row>
    <row r="83" spans="1:7">
      <c r="B83" s="30"/>
      <c r="C83" s="22"/>
      <c r="D83" s="22"/>
      <c r="E83" s="22"/>
      <c r="F83" s="22"/>
      <c r="G83" s="351"/>
    </row>
    <row r="84" spans="1:7">
      <c r="B84" s="584" t="s">
        <v>127</v>
      </c>
      <c r="C84" s="585"/>
      <c r="D84" s="585"/>
      <c r="E84" s="585"/>
      <c r="F84" s="585"/>
      <c r="G84" s="815">
        <f>+'AKTIVI '!E25</f>
        <v>0</v>
      </c>
    </row>
    <row r="85" spans="1:7">
      <c r="B85" s="670"/>
      <c r="C85" s="671"/>
      <c r="D85" s="671"/>
      <c r="E85" s="671"/>
      <c r="F85" s="671"/>
      <c r="G85" s="816"/>
    </row>
    <row r="86" spans="1:7">
      <c r="B86" s="670"/>
      <c r="C86" s="671"/>
      <c r="D86" s="671"/>
      <c r="E86" s="671"/>
      <c r="F86" s="671"/>
      <c r="G86" s="816"/>
    </row>
    <row r="87" spans="1:7">
      <c r="B87" s="584" t="s">
        <v>823</v>
      </c>
      <c r="C87" s="585"/>
      <c r="D87" s="585"/>
      <c r="E87" s="585"/>
      <c r="F87" s="585"/>
      <c r="G87" s="815">
        <f>+'AKTIVI '!E27</f>
        <v>677607</v>
      </c>
    </row>
    <row r="88" spans="1:7" ht="13.5" thickBot="1">
      <c r="B88" s="31"/>
      <c r="C88" s="25"/>
      <c r="D88" s="25"/>
      <c r="E88" s="25"/>
      <c r="F88" s="25"/>
      <c r="G88" s="364"/>
    </row>
    <row r="89" spans="1:7" ht="13.5" thickBot="1">
      <c r="B89" s="1366" t="s">
        <v>251</v>
      </c>
      <c r="C89" s="1367"/>
      <c r="D89" s="1367"/>
      <c r="E89" s="1367"/>
      <c r="F89" s="1368"/>
      <c r="G89" s="817">
        <f>G76+G79+G82+G84+G87</f>
        <v>677607</v>
      </c>
    </row>
    <row r="91" spans="1:7">
      <c r="A91" s="91"/>
      <c r="B91" s="91"/>
      <c r="C91" s="91"/>
      <c r="D91" s="91"/>
    </row>
    <row r="92" spans="1:7">
      <c r="A92" s="199" t="s">
        <v>417</v>
      </c>
      <c r="B92" s="91"/>
      <c r="C92" s="91"/>
      <c r="D92" s="91"/>
    </row>
    <row r="93" spans="1:7">
      <c r="A93" s="199" t="s">
        <v>418</v>
      </c>
      <c r="B93" s="91"/>
      <c r="C93" s="91"/>
      <c r="D93" s="91"/>
    </row>
    <row r="94" spans="1:7">
      <c r="A94" s="91"/>
      <c r="B94" s="91"/>
      <c r="C94" s="91"/>
      <c r="D94" s="91"/>
    </row>
    <row r="95" spans="1:7">
      <c r="A95" s="91"/>
      <c r="B95" s="91"/>
      <c r="C95" s="91"/>
      <c r="D95" s="91"/>
    </row>
    <row r="96" spans="1:7" ht="15">
      <c r="A96" s="204" t="s">
        <v>419</v>
      </c>
    </row>
    <row r="97" spans="1:8" ht="13.5" thickBot="1">
      <c r="A97" s="205" t="s">
        <v>822</v>
      </c>
    </row>
    <row r="98" spans="1:8">
      <c r="A98" s="91"/>
      <c r="B98" s="1355" t="s">
        <v>185</v>
      </c>
      <c r="C98" s="1355" t="s">
        <v>372</v>
      </c>
      <c r="D98" s="1355" t="s">
        <v>824</v>
      </c>
      <c r="E98" s="1355" t="s">
        <v>381</v>
      </c>
      <c r="F98" s="1362" t="s">
        <v>382</v>
      </c>
      <c r="G98" s="1355"/>
      <c r="H98" s="1355" t="s">
        <v>383</v>
      </c>
    </row>
    <row r="99" spans="1:8" ht="13.5" thickBot="1">
      <c r="A99" s="91"/>
      <c r="B99" s="1356"/>
      <c r="C99" s="1356"/>
      <c r="D99" s="1356"/>
      <c r="E99" s="1356"/>
      <c r="F99" s="1363"/>
      <c r="G99" s="1356"/>
      <c r="H99" s="1356"/>
    </row>
    <row r="100" spans="1:8">
      <c r="B100" s="818">
        <f>+'M1'!C12</f>
        <v>1</v>
      </c>
      <c r="C100" s="819" t="str">
        <f>+'M1'!D12</f>
        <v>Albtelekom</v>
      </c>
      <c r="D100" s="819">
        <f>+'M1'!E12</f>
        <v>5419</v>
      </c>
      <c r="E100" s="819">
        <f>+'M1'!F12</f>
        <v>168629.59999999998</v>
      </c>
      <c r="F100" s="819">
        <f>+'M1'!G12</f>
        <v>168629.69</v>
      </c>
      <c r="G100" s="819">
        <f>+'M1'!H12</f>
        <v>0</v>
      </c>
      <c r="H100" s="820">
        <f>+'M1'!I12</f>
        <v>5418.9099999999744</v>
      </c>
    </row>
    <row r="101" spans="1:8">
      <c r="B101" s="821">
        <f>+'M1'!C13</f>
        <v>2</v>
      </c>
      <c r="C101" s="279" t="str">
        <f>+'M1'!D13</f>
        <v>ANA 2001</v>
      </c>
      <c r="D101" s="279">
        <f>+'M1'!E13</f>
        <v>0</v>
      </c>
      <c r="E101" s="279">
        <f>+'M1'!F13</f>
        <v>254280</v>
      </c>
      <c r="F101" s="279">
        <f>+'M1'!G13</f>
        <v>203880</v>
      </c>
      <c r="G101" s="279">
        <f>+'M1'!H13</f>
        <v>0</v>
      </c>
      <c r="H101" s="822">
        <f>+'M1'!I13</f>
        <v>50400</v>
      </c>
    </row>
    <row r="102" spans="1:8">
      <c r="B102" s="821">
        <f>+'M1'!C14</f>
        <v>3</v>
      </c>
      <c r="C102" s="279" t="str">
        <f>+'M1'!D14</f>
        <v>ATLANTIK 3</v>
      </c>
      <c r="D102" s="279">
        <f>+'M1'!E14</f>
        <v>276000</v>
      </c>
      <c r="E102" s="279">
        <f>+'M1'!F14</f>
        <v>0</v>
      </c>
      <c r="F102" s="279">
        <f>+'M1'!G14</f>
        <v>0</v>
      </c>
      <c r="G102" s="279">
        <f>+'M1'!H14</f>
        <v>0</v>
      </c>
      <c r="H102" s="822">
        <f>+'M1'!I14</f>
        <v>276000</v>
      </c>
    </row>
    <row r="103" spans="1:8">
      <c r="B103" s="821">
        <f>+'M1'!C15</f>
        <v>4</v>
      </c>
      <c r="C103" s="279" t="str">
        <f>+'M1'!D15</f>
        <v>ATLANTIK SHA</v>
      </c>
      <c r="D103" s="279">
        <f>+'M1'!E15</f>
        <v>21200</v>
      </c>
      <c r="E103" s="279">
        <f>+'M1'!F15</f>
        <v>0</v>
      </c>
      <c r="F103" s="279">
        <f>+'M1'!G15</f>
        <v>0</v>
      </c>
      <c r="G103" s="279">
        <f>+'M1'!H15</f>
        <v>0</v>
      </c>
      <c r="H103" s="822">
        <f>+'M1'!I15</f>
        <v>21200</v>
      </c>
    </row>
    <row r="104" spans="1:8">
      <c r="B104" s="821">
        <f>+'M1'!C16</f>
        <v>5</v>
      </c>
      <c r="C104" s="279" t="str">
        <f>+'M1'!D16</f>
        <v xml:space="preserve">Bolena </v>
      </c>
      <c r="D104" s="279">
        <f>+'M1'!E16</f>
        <v>0</v>
      </c>
      <c r="E104" s="279">
        <f>+'M1'!F16</f>
        <v>629624</v>
      </c>
      <c r="F104" s="279">
        <f>+'M1'!G16</f>
        <v>0</v>
      </c>
      <c r="G104" s="279">
        <f>+'M1'!H16</f>
        <v>0</v>
      </c>
      <c r="H104" s="822">
        <f>+'M1'!I16</f>
        <v>629624</v>
      </c>
    </row>
    <row r="105" spans="1:8">
      <c r="B105" s="821">
        <f>+'M1'!C17</f>
        <v>6</v>
      </c>
      <c r="C105" s="279" t="str">
        <f>+'M1'!D17</f>
        <v>COPIER COMPUTER CENTER</v>
      </c>
      <c r="D105" s="279">
        <f>+'M1'!E17</f>
        <v>0</v>
      </c>
      <c r="E105" s="279">
        <f>+'M1'!F17</f>
        <v>490000</v>
      </c>
      <c r="F105" s="279">
        <f>+'M1'!G17</f>
        <v>490000</v>
      </c>
      <c r="G105" s="279">
        <f>+'M1'!H17</f>
        <v>0</v>
      </c>
      <c r="H105" s="822">
        <f>+'M1'!I17</f>
        <v>0</v>
      </c>
    </row>
    <row r="106" spans="1:8">
      <c r="B106" s="821">
        <f>+'M1'!C18</f>
        <v>7</v>
      </c>
      <c r="C106" s="279" t="str">
        <f>+'M1'!D18</f>
        <v>D&amp;T CATERING</v>
      </c>
      <c r="D106" s="279">
        <f>+'M1'!E18</f>
        <v>480000</v>
      </c>
      <c r="E106" s="279">
        <f>+'M1'!F18</f>
        <v>0</v>
      </c>
      <c r="F106" s="279">
        <f>+'M1'!G18</f>
        <v>0</v>
      </c>
      <c r="G106" s="279">
        <f>+'M1'!H18</f>
        <v>0</v>
      </c>
      <c r="H106" s="822">
        <f>+'M1'!I18</f>
        <v>480000</v>
      </c>
    </row>
    <row r="107" spans="1:8">
      <c r="B107" s="821">
        <f>+'M1'!C19</f>
        <v>8</v>
      </c>
      <c r="C107" s="279" t="str">
        <f>+'M1'!D19</f>
        <v>EMKO SHPK</v>
      </c>
      <c r="D107" s="279">
        <f>+'M1'!E19</f>
        <v>564480</v>
      </c>
      <c r="E107" s="279">
        <f>+'M1'!F19</f>
        <v>0</v>
      </c>
      <c r="F107" s="279">
        <f>+'M1'!G19</f>
        <v>0</v>
      </c>
      <c r="G107" s="279">
        <f>+'M1'!H19</f>
        <v>0</v>
      </c>
      <c r="H107" s="822">
        <f>+'M1'!I19</f>
        <v>564480</v>
      </c>
    </row>
    <row r="108" spans="1:8">
      <c r="A108" s="91"/>
      <c r="B108" s="821">
        <f>+'M1'!C20</f>
        <v>9</v>
      </c>
      <c r="C108" s="279" t="str">
        <f>+'M1'!D20</f>
        <v>ERMIRA JAHIQI  LULAJ</v>
      </c>
      <c r="D108" s="279">
        <f>+'M1'!E20</f>
        <v>0</v>
      </c>
      <c r="E108" s="279">
        <f>+'M1'!F20</f>
        <v>140400</v>
      </c>
      <c r="F108" s="279">
        <f>+'M1'!G20</f>
        <v>140400</v>
      </c>
      <c r="G108" s="279">
        <f>+'M1'!H20</f>
        <v>0</v>
      </c>
      <c r="H108" s="822">
        <f>+'M1'!I20</f>
        <v>0</v>
      </c>
    </row>
    <row r="109" spans="1:8">
      <c r="A109" s="91"/>
      <c r="B109" s="821">
        <f>+'M1'!C21</f>
        <v>10</v>
      </c>
      <c r="C109" s="279" t="str">
        <f>+'M1'!D21</f>
        <v>FJORTES SHPK</v>
      </c>
      <c r="D109" s="279">
        <f>+'M1'!E21</f>
        <v>120820</v>
      </c>
      <c r="E109" s="279">
        <f>+'M1'!F21</f>
        <v>0</v>
      </c>
      <c r="F109" s="279">
        <f>+'M1'!G21</f>
        <v>0</v>
      </c>
      <c r="G109" s="279">
        <f>+'M1'!H21</f>
        <v>0</v>
      </c>
      <c r="H109" s="822">
        <f>+'M1'!I21</f>
        <v>120820</v>
      </c>
    </row>
    <row r="110" spans="1:8">
      <c r="A110" s="91"/>
      <c r="B110" s="821">
        <f>+'M1'!C22</f>
        <v>11</v>
      </c>
      <c r="C110" s="279" t="str">
        <f>+'M1'!D22</f>
        <v>Itirana</v>
      </c>
      <c r="D110" s="279">
        <f>+'M1'!E22</f>
        <v>0</v>
      </c>
      <c r="E110" s="279">
        <f>+'M1'!F22</f>
        <v>118600</v>
      </c>
      <c r="F110" s="279">
        <f>+'M1'!G22</f>
        <v>118600</v>
      </c>
      <c r="G110" s="279">
        <f>+'M1'!H22</f>
        <v>0</v>
      </c>
      <c r="H110" s="822">
        <f>+'M1'!I22</f>
        <v>0</v>
      </c>
    </row>
    <row r="111" spans="1:8">
      <c r="A111" s="91"/>
      <c r="B111" s="821">
        <f>+'M1'!C23</f>
        <v>12</v>
      </c>
      <c r="C111" s="279" t="str">
        <f>+'M1'!D23</f>
        <v>KRISTALINA SHPK</v>
      </c>
      <c r="D111" s="279">
        <f>+'M1'!E23</f>
        <v>62136</v>
      </c>
      <c r="E111" s="279">
        <f>+'M1'!F23</f>
        <v>0</v>
      </c>
      <c r="F111" s="279">
        <f>+'M1'!G23</f>
        <v>0</v>
      </c>
      <c r="G111" s="279">
        <f>+'M1'!H23</f>
        <v>0</v>
      </c>
      <c r="H111" s="822">
        <f>+'M1'!I23</f>
        <v>62136</v>
      </c>
    </row>
    <row r="112" spans="1:8">
      <c r="A112" s="91"/>
      <c r="B112" s="821">
        <f>+'M1'!C24</f>
        <v>13</v>
      </c>
      <c r="C112" s="279" t="str">
        <f>+'M1'!D24</f>
        <v>NEPTUN SHPK</v>
      </c>
      <c r="D112" s="279">
        <f>+'M1'!E24</f>
        <v>0</v>
      </c>
      <c r="E112" s="279">
        <f>+'M1'!F24</f>
        <v>396400</v>
      </c>
      <c r="F112" s="279">
        <f>+'M1'!G24</f>
        <v>0</v>
      </c>
      <c r="G112" s="279">
        <f>+'M1'!H24</f>
        <v>0</v>
      </c>
      <c r="H112" s="822">
        <f>+'M1'!I24</f>
        <v>396400</v>
      </c>
    </row>
    <row r="113" spans="1:8">
      <c r="A113" s="91"/>
      <c r="B113" s="821">
        <f>+'M1'!C25</f>
        <v>14</v>
      </c>
      <c r="C113" s="279" t="str">
        <f>+'M1'!D25</f>
        <v>Nisatel</v>
      </c>
      <c r="D113" s="279">
        <f>+'M1'!E25</f>
        <v>0</v>
      </c>
      <c r="E113" s="279">
        <f>+'M1'!F25</f>
        <v>239880</v>
      </c>
      <c r="F113" s="279">
        <f>+'M1'!G25</f>
        <v>0</v>
      </c>
      <c r="G113" s="279">
        <f>+'M1'!H25</f>
        <v>1467</v>
      </c>
      <c r="H113" s="822">
        <f>+'M1'!I25</f>
        <v>35967</v>
      </c>
    </row>
    <row r="114" spans="1:8">
      <c r="A114" s="91"/>
      <c r="B114" s="821">
        <f>+'M1'!C26</f>
        <v>15</v>
      </c>
      <c r="C114" s="279" t="str">
        <f>+'M1'!D26</f>
        <v>RAIMONDA CENO</v>
      </c>
      <c r="D114" s="279">
        <f>+'M1'!E26</f>
        <v>0</v>
      </c>
      <c r="E114" s="279">
        <f>+'M1'!F26</f>
        <v>1164060</v>
      </c>
      <c r="F114" s="279">
        <f>+'M1'!G26</f>
        <v>1164060</v>
      </c>
      <c r="G114" s="279">
        <f>+'M1'!H26</f>
        <v>0</v>
      </c>
      <c r="H114" s="822">
        <f>+'M1'!I26</f>
        <v>0</v>
      </c>
    </row>
    <row r="115" spans="1:8">
      <c r="A115" s="91"/>
      <c r="B115" s="821">
        <f>+'M1'!C27</f>
        <v>16</v>
      </c>
      <c r="C115" s="279" t="str">
        <f>+'M1'!D27</f>
        <v>SECURITY SYSTEMS LICAJ</v>
      </c>
      <c r="D115" s="279">
        <f>+'M1'!E27</f>
        <v>0</v>
      </c>
      <c r="E115" s="279">
        <f>+'M1'!F27</f>
        <v>150000</v>
      </c>
      <c r="F115" s="279">
        <f>+'M1'!G27</f>
        <v>0</v>
      </c>
      <c r="G115" s="279">
        <f>+'M1'!H27</f>
        <v>0</v>
      </c>
      <c r="H115" s="822">
        <f>+'M1'!I27</f>
        <v>150000</v>
      </c>
    </row>
    <row r="116" spans="1:8">
      <c r="A116" s="91"/>
      <c r="B116" s="821">
        <f>+'M1'!C28</f>
        <v>17</v>
      </c>
      <c r="C116" s="279" t="str">
        <f>+'M1'!D28</f>
        <v>UJESJELLESI</v>
      </c>
      <c r="D116" s="279">
        <f>+'M1'!E28</f>
        <v>3600</v>
      </c>
      <c r="E116" s="279">
        <f>+'M1'!F28</f>
        <v>0</v>
      </c>
      <c r="F116" s="279">
        <f>+'M1'!G28</f>
        <v>0</v>
      </c>
      <c r="G116" s="279">
        <f>+'M1'!H28</f>
        <v>0</v>
      </c>
      <c r="H116" s="822">
        <f>+'M1'!I28</f>
        <v>3600</v>
      </c>
    </row>
    <row r="117" spans="1:8">
      <c r="A117" s="91"/>
      <c r="B117" s="821">
        <f>+'M1'!C29</f>
        <v>18</v>
      </c>
      <c r="C117" s="279" t="str">
        <f>+'M1'!D29</f>
        <v>UNIVERSI 1 SHPK</v>
      </c>
      <c r="D117" s="279">
        <f>+'M1'!E29</f>
        <v>164262</v>
      </c>
      <c r="E117" s="279">
        <f>+'M1'!F29</f>
        <v>0</v>
      </c>
      <c r="F117" s="279">
        <f>+'M1'!G29</f>
        <v>0</v>
      </c>
      <c r="G117" s="279">
        <f>+'M1'!H29</f>
        <v>0</v>
      </c>
      <c r="H117" s="822">
        <f>+'M1'!I29</f>
        <v>164262</v>
      </c>
    </row>
    <row r="118" spans="1:8">
      <c r="A118" s="91"/>
      <c r="B118" s="821">
        <f>+'M1'!C30</f>
        <v>19</v>
      </c>
      <c r="C118" s="279">
        <f>+'M1'!D30</f>
        <v>0</v>
      </c>
      <c r="D118" s="279">
        <f>+'M1'!E30</f>
        <v>0</v>
      </c>
      <c r="E118" s="279">
        <f>+'M1'!F30</f>
        <v>0</v>
      </c>
      <c r="F118" s="279">
        <f>+'M1'!G30</f>
        <v>0</v>
      </c>
      <c r="G118" s="279">
        <f>+'M1'!H30</f>
        <v>0</v>
      </c>
      <c r="H118" s="822">
        <f>+'M1'!I30</f>
        <v>0</v>
      </c>
    </row>
    <row r="119" spans="1:8">
      <c r="A119" s="91"/>
      <c r="B119" s="821">
        <f>+'M1'!C31</f>
        <v>20</v>
      </c>
      <c r="C119" s="279">
        <f>+'M1'!D31</f>
        <v>0</v>
      </c>
      <c r="D119" s="279">
        <f>+'M1'!E31</f>
        <v>0</v>
      </c>
      <c r="E119" s="279">
        <f>+'M1'!F31</f>
        <v>0</v>
      </c>
      <c r="F119" s="279">
        <f>+'M1'!G31</f>
        <v>0</v>
      </c>
      <c r="G119" s="279">
        <f>+'M1'!H31</f>
        <v>0</v>
      </c>
      <c r="H119" s="822">
        <f>+'M1'!I31</f>
        <v>0</v>
      </c>
    </row>
    <row r="120" spans="1:8">
      <c r="A120" s="91"/>
      <c r="B120" s="821">
        <f>+'M1'!C32</f>
        <v>21</v>
      </c>
      <c r="C120" s="279">
        <f>+'M1'!D32</f>
        <v>0</v>
      </c>
      <c r="D120" s="279">
        <f>+'M1'!E32</f>
        <v>0</v>
      </c>
      <c r="E120" s="279">
        <f>+'M1'!F32</f>
        <v>0</v>
      </c>
      <c r="F120" s="279">
        <f>+'M1'!G32</f>
        <v>0</v>
      </c>
      <c r="G120" s="279">
        <f>+'M1'!H32</f>
        <v>0</v>
      </c>
      <c r="H120" s="822">
        <f>+'M1'!I32</f>
        <v>0</v>
      </c>
    </row>
    <row r="121" spans="1:8" ht="13.5" thickBot="1">
      <c r="A121" s="91"/>
      <c r="B121" s="1293"/>
      <c r="C121" s="1294">
        <f>+'M1'!D54</f>
        <v>0</v>
      </c>
      <c r="D121" s="1295">
        <f>+'M1'!E54</f>
        <v>1697917</v>
      </c>
      <c r="E121" s="1295">
        <f>+'M1'!F54</f>
        <v>3751873.6</v>
      </c>
      <c r="F121" s="1295">
        <f>+'M1'!G54</f>
        <v>2285569.69</v>
      </c>
      <c r="G121" s="1296">
        <f>+'M1'!H54</f>
        <v>1467</v>
      </c>
      <c r="H121" s="1296">
        <f>+'M1'!I54</f>
        <v>2960307.91</v>
      </c>
    </row>
    <row r="122" spans="1:8">
      <c r="A122" s="211" t="s">
        <v>420</v>
      </c>
      <c r="B122" s="59"/>
      <c r="C122" s="91"/>
      <c r="E122" s="117">
        <f>'PASIVI '!E14</f>
        <v>573184.24399999902</v>
      </c>
    </row>
    <row r="123" spans="1:8">
      <c r="A123" s="211" t="s">
        <v>421</v>
      </c>
      <c r="B123" s="59"/>
      <c r="C123" s="91"/>
      <c r="E123" s="117">
        <f>'PASIVI '!E15</f>
        <v>177192.9</v>
      </c>
    </row>
    <row r="124" spans="1:8">
      <c r="A124" s="211" t="s">
        <v>422</v>
      </c>
      <c r="B124" s="59"/>
      <c r="C124" s="91"/>
      <c r="E124" s="117">
        <f>'PASIVI '!E16</f>
        <v>50510</v>
      </c>
    </row>
    <row r="125" spans="1:8">
      <c r="A125" s="211" t="s">
        <v>423</v>
      </c>
      <c r="B125" s="59"/>
      <c r="C125" s="91"/>
      <c r="E125" s="117">
        <f>'PASIVI '!E17</f>
        <v>0</v>
      </c>
    </row>
    <row r="126" spans="1:8">
      <c r="A126" s="211" t="s">
        <v>424</v>
      </c>
      <c r="B126" s="59"/>
      <c r="C126" s="91"/>
      <c r="E126" s="117">
        <f>'PASIVI '!E18</f>
        <v>0</v>
      </c>
    </row>
    <row r="127" spans="1:8">
      <c r="A127" s="211" t="s">
        <v>425</v>
      </c>
      <c r="B127" s="59"/>
      <c r="C127" s="91"/>
      <c r="E127" s="117">
        <f>'PASIVI '!E19</f>
        <v>0</v>
      </c>
    </row>
    <row r="128" spans="1:8">
      <c r="A128" s="211" t="s">
        <v>426</v>
      </c>
      <c r="B128" s="59"/>
      <c r="C128" s="91"/>
      <c r="E128" s="117">
        <f>'PASIVI '!E20</f>
        <v>68043421.299999997</v>
      </c>
    </row>
    <row r="129" spans="1:9">
      <c r="A129" s="211" t="s">
        <v>427</v>
      </c>
      <c r="B129" s="59"/>
      <c r="C129" s="91"/>
      <c r="E129" s="117">
        <f>'PASIVI '!E21</f>
        <v>0</v>
      </c>
    </row>
    <row r="130" spans="1:9">
      <c r="A130" s="211" t="s">
        <v>428</v>
      </c>
      <c r="B130" s="59"/>
      <c r="C130" s="91"/>
      <c r="E130" s="117">
        <f>'PASIVI '!E22</f>
        <v>0</v>
      </c>
    </row>
    <row r="131" spans="1:9">
      <c r="A131" s="211" t="s">
        <v>429</v>
      </c>
      <c r="B131" s="59"/>
      <c r="C131" s="91"/>
      <c r="E131" s="117">
        <f>'PASIVI '!E23</f>
        <v>7519888.9399999995</v>
      </c>
    </row>
    <row r="132" spans="1:9">
      <c r="A132" s="59"/>
      <c r="B132" s="59"/>
      <c r="C132" s="91"/>
    </row>
    <row r="133" spans="1:9" ht="15">
      <c r="A133" s="204" t="s">
        <v>430</v>
      </c>
    </row>
    <row r="134" spans="1:9">
      <c r="A134" s="91"/>
    </row>
    <row r="135" spans="1:9">
      <c r="A135" s="199" t="s">
        <v>431</v>
      </c>
    </row>
    <row r="136" spans="1:9">
      <c r="A136" s="199" t="s">
        <v>432</v>
      </c>
    </row>
    <row r="137" spans="1:9" ht="13.5" thickBot="1">
      <c r="A137" s="199" t="s">
        <v>433</v>
      </c>
      <c r="B137" s="1"/>
      <c r="C137" s="1"/>
      <c r="D137" s="1"/>
      <c r="E137" s="1"/>
      <c r="F137" s="1"/>
    </row>
    <row r="138" spans="1:9" ht="13.5" thickBot="1">
      <c r="A138" s="212"/>
      <c r="B138" s="92" t="s">
        <v>73</v>
      </c>
      <c r="C138" s="587" t="s">
        <v>281</v>
      </c>
      <c r="D138" s="588"/>
      <c r="E138" s="213"/>
      <c r="F138" s="213"/>
      <c r="G138" s="214"/>
      <c r="H138" s="823"/>
      <c r="I138" s="824">
        <f>'Ardh e shp - natyres'!E8</f>
        <v>13982000</v>
      </c>
    </row>
    <row r="139" spans="1:9">
      <c r="A139" s="212"/>
      <c r="B139" s="586">
        <v>1</v>
      </c>
      <c r="C139" s="672" t="s">
        <v>825</v>
      </c>
      <c r="D139" s="673"/>
      <c r="E139" s="17"/>
      <c r="F139" s="163"/>
      <c r="G139" s="163"/>
      <c r="H139" s="53" t="s">
        <v>826</v>
      </c>
      <c r="I139" s="825">
        <f>'Ardh e shp - natyres'!E9+'Ardh e shp - natyres'!E10</f>
        <v>0</v>
      </c>
    </row>
    <row r="140" spans="1:9">
      <c r="A140" s="212"/>
      <c r="B140" s="23">
        <v>2</v>
      </c>
      <c r="C140" s="220" t="s">
        <v>434</v>
      </c>
      <c r="D140" s="37"/>
      <c r="E140" s="216"/>
      <c r="F140" s="217"/>
      <c r="G140" s="218"/>
      <c r="H140" s="53" t="s">
        <v>826</v>
      </c>
      <c r="I140" s="825">
        <f>'Ardh e shp - natyres'!E11+'Ardh e shp - natyres'!E12</f>
        <v>13982000</v>
      </c>
    </row>
    <row r="141" spans="1:9">
      <c r="A141" s="212"/>
      <c r="B141" s="219">
        <v>3</v>
      </c>
      <c r="C141" s="220" t="s">
        <v>435</v>
      </c>
      <c r="D141" s="1"/>
      <c r="E141" s="1"/>
      <c r="F141" s="59"/>
      <c r="G141" s="59"/>
      <c r="H141" s="53" t="s">
        <v>826</v>
      </c>
      <c r="I141" s="825">
        <f>'Ardh e shp - natyres'!E13+'Ardh e shp - natyres'!E14</f>
        <v>0</v>
      </c>
    </row>
    <row r="142" spans="1:9">
      <c r="A142" s="212"/>
      <c r="B142" s="23">
        <v>4</v>
      </c>
      <c r="C142" s="215" t="s">
        <v>436</v>
      </c>
      <c r="D142" s="216"/>
      <c r="E142" s="216"/>
      <c r="F142" s="217"/>
      <c r="G142" s="218"/>
      <c r="H142" s="53" t="s">
        <v>826</v>
      </c>
      <c r="I142" s="825">
        <f>'Ardh e shp - natyres'!E15</f>
        <v>0</v>
      </c>
    </row>
    <row r="143" spans="1:9">
      <c r="A143" s="212"/>
      <c r="B143" s="221" t="s">
        <v>79</v>
      </c>
      <c r="C143" s="223" t="s">
        <v>226</v>
      </c>
      <c r="D143" s="224"/>
      <c r="E143" s="224"/>
      <c r="F143" s="224"/>
      <c r="G143" s="225"/>
      <c r="H143" s="94"/>
      <c r="I143" s="594">
        <f>'Ardh e shp - natyres'!E16</f>
        <v>12331279.717930557</v>
      </c>
    </row>
    <row r="144" spans="1:9">
      <c r="A144" s="212"/>
      <c r="B144" s="77">
        <v>5</v>
      </c>
      <c r="C144" s="215" t="s">
        <v>436</v>
      </c>
      <c r="D144" s="59"/>
      <c r="E144" s="59"/>
      <c r="F144" s="59"/>
      <c r="G144" s="59"/>
      <c r="H144" s="227"/>
      <c r="I144" s="595">
        <f>'Ardh e shp - natyres'!E17</f>
        <v>0</v>
      </c>
    </row>
    <row r="145" spans="1:9">
      <c r="A145" s="212"/>
      <c r="B145" s="23">
        <v>6</v>
      </c>
      <c r="C145" s="215" t="s">
        <v>57</v>
      </c>
      <c r="D145" s="216"/>
      <c r="E145" s="216"/>
      <c r="F145" s="217"/>
      <c r="G145" s="218"/>
      <c r="H145" s="53" t="s">
        <v>157</v>
      </c>
      <c r="I145" s="596">
        <f>'Ardh e shp - natyres'!E18</f>
        <v>2597073.6900000009</v>
      </c>
    </row>
    <row r="146" spans="1:9">
      <c r="A146" s="212"/>
      <c r="B146" s="222">
        <v>7</v>
      </c>
      <c r="C146" s="589" t="s">
        <v>58</v>
      </c>
      <c r="D146" s="37"/>
      <c r="E146" s="216"/>
      <c r="F146" s="217"/>
      <c r="G146" s="218"/>
      <c r="H146" s="53" t="s">
        <v>158</v>
      </c>
      <c r="I146" s="596">
        <f>'Ardh e shp - natyres'!E19</f>
        <v>8976054.0209999997</v>
      </c>
    </row>
    <row r="147" spans="1:9">
      <c r="A147" s="212"/>
      <c r="B147" s="219"/>
      <c r="C147" s="220" t="s">
        <v>59</v>
      </c>
      <c r="D147" s="1"/>
      <c r="E147" s="1"/>
      <c r="F147" s="59"/>
      <c r="G147" s="59"/>
      <c r="H147" s="53"/>
      <c r="I147" s="596">
        <f>'Ardh e shp - natyres'!E20</f>
        <v>7691563</v>
      </c>
    </row>
    <row r="148" spans="1:9">
      <c r="A148" s="212"/>
      <c r="B148" s="23"/>
      <c r="C148" s="215" t="s">
        <v>60</v>
      </c>
      <c r="D148" s="216"/>
      <c r="E148" s="216"/>
      <c r="F148" s="217"/>
      <c r="G148" s="218"/>
      <c r="H148" s="53"/>
      <c r="I148" s="596">
        <f>'Ardh e shp - natyres'!E21</f>
        <v>1284491.0209999999</v>
      </c>
    </row>
    <row r="149" spans="1:9">
      <c r="A149" s="212"/>
      <c r="B149" s="219">
        <v>8</v>
      </c>
      <c r="C149" s="220" t="s">
        <v>61</v>
      </c>
      <c r="D149" s="1"/>
      <c r="E149" s="1"/>
      <c r="F149" s="59"/>
      <c r="G149" s="59"/>
      <c r="H149" s="53" t="s">
        <v>159</v>
      </c>
      <c r="I149" s="596">
        <f>'Ardh e shp - natyres'!E22</f>
        <v>758152.00693055568</v>
      </c>
    </row>
    <row r="150" spans="1:9">
      <c r="A150" s="212"/>
      <c r="B150" s="222">
        <v>9</v>
      </c>
      <c r="C150" s="215" t="s">
        <v>249</v>
      </c>
      <c r="D150" s="216"/>
      <c r="E150" s="216"/>
      <c r="F150" s="217"/>
      <c r="G150" s="218"/>
      <c r="H150" s="53" t="s">
        <v>160</v>
      </c>
      <c r="I150" s="596">
        <f>'Ardh e shp - natyres'!E23+'Ardh e shp - natyres'!E24+'Ardh e shp - natyres'!E25</f>
        <v>1.1641532182693481E-10</v>
      </c>
    </row>
    <row r="151" spans="1:9">
      <c r="A151" s="212"/>
      <c r="B151" s="93" t="s">
        <v>84</v>
      </c>
      <c r="C151" s="223" t="s">
        <v>62</v>
      </c>
      <c r="D151" s="224"/>
      <c r="E151" s="224"/>
      <c r="F151" s="224"/>
      <c r="G151" s="225"/>
      <c r="H151" s="94"/>
      <c r="I151" s="594">
        <f>'Ardh e shp - natyres'!E26</f>
        <v>1650720.2820694428</v>
      </c>
    </row>
    <row r="152" spans="1:9">
      <c r="A152" s="212"/>
      <c r="B152" s="219">
        <v>10</v>
      </c>
      <c r="C152" s="220" t="s">
        <v>64</v>
      </c>
      <c r="D152" s="1"/>
      <c r="E152" s="1"/>
      <c r="F152" s="59"/>
      <c r="G152" s="59"/>
      <c r="H152" s="53"/>
      <c r="I152" s="596"/>
    </row>
    <row r="153" spans="1:9">
      <c r="A153" s="212"/>
      <c r="B153" s="23">
        <v>11</v>
      </c>
      <c r="C153" s="215" t="s">
        <v>63</v>
      </c>
      <c r="D153" s="216"/>
      <c r="E153" s="216"/>
      <c r="F153" s="217"/>
      <c r="G153" s="218"/>
      <c r="H153" s="53"/>
      <c r="I153" s="596"/>
    </row>
    <row r="154" spans="1:9">
      <c r="A154" s="212"/>
      <c r="B154" s="219">
        <v>12</v>
      </c>
      <c r="C154" s="220" t="s">
        <v>65</v>
      </c>
      <c r="D154" s="1"/>
      <c r="E154" s="1"/>
      <c r="F154" s="59"/>
      <c r="G154" s="59"/>
      <c r="H154" s="53"/>
      <c r="I154" s="596">
        <f>'Ardh e shp - natyres'!E29</f>
        <v>0</v>
      </c>
    </row>
    <row r="155" spans="1:9">
      <c r="A155" s="212"/>
      <c r="B155" s="23"/>
      <c r="C155" s="574" t="s">
        <v>716</v>
      </c>
      <c r="D155" s="216"/>
      <c r="E155" s="216"/>
      <c r="F155" s="217"/>
      <c r="G155" s="218"/>
      <c r="H155" s="53"/>
      <c r="I155" s="596"/>
    </row>
    <row r="156" spans="1:9">
      <c r="A156" s="212"/>
      <c r="B156" s="219"/>
      <c r="C156" s="575" t="s">
        <v>717</v>
      </c>
      <c r="D156" s="1"/>
      <c r="E156" s="1"/>
      <c r="F156" s="59"/>
      <c r="G156" s="59"/>
      <c r="H156" s="53"/>
      <c r="I156" s="596">
        <f>'Ardh e shp - natyres'!E31</f>
        <v>0</v>
      </c>
    </row>
    <row r="157" spans="1:9">
      <c r="A157" s="212"/>
      <c r="B157" s="23"/>
      <c r="C157" s="574" t="s">
        <v>718</v>
      </c>
      <c r="D157" s="216"/>
      <c r="E157" s="216"/>
      <c r="F157" s="217"/>
      <c r="G157" s="218"/>
      <c r="H157" s="53"/>
      <c r="I157" s="596"/>
    </row>
    <row r="158" spans="1:9">
      <c r="A158" s="212"/>
      <c r="B158" s="219"/>
      <c r="C158" s="575" t="s">
        <v>719</v>
      </c>
      <c r="D158" s="1"/>
      <c r="E158" s="1"/>
      <c r="F158" s="59"/>
      <c r="G158" s="59"/>
      <c r="H158" s="53"/>
      <c r="I158" s="596">
        <f>'Ardh e shp - natyres'!E33</f>
        <v>0</v>
      </c>
    </row>
    <row r="159" spans="1:9">
      <c r="A159" s="212"/>
      <c r="B159" s="93" t="s">
        <v>115</v>
      </c>
      <c r="C159" s="223" t="s">
        <v>66</v>
      </c>
      <c r="D159" s="224"/>
      <c r="E159" s="224"/>
      <c r="F159" s="224"/>
      <c r="G159" s="225"/>
      <c r="H159" s="94"/>
      <c r="I159" s="597">
        <f>I152+I153+I154</f>
        <v>0</v>
      </c>
    </row>
    <row r="160" spans="1:9">
      <c r="A160" s="212"/>
      <c r="B160" s="219">
        <v>14</v>
      </c>
      <c r="C160" s="226" t="s">
        <v>67</v>
      </c>
      <c r="D160" s="1"/>
      <c r="E160" s="1"/>
      <c r="F160" s="59"/>
      <c r="G160" s="59"/>
      <c r="H160" s="227"/>
      <c r="I160" s="595">
        <f>I151+I159</f>
        <v>1650720.2820694428</v>
      </c>
    </row>
    <row r="161" spans="1:9">
      <c r="A161" s="212"/>
      <c r="B161" s="23"/>
      <c r="C161" s="228" t="s">
        <v>437</v>
      </c>
      <c r="D161" s="216"/>
      <c r="E161" s="216"/>
      <c r="F161" s="217"/>
      <c r="G161" s="218"/>
      <c r="H161" s="227" t="s">
        <v>160</v>
      </c>
      <c r="I161" s="595">
        <f>'Ardh e shp - natyres'!E36</f>
        <v>0</v>
      </c>
    </row>
    <row r="162" spans="1:9">
      <c r="A162" s="212"/>
      <c r="B162" s="219">
        <v>15</v>
      </c>
      <c r="C162" s="220" t="s">
        <v>68</v>
      </c>
      <c r="D162" s="1"/>
      <c r="E162" s="1"/>
      <c r="F162" s="59"/>
      <c r="G162" s="59"/>
      <c r="H162" s="227"/>
      <c r="I162" s="598">
        <f>(I160+I161)*0.1</f>
        <v>165072.02820694429</v>
      </c>
    </row>
    <row r="163" spans="1:9">
      <c r="A163" s="212"/>
      <c r="B163" s="93">
        <v>16</v>
      </c>
      <c r="C163" s="223" t="s">
        <v>69</v>
      </c>
      <c r="D163" s="224"/>
      <c r="E163" s="224"/>
      <c r="F163" s="224"/>
      <c r="G163" s="225"/>
      <c r="H163" s="94"/>
      <c r="I163" s="594">
        <f>I160-I162</f>
        <v>1485648.2538624986</v>
      </c>
    </row>
    <row r="164" spans="1:9" ht="13.5" thickBot="1">
      <c r="A164" s="212"/>
      <c r="B164" s="24">
        <v>17</v>
      </c>
      <c r="C164" s="229" t="s">
        <v>70</v>
      </c>
      <c r="D164" s="230"/>
      <c r="E164" s="230"/>
      <c r="F164" s="231"/>
      <c r="G164" s="232"/>
      <c r="H164" s="54"/>
      <c r="I164" s="85"/>
    </row>
    <row r="165" spans="1:9">
      <c r="A165" s="212"/>
      <c r="B165" s="212"/>
      <c r="C165" s="91"/>
      <c r="D165" s="233"/>
      <c r="E165" s="234"/>
      <c r="F165" s="59"/>
      <c r="G165" s="91"/>
      <c r="H165" s="91"/>
      <c r="I165" s="91"/>
    </row>
    <row r="166" spans="1:9" ht="13.5" customHeight="1">
      <c r="A166" s="1"/>
      <c r="B166" s="1"/>
    </row>
    <row r="167" spans="1:9" ht="15">
      <c r="A167" s="204" t="s">
        <v>438</v>
      </c>
      <c r="B167" s="91"/>
      <c r="C167" s="91"/>
      <c r="D167" s="91"/>
      <c r="E167" s="91"/>
    </row>
    <row r="168" spans="1:9">
      <c r="A168" s="91"/>
      <c r="B168" s="91"/>
      <c r="C168" s="91"/>
      <c r="D168" s="91"/>
      <c r="E168" s="91"/>
    </row>
    <row r="169" spans="1:9">
      <c r="A169" s="91" t="s">
        <v>439</v>
      </c>
      <c r="B169" s="91"/>
      <c r="C169" s="91"/>
      <c r="D169" s="91"/>
      <c r="E169" s="91"/>
    </row>
    <row r="170" spans="1:9" ht="13.5" thickBot="1">
      <c r="A170" s="91"/>
      <c r="B170" s="91"/>
      <c r="C170" s="91"/>
      <c r="D170" s="235"/>
      <c r="E170" s="59"/>
    </row>
    <row r="171" spans="1:9" ht="15.75">
      <c r="A171" s="91"/>
      <c r="B171" s="236" t="s">
        <v>73</v>
      </c>
      <c r="C171" s="237" t="s">
        <v>74</v>
      </c>
      <c r="D171" s="238"/>
      <c r="E171" s="238"/>
      <c r="F171" s="238"/>
      <c r="G171" s="239"/>
      <c r="H171" s="826">
        <f>H172-H173-H174-H175-H176</f>
        <v>3757934.742999997</v>
      </c>
    </row>
    <row r="172" spans="1:9" ht="15.75">
      <c r="A172" s="91"/>
      <c r="B172" s="240"/>
      <c r="C172" s="39" t="s">
        <v>75</v>
      </c>
      <c r="D172" s="1"/>
      <c r="E172" s="59"/>
      <c r="F172" s="1"/>
      <c r="G172" s="1"/>
      <c r="H172" s="125">
        <f>' Fluksit mon - direkte'!D9</f>
        <v>13982000</v>
      </c>
    </row>
    <row r="173" spans="1:9" ht="15.75">
      <c r="A173" s="91"/>
      <c r="B173" s="241"/>
      <c r="C173" s="22" t="s">
        <v>76</v>
      </c>
      <c r="D173" s="216"/>
      <c r="E173" s="217"/>
      <c r="F173" s="216"/>
      <c r="G173" s="42"/>
      <c r="H173" s="125">
        <f>' Fluksit mon - direkte'!D10</f>
        <v>10121006.257000003</v>
      </c>
    </row>
    <row r="174" spans="1:9" ht="15.75">
      <c r="A174" s="91"/>
      <c r="B174" s="240"/>
      <c r="C174" s="39" t="s">
        <v>77</v>
      </c>
      <c r="D174" s="1"/>
      <c r="E174" s="59"/>
      <c r="F174" s="1"/>
      <c r="G174" s="1"/>
      <c r="H174" s="125">
        <f>' Fluksit mon - direkte'!D11</f>
        <v>0</v>
      </c>
    </row>
    <row r="175" spans="1:9" ht="15.75">
      <c r="A175" s="91"/>
      <c r="B175" s="241"/>
      <c r="C175" s="22" t="s">
        <v>284</v>
      </c>
      <c r="D175" s="216"/>
      <c r="E175" s="217"/>
      <c r="F175" s="216"/>
      <c r="G175" s="42"/>
      <c r="H175" s="125">
        <f>' Fluksit mon - direkte'!D12</f>
        <v>103059</v>
      </c>
    </row>
    <row r="176" spans="1:9" ht="15.75">
      <c r="A176" s="91"/>
      <c r="B176" s="240"/>
      <c r="C176" s="39" t="s">
        <v>335</v>
      </c>
      <c r="D176" s="1"/>
      <c r="E176" s="59"/>
      <c r="F176" s="1"/>
      <c r="G176" s="1"/>
      <c r="H176" s="125">
        <f>' Fluksit mon - direkte'!D13</f>
        <v>1.1641532182693481E-10</v>
      </c>
    </row>
    <row r="177" spans="1:8" ht="15.75">
      <c r="A177" s="91"/>
      <c r="B177" s="241"/>
      <c r="C177" s="33" t="s">
        <v>78</v>
      </c>
      <c r="D177" s="216"/>
      <c r="E177" s="217"/>
      <c r="F177" s="216"/>
      <c r="G177" s="42"/>
      <c r="H177" s="827" t="s">
        <v>134</v>
      </c>
    </row>
    <row r="178" spans="1:8" ht="15.75">
      <c r="A178" s="91"/>
      <c r="B178" s="242" t="s">
        <v>79</v>
      </c>
      <c r="C178" s="243" t="s">
        <v>141</v>
      </c>
      <c r="D178" s="244"/>
      <c r="E178" s="244"/>
      <c r="F178" s="244"/>
      <c r="G178" s="244"/>
      <c r="H178" s="828">
        <f>H179-H180-H181-H182-H183</f>
        <v>6365088.9399999995</v>
      </c>
    </row>
    <row r="179" spans="1:8" ht="15.75">
      <c r="A179" s="91"/>
      <c r="B179" s="241"/>
      <c r="C179" s="22" t="s">
        <v>80</v>
      </c>
      <c r="D179" s="216"/>
      <c r="E179" s="217"/>
      <c r="F179" s="216"/>
      <c r="G179" s="42"/>
      <c r="H179" s="125">
        <f>' Fluksit mon - direkte'!D16</f>
        <v>0</v>
      </c>
    </row>
    <row r="180" spans="1:8" ht="15.75">
      <c r="A180" s="91"/>
      <c r="B180" s="240"/>
      <c r="C180" s="39" t="s">
        <v>81</v>
      </c>
      <c r="D180" s="1"/>
      <c r="E180" s="59"/>
      <c r="F180" s="1"/>
      <c r="G180" s="1"/>
      <c r="H180" s="125">
        <f>' Fluksit mon - direkte'!D17</f>
        <v>1154800</v>
      </c>
    </row>
    <row r="181" spans="1:8" ht="15.75">
      <c r="A181" s="91"/>
      <c r="B181" s="245"/>
      <c r="C181" s="22" t="s">
        <v>371</v>
      </c>
      <c r="D181" s="216"/>
      <c r="E181" s="217"/>
      <c r="F181" s="216"/>
      <c r="G181" s="216"/>
      <c r="H181" s="125">
        <f>' Fluksit mon - direkte'!D18</f>
        <v>-7519888.9399999995</v>
      </c>
    </row>
    <row r="182" spans="1:8" ht="15.75">
      <c r="A182" s="91"/>
      <c r="B182" s="241"/>
      <c r="C182" s="39" t="s">
        <v>82</v>
      </c>
      <c r="D182" s="1"/>
      <c r="E182" s="59"/>
      <c r="F182" s="1"/>
      <c r="G182" s="1"/>
      <c r="H182" s="125">
        <f>' Fluksit mon - direkte'!D19</f>
        <v>0</v>
      </c>
    </row>
    <row r="183" spans="1:8" ht="15.75">
      <c r="A183" s="91"/>
      <c r="B183" s="241"/>
      <c r="C183" s="22" t="s">
        <v>83</v>
      </c>
      <c r="D183" s="216"/>
      <c r="E183" s="217"/>
      <c r="F183" s="216"/>
      <c r="G183" s="216"/>
      <c r="H183" s="125">
        <f>' Fluksit mon - direkte'!D20</f>
        <v>0</v>
      </c>
    </row>
    <row r="184" spans="1:8" ht="15.75">
      <c r="A184" s="91"/>
      <c r="B184" s="240"/>
      <c r="C184" s="246" t="s">
        <v>140</v>
      </c>
      <c r="D184" s="1"/>
      <c r="E184" s="59"/>
      <c r="F184" s="1"/>
      <c r="G184" s="1"/>
      <c r="H184" s="125">
        <f>' Fluksit mon - direkte'!D21</f>
        <v>0</v>
      </c>
    </row>
    <row r="185" spans="1:8" ht="15.75">
      <c r="A185" s="91"/>
      <c r="B185" s="247" t="s">
        <v>84</v>
      </c>
      <c r="C185" s="248" t="s">
        <v>85</v>
      </c>
      <c r="D185" s="249"/>
      <c r="E185" s="249"/>
      <c r="F185" s="249"/>
      <c r="G185" s="249"/>
      <c r="H185" s="828">
        <f>H186-H187-H188-H189</f>
        <v>13347317.436799999</v>
      </c>
    </row>
    <row r="186" spans="1:8">
      <c r="A186" s="91"/>
      <c r="B186" s="250"/>
      <c r="C186" s="39" t="s">
        <v>86</v>
      </c>
      <c r="D186" s="1"/>
      <c r="E186" s="59"/>
      <c r="F186" s="1"/>
      <c r="G186" s="1"/>
      <c r="H186" s="125"/>
    </row>
    <row r="187" spans="1:8">
      <c r="A187" s="91"/>
      <c r="B187" s="32"/>
      <c r="C187" s="22" t="s">
        <v>87</v>
      </c>
      <c r="D187" s="216"/>
      <c r="E187" s="217"/>
      <c r="F187" s="216"/>
      <c r="G187" s="216"/>
      <c r="H187" s="125">
        <f>' Fluksit mon - direkte'!D24</f>
        <v>-13347317.436799999</v>
      </c>
    </row>
    <row r="188" spans="1:8">
      <c r="A188" s="91"/>
      <c r="B188" s="250"/>
      <c r="C188" s="39" t="s">
        <v>88</v>
      </c>
      <c r="D188" s="1"/>
      <c r="E188" s="59"/>
      <c r="F188" s="1"/>
      <c r="G188" s="1"/>
      <c r="H188" s="125">
        <f>' Fluksit mon - direkte'!D25</f>
        <v>0</v>
      </c>
    </row>
    <row r="189" spans="1:8">
      <c r="A189" s="91"/>
      <c r="B189" s="30"/>
      <c r="C189" s="22" t="s">
        <v>89</v>
      </c>
      <c r="D189" s="216"/>
      <c r="E189" s="217"/>
      <c r="F189" s="216"/>
      <c r="G189" s="216"/>
      <c r="H189" s="125">
        <f>' Fluksit mon - direkte'!D26</f>
        <v>0</v>
      </c>
    </row>
    <row r="190" spans="1:8">
      <c r="A190" s="91"/>
      <c r="B190" s="56"/>
      <c r="C190" s="39" t="s">
        <v>90</v>
      </c>
      <c r="D190" s="1"/>
      <c r="E190" s="59"/>
      <c r="F190" s="1"/>
      <c r="G190" s="1"/>
      <c r="H190" s="125">
        <f>H185</f>
        <v>13347317.436799999</v>
      </c>
    </row>
    <row r="191" spans="1:8">
      <c r="A191" s="91"/>
      <c r="B191" s="251"/>
      <c r="C191" s="95" t="s">
        <v>142</v>
      </c>
      <c r="D191" s="249"/>
      <c r="E191" s="249"/>
      <c r="F191" s="249"/>
      <c r="G191" s="249"/>
      <c r="H191" s="829">
        <f>' Fluksit mon - direkte'!D28</f>
        <v>-3224293.7538000029</v>
      </c>
    </row>
    <row r="192" spans="1:8">
      <c r="A192" s="91"/>
      <c r="B192" s="56"/>
      <c r="C192" s="252" t="s">
        <v>92</v>
      </c>
      <c r="D192" s="1"/>
      <c r="E192" s="59"/>
      <c r="F192" s="1"/>
      <c r="G192" s="1"/>
      <c r="H192" s="384">
        <f>' Fluksit mon - direkte'!D29</f>
        <v>3567737</v>
      </c>
    </row>
    <row r="193" spans="1:10" ht="13.5" thickBot="1">
      <c r="A193" s="91"/>
      <c r="B193" s="253"/>
      <c r="C193" s="254" t="s">
        <v>91</v>
      </c>
      <c r="D193" s="255"/>
      <c r="E193" s="255"/>
      <c r="F193" s="255"/>
      <c r="G193" s="255"/>
      <c r="H193" s="830">
        <f>' Fluksit mon - direkte'!D30</f>
        <v>343443.24619999714</v>
      </c>
    </row>
    <row r="194" spans="1:10">
      <c r="A194" s="91"/>
      <c r="B194" s="91"/>
      <c r="C194" s="91"/>
      <c r="D194" s="235"/>
      <c r="E194" s="59"/>
    </row>
    <row r="195" spans="1:10" ht="21">
      <c r="A195" s="256" t="s">
        <v>440</v>
      </c>
    </row>
    <row r="196" spans="1:10">
      <c r="B196" s="21" t="s">
        <v>827</v>
      </c>
    </row>
    <row r="197" spans="1:10">
      <c r="A197" s="91"/>
      <c r="B197" s="91"/>
      <c r="C197" s="91"/>
    </row>
    <row r="198" spans="1:10">
      <c r="A198" s="205" t="s">
        <v>441</v>
      </c>
      <c r="B198" s="91"/>
      <c r="C198" s="91"/>
      <c r="G198" s="91"/>
    </row>
    <row r="199" spans="1:10" ht="13.5" thickBot="1">
      <c r="A199" s="91"/>
      <c r="B199" s="91"/>
      <c r="C199" s="91"/>
      <c r="G199" s="91"/>
    </row>
    <row r="200" spans="1:10" ht="53.25" thickBot="1">
      <c r="A200" s="843" t="s">
        <v>442</v>
      </c>
      <c r="B200" s="844" t="s">
        <v>828</v>
      </c>
      <c r="C200" s="844" t="s">
        <v>443</v>
      </c>
      <c r="D200" s="844" t="s">
        <v>444</v>
      </c>
      <c r="E200" s="844" t="s">
        <v>829</v>
      </c>
      <c r="F200" s="844" t="s">
        <v>830</v>
      </c>
      <c r="G200" s="845" t="s">
        <v>831</v>
      </c>
      <c r="H200" s="844" t="s">
        <v>721</v>
      </c>
      <c r="I200" s="845" t="s">
        <v>759</v>
      </c>
      <c r="J200" s="576"/>
    </row>
    <row r="201" spans="1:10" ht="25.5" customHeight="1">
      <c r="A201" s="836" t="s">
        <v>720</v>
      </c>
      <c r="B201" s="831">
        <f>U!E9</f>
        <v>0</v>
      </c>
      <c r="C201" s="831">
        <f>U!F9</f>
        <v>0</v>
      </c>
      <c r="D201" s="831">
        <f>U!G9</f>
        <v>0</v>
      </c>
      <c r="E201" s="831">
        <f>U!H9</f>
        <v>0</v>
      </c>
      <c r="F201" s="831">
        <f>U!J9</f>
        <v>0</v>
      </c>
      <c r="G201" s="831">
        <f>U!L9</f>
        <v>0</v>
      </c>
      <c r="H201" s="831">
        <f>U!M9</f>
        <v>0</v>
      </c>
      <c r="I201" s="832">
        <f>U!O9</f>
        <v>0</v>
      </c>
      <c r="J201" s="576"/>
    </row>
    <row r="202" spans="1:10" ht="25.5" customHeight="1">
      <c r="A202" s="837" t="s">
        <v>155</v>
      </c>
      <c r="B202" s="838">
        <f>U!E13</f>
        <v>57680944</v>
      </c>
      <c r="C202" s="838">
        <f>U!F13</f>
        <v>0</v>
      </c>
      <c r="D202" s="838">
        <f>U!G13</f>
        <v>0</v>
      </c>
      <c r="E202" s="838">
        <f>U!H13</f>
        <v>57680944</v>
      </c>
      <c r="F202" s="838">
        <f>U!J13</f>
        <v>8226744.5999999996</v>
      </c>
      <c r="G202" s="838">
        <f>U!L13</f>
        <v>412118.32833333337</v>
      </c>
      <c r="H202" s="838">
        <f>U!M13</f>
        <v>0</v>
      </c>
      <c r="I202" s="839">
        <f>U!O13</f>
        <v>49042081.071666665</v>
      </c>
      <c r="J202" s="577"/>
    </row>
    <row r="203" spans="1:10" ht="25.5" customHeight="1">
      <c r="A203" s="837" t="s">
        <v>445</v>
      </c>
      <c r="B203" s="838">
        <f>U!E30</f>
        <v>1957474</v>
      </c>
      <c r="C203" s="838">
        <f>U!F30</f>
        <v>651900</v>
      </c>
      <c r="D203" s="838">
        <f>U!G30</f>
        <v>0</v>
      </c>
      <c r="E203" s="838">
        <f>U!H30</f>
        <v>2609374</v>
      </c>
      <c r="F203" s="838">
        <f>U!J30</f>
        <v>741241.44000000006</v>
      </c>
      <c r="G203" s="838">
        <f>U!L30</f>
        <v>40541.085333333329</v>
      </c>
      <c r="H203" s="838">
        <f>U!M30</f>
        <v>0</v>
      </c>
      <c r="I203" s="839">
        <f>U!O30</f>
        <v>1827591.4746666667</v>
      </c>
      <c r="J203" s="577"/>
    </row>
    <row r="204" spans="1:10" ht="25.5" customHeight="1">
      <c r="A204" s="837" t="s">
        <v>446</v>
      </c>
      <c r="B204" s="838">
        <f>U!E34</f>
        <v>6066509</v>
      </c>
      <c r="C204" s="838">
        <f>U!F34</f>
        <v>0</v>
      </c>
      <c r="D204" s="838">
        <f>U!G34</f>
        <v>0</v>
      </c>
      <c r="E204" s="838">
        <f>U!H34</f>
        <v>6066509</v>
      </c>
      <c r="F204" s="838">
        <f>U!J34</f>
        <v>3115758.9200000004</v>
      </c>
      <c r="G204" s="838">
        <f>U!L34</f>
        <v>98358.335999999996</v>
      </c>
      <c r="H204" s="838">
        <f>U!M34</f>
        <v>0</v>
      </c>
      <c r="I204" s="839">
        <f>U!O34</f>
        <v>2852391.7439999995</v>
      </c>
      <c r="J204" s="577"/>
    </row>
    <row r="205" spans="1:10" ht="25.5" customHeight="1" thickBot="1">
      <c r="A205" s="840" t="s">
        <v>447</v>
      </c>
      <c r="B205" s="841">
        <f>U!E58</f>
        <v>8978145</v>
      </c>
      <c r="C205" s="841">
        <f>U!F58</f>
        <v>502900</v>
      </c>
      <c r="D205" s="841">
        <f>U!G58</f>
        <v>0</v>
      </c>
      <c r="E205" s="841">
        <f>U!H58</f>
        <v>9481045</v>
      </c>
      <c r="F205" s="841">
        <f>U!J58</f>
        <v>3292127.271666667</v>
      </c>
      <c r="G205" s="841">
        <f>U!K58</f>
        <v>5686017.7283333335</v>
      </c>
      <c r="H205" s="841">
        <f>U!L58</f>
        <v>207134.2572638889</v>
      </c>
      <c r="I205" s="842">
        <f>U!O58</f>
        <v>5981783.471069444</v>
      </c>
      <c r="J205" s="577"/>
    </row>
    <row r="206" spans="1:10" ht="23.25" thickBot="1">
      <c r="A206" s="833" t="s">
        <v>380</v>
      </c>
      <c r="B206" s="834">
        <f>SUM(B201:B205)</f>
        <v>74683072</v>
      </c>
      <c r="C206" s="834">
        <f t="shared" ref="C206:I206" si="0">SUM(C201:C205)</f>
        <v>1154800</v>
      </c>
      <c r="D206" s="834">
        <f t="shared" si="0"/>
        <v>0</v>
      </c>
      <c r="E206" s="834">
        <f t="shared" si="0"/>
        <v>75837872</v>
      </c>
      <c r="F206" s="834">
        <f t="shared" si="0"/>
        <v>15375872.231666666</v>
      </c>
      <c r="G206" s="834">
        <f t="shared" si="0"/>
        <v>6237035.4780000001</v>
      </c>
      <c r="H206" s="834">
        <f t="shared" si="0"/>
        <v>207134.2572638889</v>
      </c>
      <c r="I206" s="835">
        <f t="shared" si="0"/>
        <v>59703847.761402786</v>
      </c>
      <c r="J206" s="578"/>
    </row>
    <row r="207" spans="1:10">
      <c r="A207" s="91"/>
      <c r="B207" s="212"/>
      <c r="D207" s="59"/>
      <c r="E207" s="59"/>
      <c r="F207" s="59"/>
      <c r="G207" s="59"/>
    </row>
    <row r="208" spans="1:10">
      <c r="A208" s="91"/>
      <c r="B208" s="257"/>
      <c r="D208" s="59"/>
      <c r="E208" s="59"/>
      <c r="F208" s="59"/>
      <c r="G208" s="59"/>
    </row>
    <row r="209" spans="1:9">
      <c r="A209" s="205" t="s">
        <v>448</v>
      </c>
      <c r="B209" s="91"/>
      <c r="C209" s="91"/>
    </row>
    <row r="210" spans="1:9" ht="13.5" thickBot="1">
      <c r="A210" s="91"/>
      <c r="B210" s="91"/>
      <c r="C210" s="91"/>
    </row>
    <row r="211" spans="1:9" ht="30" customHeight="1" thickBot="1">
      <c r="B211" s="852" t="s">
        <v>1</v>
      </c>
      <c r="C211" s="853" t="s">
        <v>97</v>
      </c>
      <c r="D211" s="854" t="s">
        <v>98</v>
      </c>
      <c r="E211" s="855" t="s">
        <v>99</v>
      </c>
      <c r="F211" s="855" t="s">
        <v>336</v>
      </c>
      <c r="G211" s="855" t="s">
        <v>106</v>
      </c>
      <c r="H211" s="855" t="s">
        <v>100</v>
      </c>
      <c r="I211" s="856" t="s">
        <v>95</v>
      </c>
    </row>
    <row r="212" spans="1:9" ht="19.5" customHeight="1" thickBot="1">
      <c r="B212" s="848" t="s">
        <v>4</v>
      </c>
      <c r="C212" s="849" t="str">
        <f>'Pasq e ndrysh te kap 2'!C6</f>
        <v>Pozicioni me 31 Dhjetor 2010</v>
      </c>
      <c r="D212" s="862">
        <f>+'Pasq e ndrysh te kap 2'!E6</f>
        <v>100000</v>
      </c>
      <c r="E212" s="862">
        <f>'Pasq e ndrysh te kap 2'!E6</f>
        <v>100000</v>
      </c>
      <c r="F212" s="862">
        <f>'Pasq e ndrysh te kap 2'!F6</f>
        <v>0</v>
      </c>
      <c r="G212" s="862">
        <f>'Pasq e ndrysh te kap 2'!G6</f>
        <v>0</v>
      </c>
      <c r="H212" s="862">
        <f>'Pasq e ndrysh te kap 2'!H6</f>
        <v>0</v>
      </c>
      <c r="I212" s="863">
        <f>'Pasq e ndrysh te kap 2'!I6</f>
        <v>3938052</v>
      </c>
    </row>
    <row r="213" spans="1:9">
      <c r="B213" s="860" t="s">
        <v>73</v>
      </c>
      <c r="C213" s="858" t="str">
        <f>'Pasq e ndrysh te kap 2'!C7</f>
        <v xml:space="preserve">Efekti I ndryshimit ne polit kontabel </v>
      </c>
      <c r="D213" s="864">
        <f>+'Pasq e ndrysh te kap 2'!E7</f>
        <v>0</v>
      </c>
      <c r="E213" s="864">
        <f>+'Pasq e ndrysh te kap 2'!F7</f>
        <v>0</v>
      </c>
      <c r="F213" s="864">
        <f>+'Pasq e ndrysh te kap 2'!G7</f>
        <v>0</v>
      </c>
      <c r="G213" s="864">
        <f>+'Pasq e ndrysh te kap 2'!H7</f>
        <v>0</v>
      </c>
      <c r="H213" s="864">
        <f>+'Pasq e ndrysh te kap 2'!I7</f>
        <v>0</v>
      </c>
      <c r="I213" s="865">
        <f>+'Pasq e ndrysh te kap 2'!J7</f>
        <v>0</v>
      </c>
    </row>
    <row r="214" spans="1:9">
      <c r="B214" s="861" t="s">
        <v>79</v>
      </c>
      <c r="C214" s="851" t="str">
        <f>'Pasq e ndrysh te kap 2'!C8</f>
        <v>Pozicioni I rregulluar</v>
      </c>
      <c r="D214" s="866">
        <f>+'Pasq e ndrysh te kap 2'!E8</f>
        <v>0</v>
      </c>
      <c r="E214" s="866">
        <f>+'Pasq e ndrysh te kap 2'!F8</f>
        <v>0</v>
      </c>
      <c r="F214" s="866">
        <f>+'Pasq e ndrysh te kap 2'!G8</f>
        <v>0</v>
      </c>
      <c r="G214" s="866">
        <f>+'Pasq e ndrysh te kap 2'!H8</f>
        <v>0</v>
      </c>
      <c r="H214" s="866">
        <f>+'Pasq e ndrysh te kap 2'!I8</f>
        <v>0</v>
      </c>
      <c r="I214" s="867">
        <f>+'Pasq e ndrysh te kap 2'!J8</f>
        <v>0</v>
      </c>
    </row>
    <row r="215" spans="1:9">
      <c r="B215" s="259">
        <v>1</v>
      </c>
      <c r="C215" s="850" t="str">
        <f>'Pasq e ndrysh te kap 2'!C9</f>
        <v>Fitimi Neto per periudhen Kontabel</v>
      </c>
      <c r="D215" s="868">
        <f>+'Pasq e ndrysh te kap 2'!E9</f>
        <v>0</v>
      </c>
      <c r="E215" s="868">
        <f>+'Pasq e ndrysh te kap 2'!F9</f>
        <v>0</v>
      </c>
      <c r="F215" s="868">
        <f>+'Pasq e ndrysh te kap 2'!G9</f>
        <v>0</v>
      </c>
      <c r="G215" s="868">
        <f>+'Pasq e ndrysh te kap 2'!H9</f>
        <v>0</v>
      </c>
      <c r="H215" s="868">
        <f>+'Pasq e ndrysh te kap 2'!I9</f>
        <v>3330889</v>
      </c>
      <c r="I215" s="869">
        <f>+'Pasq e ndrysh te kap 2'!J9</f>
        <v>3330889</v>
      </c>
    </row>
    <row r="216" spans="1:9">
      <c r="B216" s="259">
        <v>2</v>
      </c>
      <c r="C216" s="850" t="str">
        <f>'Pasq e ndrysh te kap 2'!C10</f>
        <v>Dividentet e paguar</v>
      </c>
      <c r="D216" s="868">
        <f>+'Pasq e ndrysh te kap 2'!E10</f>
        <v>0</v>
      </c>
      <c r="E216" s="868">
        <f>+'Pasq e ndrysh te kap 2'!F10</f>
        <v>0</v>
      </c>
      <c r="F216" s="868">
        <f>+'Pasq e ndrysh te kap 2'!G10</f>
        <v>0</v>
      </c>
      <c r="G216" s="868">
        <f>+'Pasq e ndrysh te kap 2'!H10</f>
        <v>0</v>
      </c>
      <c r="H216" s="868">
        <f>+'Pasq e ndrysh te kap 2'!I10</f>
        <v>0</v>
      </c>
      <c r="I216" s="869">
        <f>+'Pasq e ndrysh te kap 2'!J10</f>
        <v>0</v>
      </c>
    </row>
    <row r="217" spans="1:9">
      <c r="B217" s="259">
        <v>3</v>
      </c>
      <c r="C217" s="850" t="str">
        <f>'Pasq e ndrysh te kap 2'!C11</f>
        <v>Rritja e rezerves te kapitalit</v>
      </c>
      <c r="D217" s="868">
        <f>+'Pasq e ndrysh te kap 2'!E11</f>
        <v>0</v>
      </c>
      <c r="E217" s="868">
        <f>+'Pasq e ndrysh te kap 2'!F11</f>
        <v>0</v>
      </c>
      <c r="F217" s="868">
        <f>+'Pasq e ndrysh te kap 2'!G11</f>
        <v>0</v>
      </c>
      <c r="G217" s="868">
        <f>+'Pasq e ndrysh te kap 2'!H11</f>
        <v>0</v>
      </c>
      <c r="H217" s="868">
        <f>+'Pasq e ndrysh te kap 2'!I11</f>
        <v>0</v>
      </c>
      <c r="I217" s="869">
        <f>+'Pasq e ndrysh te kap 2'!J11</f>
        <v>0</v>
      </c>
    </row>
    <row r="218" spans="1:9" ht="13.5" thickBot="1">
      <c r="B218" s="469">
        <v>4</v>
      </c>
      <c r="C218" s="857" t="str">
        <f>'Pasq e ndrysh te kap 2'!C12</f>
        <v>Emetimi I Aksioneve, fitime te mbartura</v>
      </c>
      <c r="D218" s="870">
        <f>+'Pasq e ndrysh te kap 2'!E12</f>
        <v>0</v>
      </c>
      <c r="E218" s="870">
        <f>+'Pasq e ndrysh te kap 2'!F12</f>
        <v>0</v>
      </c>
      <c r="F218" s="870">
        <f>+'Pasq e ndrysh te kap 2'!G12</f>
        <v>0</v>
      </c>
      <c r="G218" s="870">
        <f>+'Pasq e ndrysh te kap 2'!H12</f>
        <v>0</v>
      </c>
      <c r="H218" s="870">
        <f>+'Pasq e ndrysh te kap 2'!I12</f>
        <v>0</v>
      </c>
      <c r="I218" s="871">
        <f>+'Pasq e ndrysh te kap 2'!J12</f>
        <v>0</v>
      </c>
    </row>
    <row r="219" spans="1:9" ht="23.25" customHeight="1" thickBot="1">
      <c r="B219" s="848" t="s">
        <v>20</v>
      </c>
      <c r="C219" s="849" t="str">
        <f>'Pasq e ndrysh te kap 2'!C13</f>
        <v>Pozicioni me 31 Dhjetor 2011</v>
      </c>
      <c r="D219" s="862">
        <f>+'Pasq e ndrysh te kap 2'!E13</f>
        <v>100000</v>
      </c>
      <c r="E219" s="862">
        <f>+'Pasq e ndrysh te kap 2'!F13</f>
        <v>0</v>
      </c>
      <c r="F219" s="862">
        <f>+'Pasq e ndrysh te kap 2'!G13</f>
        <v>0</v>
      </c>
      <c r="G219" s="862">
        <f>+'Pasq e ndrysh te kap 2'!H13</f>
        <v>0</v>
      </c>
      <c r="H219" s="862">
        <f>+'Pasq e ndrysh te kap 2'!I13</f>
        <v>7268941</v>
      </c>
      <c r="I219" s="863">
        <f>+'Pasq e ndrysh te kap 2'!J13</f>
        <v>7368941</v>
      </c>
    </row>
    <row r="220" spans="1:9">
      <c r="B220" s="457">
        <v>1</v>
      </c>
      <c r="C220" s="859" t="str">
        <f>'Pasq e ndrysh te kap 2'!C14</f>
        <v>Fitimi Neto per periudhen Kontabel</v>
      </c>
      <c r="D220" s="872">
        <f>+'Pasq e ndrysh te kap 2'!E14</f>
        <v>0</v>
      </c>
      <c r="E220" s="872">
        <f>+'Pasq e ndrysh te kap 2'!F14</f>
        <v>0</v>
      </c>
      <c r="F220" s="872">
        <f>+'Pasq e ndrysh te kap 2'!G14</f>
        <v>0</v>
      </c>
      <c r="G220" s="872">
        <f>+'Pasq e ndrysh te kap 2'!H14</f>
        <v>0</v>
      </c>
      <c r="H220" s="872">
        <f>+'Pasq e ndrysh te kap 2'!I14</f>
        <v>1485648.2538624986</v>
      </c>
      <c r="I220" s="873">
        <f>+'Pasq e ndrysh te kap 2'!J14</f>
        <v>1485648.2538624986</v>
      </c>
    </row>
    <row r="221" spans="1:9">
      <c r="B221" s="259">
        <v>2</v>
      </c>
      <c r="C221" s="850" t="str">
        <f>'Pasq e ndrysh te kap 2'!C15</f>
        <v>Dividentet e paguar</v>
      </c>
      <c r="D221" s="868">
        <f>+'Pasq e ndrysh te kap 2'!E15</f>
        <v>0</v>
      </c>
      <c r="E221" s="868">
        <f>+'Pasq e ndrysh te kap 2'!F15</f>
        <v>0</v>
      </c>
      <c r="F221" s="868">
        <f>+'Pasq e ndrysh te kap 2'!G15</f>
        <v>0</v>
      </c>
      <c r="G221" s="868">
        <f>+'Pasq e ndrysh te kap 2'!H15</f>
        <v>0</v>
      </c>
      <c r="H221" s="868">
        <f>+'Pasq e ndrysh te kap 2'!I15</f>
        <v>0</v>
      </c>
      <c r="I221" s="869">
        <f>+'Pasq e ndrysh te kap 2'!J15</f>
        <v>0</v>
      </c>
    </row>
    <row r="222" spans="1:9">
      <c r="B222" s="259">
        <v>3</v>
      </c>
      <c r="C222" s="850" t="str">
        <f>'Pasq e ndrysh te kap 2'!C16</f>
        <v>Emetimi I kapitalit Aksioner</v>
      </c>
      <c r="D222" s="868">
        <f>+'Pasq e ndrysh te kap 2'!E16</f>
        <v>0</v>
      </c>
      <c r="E222" s="868">
        <f>+'Pasq e ndrysh te kap 2'!F16</f>
        <v>0</v>
      </c>
      <c r="F222" s="868">
        <f>+'Pasq e ndrysh te kap 2'!G16</f>
        <v>0</v>
      </c>
      <c r="G222" s="868">
        <f>+'Pasq e ndrysh te kap 2'!H16</f>
        <v>0</v>
      </c>
      <c r="H222" s="868">
        <f>+'Pasq e ndrysh te kap 2'!I16</f>
        <v>0</v>
      </c>
      <c r="I222" s="869">
        <f>+'Pasq e ndrysh te kap 2'!J16</f>
        <v>0</v>
      </c>
    </row>
    <row r="223" spans="1:9" ht="13.5" thickBot="1">
      <c r="B223" s="469">
        <v>4</v>
      </c>
      <c r="C223" s="857" t="str">
        <f>'Pasq e ndrysh te kap 2'!C17</f>
        <v>Aksione te thesarit te riblera</v>
      </c>
      <c r="D223" s="870">
        <f>+'Pasq e ndrysh te kap 2'!E17</f>
        <v>0</v>
      </c>
      <c r="E223" s="870">
        <f>+'Pasq e ndrysh te kap 2'!F17</f>
        <v>0</v>
      </c>
      <c r="F223" s="870">
        <f>+'Pasq e ndrysh te kap 2'!G17</f>
        <v>0</v>
      </c>
      <c r="G223" s="870">
        <f>+'Pasq e ndrysh te kap 2'!H17</f>
        <v>0</v>
      </c>
      <c r="H223" s="870">
        <f>+'Pasq e ndrysh te kap 2'!I17</f>
        <v>0</v>
      </c>
      <c r="I223" s="871">
        <f>+'Pasq e ndrysh te kap 2'!J17</f>
        <v>0</v>
      </c>
    </row>
    <row r="224" spans="1:9" ht="21" customHeight="1" thickBot="1">
      <c r="B224" s="846" t="s">
        <v>45</v>
      </c>
      <c r="C224" s="847" t="str">
        <f>'Pasq e ndrysh te kap 2'!C18</f>
        <v>Pozicioni me 31 Dhjetor 2012</v>
      </c>
      <c r="D224" s="874">
        <f>+'Pasq e ndrysh te kap 2'!E18</f>
        <v>100000</v>
      </c>
      <c r="E224" s="874">
        <f>+'Pasq e ndrysh te kap 2'!F18</f>
        <v>0</v>
      </c>
      <c r="F224" s="874">
        <f>+'Pasq e ndrysh te kap 2'!G18</f>
        <v>0</v>
      </c>
      <c r="G224" s="874">
        <f>+'Pasq e ndrysh te kap 2'!H18</f>
        <v>0</v>
      </c>
      <c r="H224" s="874">
        <f>+'Pasq e ndrysh te kap 2'!I18</f>
        <v>8754589.2538624983</v>
      </c>
      <c r="I224" s="875">
        <f>+'Pasq e ndrysh te kap 2'!J18</f>
        <v>8854589.2538624983</v>
      </c>
    </row>
    <row r="226" spans="1:7">
      <c r="A226" s="91"/>
      <c r="B226" s="91"/>
      <c r="C226" s="91"/>
    </row>
    <row r="227" spans="1:7">
      <c r="A227" s="205" t="s">
        <v>449</v>
      </c>
      <c r="B227" s="91"/>
      <c r="C227" s="91"/>
    </row>
    <row r="228" spans="1:7">
      <c r="A228" s="91"/>
      <c r="B228" s="91"/>
      <c r="C228" s="91"/>
    </row>
    <row r="229" spans="1:7">
      <c r="A229" s="199" t="s">
        <v>450</v>
      </c>
      <c r="B229" s="199"/>
      <c r="C229" s="91"/>
    </row>
    <row r="230" spans="1:7">
      <c r="A230" s="199" t="s">
        <v>451</v>
      </c>
      <c r="B230" s="199"/>
      <c r="C230" s="91"/>
    </row>
    <row r="231" spans="1:7">
      <c r="A231" s="199"/>
      <c r="B231" s="199"/>
      <c r="C231" s="91"/>
    </row>
    <row r="232" spans="1:7">
      <c r="A232" s="199"/>
      <c r="B232" s="199"/>
      <c r="C232" s="91"/>
    </row>
    <row r="233" spans="1:7">
      <c r="A233" s="199" t="s">
        <v>452</v>
      </c>
      <c r="B233" s="199"/>
      <c r="C233" s="91"/>
    </row>
    <row r="234" spans="1:7">
      <c r="A234" s="199" t="s">
        <v>453</v>
      </c>
      <c r="B234" s="199"/>
      <c r="C234" s="91"/>
    </row>
    <row r="235" spans="1:7">
      <c r="A235" s="91"/>
      <c r="B235" s="91"/>
      <c r="C235" s="91"/>
    </row>
    <row r="236" spans="1:7">
      <c r="A236" s="91"/>
      <c r="B236" s="91"/>
      <c r="C236" s="91"/>
    </row>
    <row r="237" spans="1:7">
      <c r="B237" s="19" t="s">
        <v>454</v>
      </c>
      <c r="F237" s="19" t="s">
        <v>455</v>
      </c>
    </row>
    <row r="239" spans="1:7" ht="13.5" thickBot="1">
      <c r="A239" s="8"/>
      <c r="B239" s="8"/>
      <c r="C239" s="8"/>
      <c r="E239" s="590"/>
      <c r="F239" s="590" t="str">
        <f>E9</f>
        <v>Esmeralda Muskaj</v>
      </c>
      <c r="G239" s="590"/>
    </row>
  </sheetData>
  <mergeCells count="16">
    <mergeCell ref="H98:H99"/>
    <mergeCell ref="D38:F38"/>
    <mergeCell ref="B58:B59"/>
    <mergeCell ref="C58:C59"/>
    <mergeCell ref="D58:D59"/>
    <mergeCell ref="F98:F99"/>
    <mergeCell ref="E58:E59"/>
    <mergeCell ref="F58:F59"/>
    <mergeCell ref="G58:G59"/>
    <mergeCell ref="B68:C68"/>
    <mergeCell ref="B89:F89"/>
    <mergeCell ref="G98:G99"/>
    <mergeCell ref="C98:C99"/>
    <mergeCell ref="B98:B99"/>
    <mergeCell ref="D98:D99"/>
    <mergeCell ref="E98:E99"/>
  </mergeCells>
  <phoneticPr fontId="4" type="noConversion"/>
  <printOptions horizont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H47"/>
  <sheetViews>
    <sheetView workbookViewId="0">
      <selection activeCell="I47" sqref="A1:I47"/>
    </sheetView>
  </sheetViews>
  <sheetFormatPr defaultRowHeight="12.75"/>
  <cols>
    <col min="1" max="1" width="5.85546875" customWidth="1"/>
    <col min="2" max="2" width="8.42578125" customWidth="1"/>
    <col min="3" max="3" width="8.28515625" customWidth="1"/>
    <col min="4" max="4" width="24" customWidth="1"/>
    <col min="5" max="5" width="3" customWidth="1"/>
    <col min="6" max="6" width="12.85546875" customWidth="1"/>
    <col min="7" max="7" width="6.140625" customWidth="1"/>
    <col min="8" max="8" width="6.5703125" customWidth="1"/>
    <col min="9" max="9" width="5.140625" customWidth="1"/>
  </cols>
  <sheetData>
    <row r="1" spans="2:8">
      <c r="B1" s="2"/>
      <c r="C1" s="49"/>
      <c r="D1" s="49"/>
      <c r="E1" s="2"/>
    </row>
    <row r="2" spans="2:8">
      <c r="B2" s="52" t="s">
        <v>131</v>
      </c>
      <c r="C2" s="2" t="str">
        <f>'Kopertina '!F4</f>
        <v>Eskeld</v>
      </c>
      <c r="D2" s="2"/>
      <c r="E2" s="2"/>
    </row>
    <row r="3" spans="2:8">
      <c r="B3" s="1"/>
      <c r="C3" s="1"/>
      <c r="D3" s="1"/>
      <c r="E3" s="2"/>
      <c r="F3" s="2"/>
      <c r="G3" s="2"/>
      <c r="H3" s="2" t="s">
        <v>116</v>
      </c>
    </row>
    <row r="4" spans="2:8">
      <c r="B4" s="1"/>
      <c r="C4" s="1354" t="s">
        <v>133</v>
      </c>
      <c r="D4" s="1354"/>
      <c r="E4" s="1354"/>
      <c r="F4" s="1354"/>
    </row>
    <row r="5" spans="2:8">
      <c r="B5" s="1"/>
      <c r="C5" s="1"/>
      <c r="D5" s="1"/>
      <c r="E5" s="2" t="s">
        <v>132</v>
      </c>
      <c r="F5" s="19"/>
      <c r="G5" s="19">
        <f>'Kopertina '!F29</f>
        <v>2012</v>
      </c>
    </row>
    <row r="6" spans="2:8" ht="13.5" thickBot="1">
      <c r="B6" s="1"/>
      <c r="C6" s="1"/>
      <c r="D6" s="1"/>
      <c r="E6" s="1"/>
    </row>
    <row r="7" spans="2:8" ht="13.5" thickBot="1">
      <c r="B7" s="16"/>
      <c r="C7" s="17"/>
      <c r="D7" s="17"/>
      <c r="E7" s="17"/>
      <c r="F7" s="17"/>
      <c r="G7" s="17"/>
      <c r="H7" s="18"/>
    </row>
    <row r="8" spans="2:8">
      <c r="B8" s="5"/>
      <c r="C8" s="1"/>
      <c r="D8" s="2" t="s">
        <v>695</v>
      </c>
      <c r="E8" s="1"/>
      <c r="F8" s="366">
        <f>'AKTIVI '!F8</f>
        <v>0</v>
      </c>
      <c r="G8" s="1"/>
      <c r="H8" s="6"/>
    </row>
    <row r="9" spans="2:8">
      <c r="B9" s="5"/>
      <c r="C9" s="2"/>
      <c r="D9" s="2" t="s">
        <v>696</v>
      </c>
      <c r="E9" s="49"/>
      <c r="F9" s="367">
        <v>315499</v>
      </c>
      <c r="G9" s="49"/>
      <c r="H9" s="6"/>
    </row>
    <row r="10" spans="2:8" ht="13.5" thickBot="1">
      <c r="B10" s="5"/>
      <c r="C10" s="2"/>
      <c r="D10" s="2" t="s">
        <v>697</v>
      </c>
      <c r="E10" s="49"/>
      <c r="F10" s="368">
        <v>0</v>
      </c>
      <c r="G10" s="49"/>
      <c r="H10" s="6"/>
    </row>
    <row r="11" spans="2:8" ht="13.5" thickBot="1">
      <c r="B11" s="5"/>
      <c r="C11" s="2"/>
      <c r="D11" s="2"/>
      <c r="E11" s="49"/>
      <c r="F11" s="49"/>
      <c r="G11" s="49"/>
      <c r="H11" s="6"/>
    </row>
    <row r="12" spans="2:8" ht="13.5" thickBot="1">
      <c r="B12" s="5"/>
      <c r="C12" s="2"/>
      <c r="D12" s="2" t="s">
        <v>698</v>
      </c>
      <c r="E12" s="2"/>
      <c r="F12" s="369">
        <f>F8+F9-F10</f>
        <v>315499</v>
      </c>
      <c r="G12" s="2"/>
      <c r="H12" s="6"/>
    </row>
    <row r="13" spans="2:8">
      <c r="B13" s="5"/>
      <c r="C13" s="2"/>
      <c r="D13" s="3"/>
      <c r="E13" s="49"/>
      <c r="F13" s="49"/>
      <c r="G13" s="49"/>
      <c r="H13" s="6"/>
    </row>
    <row r="14" spans="2:8">
      <c r="B14" s="5"/>
      <c r="C14" s="1"/>
      <c r="D14" s="1"/>
      <c r="E14" s="365"/>
      <c r="F14" s="365"/>
      <c r="G14" s="365"/>
      <c r="H14" s="6"/>
    </row>
    <row r="15" spans="2:8">
      <c r="B15" s="5"/>
      <c r="C15" s="1"/>
      <c r="D15" s="1"/>
      <c r="E15" s="1"/>
      <c r="F15" s="1">
        <v>0</v>
      </c>
      <c r="G15" s="1"/>
      <c r="H15" s="6"/>
    </row>
    <row r="16" spans="2:8">
      <c r="B16" s="5"/>
      <c r="C16" s="1"/>
      <c r="D16" s="1"/>
      <c r="E16" s="1"/>
      <c r="F16" s="1"/>
      <c r="G16" s="1"/>
      <c r="H16" s="6"/>
    </row>
    <row r="17" spans="2:8">
      <c r="B17" s="5"/>
      <c r="C17" s="1"/>
      <c r="D17" s="1"/>
      <c r="E17" s="1"/>
      <c r="F17" s="1"/>
      <c r="G17" s="1"/>
      <c r="H17" s="6"/>
    </row>
    <row r="18" spans="2:8">
      <c r="B18" s="5"/>
      <c r="C18" s="1"/>
      <c r="D18" s="1"/>
      <c r="E18" s="1"/>
      <c r="F18" s="1"/>
      <c r="G18" s="1"/>
      <c r="H18" s="6"/>
    </row>
    <row r="19" spans="2:8">
      <c r="B19" s="5"/>
      <c r="C19" s="1"/>
      <c r="D19" s="1"/>
      <c r="E19" s="1"/>
      <c r="F19" s="1"/>
      <c r="G19" s="1"/>
      <c r="H19" s="6"/>
    </row>
    <row r="20" spans="2:8">
      <c r="B20" s="5"/>
      <c r="C20" s="1"/>
      <c r="D20" s="1"/>
      <c r="E20" s="1"/>
      <c r="F20" s="1"/>
      <c r="G20" s="1"/>
      <c r="H20" s="6"/>
    </row>
    <row r="21" spans="2:8">
      <c r="B21" s="5"/>
      <c r="C21" s="1"/>
      <c r="D21" s="1"/>
      <c r="E21" s="1"/>
      <c r="F21" s="1"/>
      <c r="G21" s="1"/>
      <c r="H21" s="6"/>
    </row>
    <row r="22" spans="2:8">
      <c r="B22" s="5"/>
      <c r="C22" s="1"/>
      <c r="D22" s="1"/>
      <c r="E22" s="1"/>
      <c r="F22" s="1"/>
      <c r="G22" s="1"/>
      <c r="H22" s="6"/>
    </row>
    <row r="23" spans="2:8">
      <c r="B23" s="5"/>
      <c r="C23" s="1"/>
      <c r="D23" s="1"/>
      <c r="E23" s="1"/>
      <c r="F23" s="1"/>
      <c r="G23" s="1"/>
      <c r="H23" s="6"/>
    </row>
    <row r="24" spans="2:8">
      <c r="B24" s="5"/>
      <c r="C24" s="1"/>
      <c r="D24" s="1"/>
      <c r="E24" s="1"/>
      <c r="F24" s="1"/>
      <c r="G24" s="1"/>
      <c r="H24" s="6"/>
    </row>
    <row r="25" spans="2:8">
      <c r="B25" s="5"/>
      <c r="C25" s="1"/>
      <c r="D25" s="1"/>
      <c r="E25" s="1"/>
      <c r="F25" s="1"/>
      <c r="G25" s="1"/>
      <c r="H25" s="6"/>
    </row>
    <row r="26" spans="2:8">
      <c r="B26" s="5"/>
      <c r="C26" s="1"/>
      <c r="D26" s="1"/>
      <c r="E26" s="1"/>
      <c r="F26" s="1"/>
      <c r="G26" s="1"/>
      <c r="H26" s="6"/>
    </row>
    <row r="27" spans="2:8">
      <c r="B27" s="5"/>
      <c r="C27" s="1"/>
      <c r="D27" s="1"/>
      <c r="E27" s="1"/>
      <c r="F27" s="1"/>
      <c r="G27" s="1"/>
      <c r="H27" s="6"/>
    </row>
    <row r="28" spans="2:8">
      <c r="B28" s="5"/>
      <c r="C28" s="1"/>
      <c r="D28" s="1"/>
      <c r="E28" s="1"/>
      <c r="F28" s="1"/>
      <c r="G28" s="1"/>
      <c r="H28" s="6"/>
    </row>
    <row r="29" spans="2:8">
      <c r="B29" s="5"/>
      <c r="C29" s="1"/>
      <c r="D29" s="1"/>
      <c r="E29" s="1"/>
      <c r="F29" s="1"/>
      <c r="G29" s="1"/>
      <c r="H29" s="6"/>
    </row>
    <row r="30" spans="2:8">
      <c r="B30" s="5"/>
      <c r="C30" s="1"/>
      <c r="D30" s="1"/>
      <c r="E30" s="1"/>
      <c r="F30" s="1"/>
      <c r="G30" s="1"/>
      <c r="H30" s="6"/>
    </row>
    <row r="31" spans="2:8">
      <c r="B31" s="5"/>
      <c r="C31" s="1"/>
      <c r="D31" s="1"/>
      <c r="E31" s="1"/>
      <c r="F31" s="1"/>
      <c r="G31" s="1"/>
      <c r="H31" s="6"/>
    </row>
    <row r="32" spans="2:8">
      <c r="B32" s="5"/>
      <c r="C32" s="1"/>
      <c r="D32" s="1"/>
      <c r="E32" s="1"/>
      <c r="F32" s="1"/>
      <c r="G32" s="1"/>
      <c r="H32" s="6"/>
    </row>
    <row r="33" spans="2:8">
      <c r="B33" s="5"/>
      <c r="C33" s="1"/>
      <c r="D33" s="1"/>
      <c r="E33" s="1"/>
      <c r="F33" s="1"/>
      <c r="G33" s="1"/>
      <c r="H33" s="6"/>
    </row>
    <row r="34" spans="2:8">
      <c r="B34" s="5"/>
      <c r="C34" s="1"/>
      <c r="D34" s="1"/>
      <c r="E34" s="1"/>
      <c r="F34" s="1"/>
      <c r="G34" s="1"/>
      <c r="H34" s="6"/>
    </row>
    <row r="35" spans="2:8">
      <c r="B35" s="5"/>
      <c r="C35" s="1"/>
      <c r="D35" s="1"/>
      <c r="E35" s="1"/>
      <c r="F35" s="1"/>
      <c r="G35" s="1"/>
      <c r="H35" s="6"/>
    </row>
    <row r="36" spans="2:8">
      <c r="B36" s="5"/>
      <c r="C36" s="1"/>
      <c r="D36" s="1"/>
      <c r="E36" s="1"/>
      <c r="F36" s="1"/>
      <c r="G36" s="1"/>
      <c r="H36" s="6"/>
    </row>
    <row r="37" spans="2:8">
      <c r="B37" s="5"/>
      <c r="C37" s="1"/>
      <c r="D37" s="1"/>
      <c r="E37" s="1"/>
      <c r="F37" s="1"/>
      <c r="G37" s="1"/>
      <c r="H37" s="6"/>
    </row>
    <row r="38" spans="2:8">
      <c r="B38" s="5"/>
      <c r="C38" s="1"/>
      <c r="D38" s="1"/>
      <c r="E38" s="1"/>
      <c r="F38" s="1"/>
      <c r="G38" s="1"/>
      <c r="H38" s="6"/>
    </row>
    <row r="39" spans="2:8">
      <c r="B39" s="5"/>
      <c r="C39" s="1"/>
      <c r="D39" s="1"/>
      <c r="E39" s="1"/>
      <c r="F39" s="1"/>
      <c r="G39" s="1"/>
      <c r="H39" s="6"/>
    </row>
    <row r="40" spans="2:8">
      <c r="B40" s="5"/>
      <c r="C40" s="1"/>
      <c r="D40" s="1"/>
      <c r="E40" s="1"/>
      <c r="F40" s="1"/>
      <c r="G40" s="1"/>
      <c r="H40" s="6"/>
    </row>
    <row r="41" spans="2:8">
      <c r="B41" s="5"/>
      <c r="C41" s="1"/>
      <c r="D41" s="1"/>
      <c r="E41" s="1"/>
      <c r="F41" s="1"/>
      <c r="G41" s="1"/>
      <c r="H41" s="6"/>
    </row>
    <row r="42" spans="2:8">
      <c r="B42" s="5"/>
      <c r="C42" s="1"/>
      <c r="D42" s="1"/>
      <c r="E42" s="1"/>
      <c r="F42" s="1"/>
      <c r="G42" s="1"/>
      <c r="H42" s="6"/>
    </row>
    <row r="43" spans="2:8">
      <c r="B43" s="5"/>
      <c r="C43" s="1"/>
      <c r="D43" s="1"/>
      <c r="E43" s="1"/>
      <c r="F43" s="1"/>
      <c r="G43" s="1"/>
      <c r="H43" s="6"/>
    </row>
    <row r="44" spans="2:8">
      <c r="B44" s="5"/>
      <c r="C44" s="1"/>
      <c r="D44" s="1"/>
      <c r="E44" s="1"/>
      <c r="F44" s="1"/>
      <c r="G44" s="1"/>
      <c r="H44" s="6"/>
    </row>
    <row r="45" spans="2:8">
      <c r="B45" s="5"/>
      <c r="C45" s="1"/>
      <c r="D45" s="1"/>
      <c r="E45" s="1"/>
      <c r="F45" s="1"/>
      <c r="G45" s="1"/>
      <c r="H45" s="6"/>
    </row>
    <row r="46" spans="2:8">
      <c r="B46" s="5"/>
      <c r="C46" s="1"/>
      <c r="D46" s="1"/>
      <c r="E46" s="1"/>
      <c r="F46" s="1"/>
      <c r="G46" s="1"/>
      <c r="H46" s="6"/>
    </row>
    <row r="47" spans="2:8" ht="13.5" thickBot="1">
      <c r="B47" s="7"/>
      <c r="C47" s="8"/>
      <c r="D47" s="8"/>
      <c r="E47" s="8"/>
      <c r="F47" s="8"/>
      <c r="G47" s="8"/>
      <c r="H47" s="9"/>
    </row>
  </sheetData>
  <mergeCells count="1">
    <mergeCell ref="C4:F4"/>
  </mergeCells>
  <phoneticPr fontId="4" type="noConversion"/>
  <printOptions horizontalCentered="1"/>
  <pageMargins left="0.25" right="0.25" top="0.25" bottom="0.25" header="0.25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Kopertina </vt:lpstr>
      <vt:lpstr>AKTIVI </vt:lpstr>
      <vt:lpstr>PASIVI </vt:lpstr>
      <vt:lpstr>Ardh e shp - natyres</vt:lpstr>
      <vt:lpstr> Fluksit mon - direkte</vt:lpstr>
      <vt:lpstr>Pasq e ndrysh te kap 2</vt:lpstr>
      <vt:lpstr>Shenit Shpjeguse</vt:lpstr>
      <vt:lpstr>Shenimet Shpjeg</vt:lpstr>
      <vt:lpstr>A1</vt:lpstr>
      <vt:lpstr>A2</vt:lpstr>
      <vt:lpstr>C1</vt:lpstr>
      <vt:lpstr>C2</vt:lpstr>
      <vt:lpstr>C3</vt:lpstr>
      <vt:lpstr>D1</vt:lpstr>
      <vt:lpstr>D2</vt:lpstr>
      <vt:lpstr>D3</vt:lpstr>
      <vt:lpstr>D4</vt:lpstr>
      <vt:lpstr>D5-</vt:lpstr>
      <vt:lpstr>D 6</vt:lpstr>
      <vt:lpstr>L  1</vt:lpstr>
      <vt:lpstr>L4</vt:lpstr>
      <vt:lpstr>L  2</vt:lpstr>
      <vt:lpstr>E2</vt:lpstr>
      <vt:lpstr>M1</vt:lpstr>
      <vt:lpstr>Liber Shit- Blerje </vt:lpstr>
      <vt:lpstr>P -Ardh Analiz </vt:lpstr>
      <vt:lpstr>S</vt:lpstr>
      <vt:lpstr>T</vt:lpstr>
      <vt:lpstr>U</vt:lpstr>
      <vt:lpstr>V</vt:lpstr>
      <vt:lpstr>U - statist</vt:lpstr>
      <vt:lpstr>Stat - te ardhur</vt:lpstr>
      <vt:lpstr>Stat - Kostot </vt:lpstr>
      <vt:lpstr>Stat - te ardh  anal</vt:lpstr>
      <vt:lpstr>All</vt:lpstr>
      <vt:lpstr>Eur</vt:lpstr>
      <vt:lpstr>Usd</vt:lpstr>
      <vt:lpstr>Sheet6</vt:lpstr>
      <vt:lpstr>Sheet7</vt:lpstr>
      <vt:lpstr>Kleal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Comp4</cp:lastModifiedBy>
  <cp:lastPrinted>2013-03-27T18:11:37Z</cp:lastPrinted>
  <dcterms:created xsi:type="dcterms:W3CDTF">2008-12-07T08:59:09Z</dcterms:created>
  <dcterms:modified xsi:type="dcterms:W3CDTF">2013-07-14T08:09:38Z</dcterms:modified>
</cp:coreProperties>
</file>